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13_ncr:1_{4318F3FF-596E-422D-A6C3-B3E7952333B7}" xr6:coauthVersionLast="47" xr6:coauthVersionMax="47" xr10:uidLastSave="{00000000-0000-0000-0000-000000000000}"/>
  <bookViews>
    <workbookView xWindow="3180" yWindow="2790" windowWidth="18000" windowHeight="9855" xr2:uid="{00000000-000D-0000-FFFF-FFFF00000000}"/>
  </bookViews>
  <sheets>
    <sheet name="RFO III"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Q18" i="1" l="1"/>
  <c r="CQ17" i="1"/>
  <c r="CQ16" i="1"/>
  <c r="CQ15" i="1"/>
  <c r="CQ14" i="1"/>
  <c r="CQ13" i="1"/>
  <c r="CQ12" i="1"/>
  <c r="CQ11" i="1"/>
  <c r="CQ31" i="1"/>
  <c r="CQ30" i="1"/>
  <c r="CQ29" i="1"/>
  <c r="CQ28" i="1"/>
  <c r="CQ27" i="1"/>
  <c r="CQ26" i="1"/>
  <c r="CQ25" i="1"/>
  <c r="CQ24" i="1"/>
  <c r="CQ23" i="1"/>
  <c r="CQ22" i="1"/>
  <c r="CQ21" i="1"/>
  <c r="CQ20" i="1"/>
  <c r="CQ55" i="1"/>
  <c r="CQ54" i="1"/>
  <c r="CQ53" i="1"/>
  <c r="CQ52" i="1"/>
  <c r="CQ51" i="1"/>
  <c r="CQ50" i="1"/>
  <c r="CQ49" i="1"/>
  <c r="CQ48" i="1"/>
  <c r="CQ47" i="1"/>
  <c r="CQ46" i="1"/>
  <c r="CQ45" i="1"/>
  <c r="CQ44" i="1"/>
  <c r="CQ43" i="1"/>
  <c r="CQ42" i="1"/>
  <c r="CQ41" i="1"/>
  <c r="CQ40" i="1"/>
  <c r="CQ39" i="1"/>
  <c r="CQ38" i="1"/>
  <c r="CQ37" i="1"/>
  <c r="CQ36" i="1"/>
  <c r="CQ35" i="1"/>
  <c r="CQ34" i="1"/>
  <c r="CQ33" i="1"/>
  <c r="CQ88" i="1"/>
  <c r="CQ87" i="1"/>
  <c r="CQ86" i="1"/>
  <c r="CQ85" i="1"/>
  <c r="CQ84" i="1"/>
  <c r="CQ83" i="1"/>
  <c r="CQ82" i="1"/>
  <c r="CQ81" i="1"/>
  <c r="CQ80" i="1"/>
  <c r="CQ79" i="1"/>
  <c r="CQ78" i="1"/>
  <c r="CQ77" i="1"/>
  <c r="CQ76" i="1"/>
  <c r="CQ75" i="1"/>
  <c r="CQ74" i="1"/>
  <c r="CQ73" i="1"/>
  <c r="CQ72" i="1"/>
  <c r="CQ71" i="1"/>
  <c r="CQ70" i="1"/>
  <c r="CQ69" i="1"/>
  <c r="CQ68" i="1"/>
  <c r="CQ67" i="1"/>
  <c r="CQ66" i="1"/>
  <c r="CQ65" i="1"/>
  <c r="CQ64" i="1"/>
  <c r="CQ63" i="1"/>
  <c r="CQ62" i="1"/>
  <c r="CQ61" i="1"/>
  <c r="CQ60" i="1"/>
  <c r="CQ59" i="1"/>
  <c r="CQ58" i="1"/>
  <c r="CQ57" i="1"/>
  <c r="CQ109" i="1"/>
  <c r="CQ108" i="1"/>
  <c r="CQ107" i="1"/>
  <c r="CQ106" i="1"/>
  <c r="CQ105" i="1"/>
  <c r="CQ104" i="1"/>
  <c r="CQ103" i="1"/>
  <c r="CQ102" i="1"/>
  <c r="CQ101" i="1"/>
  <c r="CQ100" i="1"/>
  <c r="CQ99" i="1"/>
  <c r="CQ98" i="1"/>
  <c r="CQ97" i="1"/>
  <c r="CQ96" i="1"/>
  <c r="CQ95" i="1"/>
  <c r="CQ94" i="1"/>
  <c r="CQ93" i="1"/>
  <c r="CQ92" i="1"/>
  <c r="CQ91" i="1"/>
  <c r="CQ90" i="1"/>
  <c r="CQ128" i="1"/>
  <c r="CQ127" i="1"/>
  <c r="CQ126" i="1"/>
  <c r="CQ125" i="1"/>
  <c r="CQ124" i="1"/>
  <c r="CQ123" i="1"/>
  <c r="CQ122" i="1"/>
  <c r="CQ121" i="1"/>
  <c r="CQ120" i="1"/>
  <c r="CQ119" i="1"/>
  <c r="CQ118" i="1"/>
  <c r="CQ117" i="1"/>
  <c r="CQ116" i="1"/>
  <c r="CQ115" i="1"/>
  <c r="CQ114" i="1"/>
  <c r="CQ113" i="1"/>
  <c r="CQ112" i="1"/>
  <c r="CQ111" i="1"/>
  <c r="CQ142" i="1"/>
  <c r="CQ140" i="1"/>
  <c r="CQ139" i="1"/>
  <c r="CQ138" i="1"/>
  <c r="CQ137" i="1"/>
  <c r="CQ136" i="1"/>
  <c r="CQ135" i="1"/>
  <c r="CQ134" i="1"/>
  <c r="CQ133" i="1"/>
  <c r="CQ132" i="1"/>
  <c r="CQ131" i="1"/>
  <c r="CQ130" i="1"/>
  <c r="CK18" i="1" l="1"/>
  <c r="CK17" i="1"/>
  <c r="CK16" i="1"/>
  <c r="CK15" i="1"/>
  <c r="CK14" i="1"/>
  <c r="CK13" i="1"/>
  <c r="CK12" i="1"/>
  <c r="CK11" i="1"/>
  <c r="CK31" i="1"/>
  <c r="CK30" i="1"/>
  <c r="CK29" i="1"/>
  <c r="CK28" i="1"/>
  <c r="CK27" i="1"/>
  <c r="CK26" i="1"/>
  <c r="CK25" i="1"/>
  <c r="CK24" i="1"/>
  <c r="CK23" i="1"/>
  <c r="CK22" i="1"/>
  <c r="CK21" i="1"/>
  <c r="CK20" i="1"/>
  <c r="CK45" i="1"/>
  <c r="CK44" i="1"/>
  <c r="CK43" i="1"/>
  <c r="CK42" i="1"/>
  <c r="CK41" i="1"/>
  <c r="CK40" i="1"/>
  <c r="CK39" i="1"/>
  <c r="CK38" i="1"/>
  <c r="CK37" i="1"/>
  <c r="CK36" i="1"/>
  <c r="CK35" i="1"/>
  <c r="CK34" i="1"/>
  <c r="CK33" i="1"/>
  <c r="CK51" i="1"/>
  <c r="CK50" i="1"/>
  <c r="CK49" i="1"/>
  <c r="CK55"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103" i="1"/>
  <c r="CK102" i="1"/>
  <c r="CK101" i="1"/>
  <c r="CK100" i="1"/>
  <c r="CK99" i="1"/>
  <c r="CK98" i="1"/>
  <c r="CK97" i="1"/>
  <c r="CK96" i="1"/>
  <c r="CK95" i="1"/>
  <c r="CK94" i="1"/>
  <c r="CK93" i="1"/>
  <c r="CK92" i="1"/>
  <c r="CK91" i="1"/>
  <c r="CK90" i="1"/>
  <c r="CK109" i="1"/>
  <c r="CK113" i="1"/>
  <c r="CK142" i="1"/>
  <c r="CK140" i="1"/>
  <c r="CK139" i="1"/>
  <c r="CK138" i="1"/>
  <c r="CK137" i="1"/>
  <c r="CK136" i="1"/>
  <c r="CK135" i="1"/>
  <c r="CK134" i="1"/>
  <c r="CK133" i="1"/>
  <c r="CK132" i="1"/>
  <c r="CK131" i="1"/>
  <c r="CK130" i="1"/>
  <c r="CE18" i="1" l="1"/>
  <c r="CE17" i="1"/>
  <c r="CE16" i="1"/>
  <c r="CE15" i="1"/>
  <c r="CE14" i="1"/>
  <c r="CE13" i="1"/>
  <c r="CE12" i="1"/>
  <c r="CE11" i="1"/>
  <c r="CE31" i="1"/>
  <c r="CE30" i="1"/>
  <c r="CE29" i="1"/>
  <c r="CE28" i="1"/>
  <c r="CE27" i="1"/>
  <c r="CE26" i="1"/>
  <c r="CE25" i="1"/>
  <c r="CE24" i="1"/>
  <c r="CE23" i="1"/>
  <c r="CE22" i="1"/>
  <c r="CE21" i="1"/>
  <c r="CE20" i="1"/>
  <c r="CE55" i="1"/>
  <c r="CE54" i="1"/>
  <c r="CE53" i="1"/>
  <c r="CE52" i="1"/>
  <c r="CE51" i="1"/>
  <c r="CE50" i="1"/>
  <c r="CE49" i="1"/>
  <c r="CE48" i="1"/>
  <c r="CE47" i="1"/>
  <c r="CE46" i="1"/>
  <c r="CE45" i="1"/>
  <c r="CE44" i="1"/>
  <c r="CE43" i="1"/>
  <c r="CE42" i="1"/>
  <c r="CE41" i="1"/>
  <c r="CE40" i="1"/>
  <c r="CE39" i="1"/>
  <c r="CE38" i="1"/>
  <c r="CE37" i="1"/>
  <c r="CE36" i="1"/>
  <c r="CE35" i="1"/>
  <c r="CE34" i="1"/>
  <c r="CE33" i="1"/>
  <c r="CE88" i="1"/>
  <c r="CE87" i="1"/>
  <c r="CE86" i="1"/>
  <c r="CE85" i="1"/>
  <c r="CE84" i="1"/>
  <c r="CE83" i="1"/>
  <c r="CE82" i="1"/>
  <c r="CE81" i="1"/>
  <c r="CE80" i="1"/>
  <c r="CE79" i="1"/>
  <c r="CE78" i="1"/>
  <c r="CE77" i="1"/>
  <c r="CE76" i="1"/>
  <c r="CE75" i="1"/>
  <c r="CE74" i="1"/>
  <c r="CE73" i="1"/>
  <c r="CE72" i="1"/>
  <c r="CE71" i="1"/>
  <c r="CE70" i="1"/>
  <c r="CE69" i="1"/>
  <c r="CE68" i="1"/>
  <c r="CE67" i="1"/>
  <c r="CE66" i="1"/>
  <c r="CE65" i="1"/>
  <c r="CE64" i="1"/>
  <c r="CE63" i="1"/>
  <c r="CE62" i="1"/>
  <c r="CE61" i="1"/>
  <c r="CE60" i="1"/>
  <c r="CE59" i="1"/>
  <c r="CE58" i="1"/>
  <c r="CE57" i="1"/>
  <c r="CE109" i="1"/>
  <c r="CE108" i="1"/>
  <c r="CE107" i="1"/>
  <c r="CE106" i="1"/>
  <c r="CE105" i="1"/>
  <c r="CE104" i="1"/>
  <c r="CE103" i="1"/>
  <c r="CE102" i="1"/>
  <c r="CE101" i="1"/>
  <c r="CE100" i="1"/>
  <c r="CE99" i="1"/>
  <c r="CE98" i="1"/>
  <c r="CE97" i="1"/>
  <c r="CE96" i="1"/>
  <c r="CE95" i="1"/>
  <c r="CE94" i="1"/>
  <c r="CE93" i="1"/>
  <c r="CE92" i="1"/>
  <c r="CE91" i="1"/>
  <c r="CE90" i="1"/>
  <c r="CE128" i="1"/>
  <c r="CE127" i="1"/>
  <c r="CE126" i="1"/>
  <c r="CE125" i="1"/>
  <c r="CE124" i="1"/>
  <c r="CE123" i="1"/>
  <c r="CE122" i="1"/>
  <c r="CE121" i="1"/>
  <c r="CE120" i="1"/>
  <c r="CE119" i="1"/>
  <c r="CE118" i="1"/>
  <c r="CE117" i="1"/>
  <c r="CE116" i="1"/>
  <c r="CE115" i="1"/>
  <c r="CE114" i="1"/>
  <c r="CE113" i="1"/>
  <c r="CE112" i="1"/>
  <c r="CE111" i="1"/>
  <c r="CE142" i="1"/>
  <c r="CE141" i="1"/>
  <c r="CE140" i="1"/>
  <c r="CE139" i="1"/>
  <c r="CE138" i="1"/>
  <c r="CE137" i="1"/>
  <c r="CE136" i="1"/>
  <c r="CE135" i="1"/>
  <c r="CE134" i="1"/>
  <c r="CE133" i="1"/>
  <c r="CE132" i="1"/>
  <c r="CE131" i="1"/>
  <c r="BY18" i="1"/>
  <c r="BY17" i="1"/>
  <c r="BY16" i="1"/>
  <c r="BY15" i="1"/>
  <c r="BY14" i="1"/>
  <c r="BY13" i="1"/>
  <c r="BY12" i="1"/>
  <c r="BY11" i="1"/>
  <c r="BY31" i="1"/>
  <c r="BY30" i="1"/>
  <c r="BY29" i="1"/>
  <c r="BY28" i="1"/>
  <c r="BY27" i="1"/>
  <c r="BY26" i="1"/>
  <c r="BY25" i="1"/>
  <c r="BY24" i="1"/>
  <c r="BY23" i="1"/>
  <c r="BY22" i="1"/>
  <c r="BY21" i="1"/>
  <c r="BY20" i="1"/>
  <c r="BY55" i="1"/>
  <c r="BY54" i="1"/>
  <c r="BY53" i="1"/>
  <c r="BY52" i="1"/>
  <c r="BY51" i="1"/>
  <c r="BY50" i="1"/>
  <c r="BY49" i="1"/>
  <c r="BY48" i="1"/>
  <c r="BY47" i="1"/>
  <c r="BY46" i="1"/>
  <c r="BY45" i="1"/>
  <c r="BY44" i="1"/>
  <c r="BY43" i="1"/>
  <c r="BY42" i="1"/>
  <c r="BY41" i="1"/>
  <c r="BY40" i="1"/>
  <c r="BY39" i="1"/>
  <c r="BY38" i="1"/>
  <c r="BY37" i="1"/>
  <c r="BY36" i="1"/>
  <c r="BY35" i="1"/>
  <c r="BY34" i="1"/>
  <c r="BY33"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109" i="1"/>
  <c r="BY108" i="1"/>
  <c r="BY107" i="1"/>
  <c r="BY106" i="1"/>
  <c r="BY105" i="1"/>
  <c r="BY104" i="1"/>
  <c r="BY103" i="1"/>
  <c r="BY102" i="1"/>
  <c r="BY101" i="1"/>
  <c r="BY100" i="1"/>
  <c r="BY99" i="1"/>
  <c r="BY98" i="1"/>
  <c r="BY97" i="1"/>
  <c r="BY96" i="1"/>
  <c r="BY95" i="1"/>
  <c r="BY94" i="1"/>
  <c r="BY93" i="1"/>
  <c r="BY92" i="1"/>
  <c r="BY91" i="1"/>
  <c r="BY90" i="1"/>
  <c r="BY113" i="1"/>
  <c r="BY142" i="1"/>
  <c r="BY141" i="1"/>
  <c r="BY140" i="1"/>
  <c r="BY139" i="1"/>
  <c r="BY138" i="1"/>
  <c r="BY137" i="1"/>
  <c r="BY136" i="1"/>
  <c r="BY134" i="1"/>
  <c r="BY133" i="1"/>
  <c r="BY132" i="1"/>
  <c r="BY131" i="1"/>
  <c r="BY130" i="1"/>
  <c r="K76" i="9" l="1"/>
  <c r="F76" i="9"/>
  <c r="E76" i="9"/>
  <c r="C76" i="9"/>
  <c r="B76" i="9"/>
  <c r="J73" i="9"/>
  <c r="G73" i="9"/>
  <c r="M72" i="9"/>
  <c r="O72" i="9" s="1"/>
  <c r="J72" i="9"/>
  <c r="G72" i="9"/>
  <c r="L72" i="9" s="1"/>
  <c r="L71" i="9"/>
  <c r="J71" i="9"/>
  <c r="G71" i="9"/>
  <c r="M71" i="9" s="1"/>
  <c r="O71" i="9" s="1"/>
  <c r="J70" i="9"/>
  <c r="G70" i="9"/>
  <c r="M70" i="9" s="1"/>
  <c r="O70" i="9" s="1"/>
  <c r="O68" i="9"/>
  <c r="M68" i="9"/>
  <c r="L68" i="9"/>
  <c r="J68" i="9"/>
  <c r="G68" i="9"/>
  <c r="J60" i="9"/>
  <c r="G60" i="9"/>
  <c r="M60" i="9" s="1"/>
  <c r="O60" i="9" s="1"/>
  <c r="J59" i="9"/>
  <c r="G59" i="9"/>
  <c r="M59" i="9" s="1"/>
  <c r="K55" i="9"/>
  <c r="E55" i="9"/>
  <c r="C55" i="9"/>
  <c r="B55" i="9"/>
  <c r="O53" i="9"/>
  <c r="M53" i="9"/>
  <c r="L53" i="9"/>
  <c r="J53" i="9"/>
  <c r="G53" i="9"/>
  <c r="J52" i="9"/>
  <c r="G52" i="9"/>
  <c r="M52" i="9" s="1"/>
  <c r="O52" i="9" s="1"/>
  <c r="J51" i="9"/>
  <c r="G51" i="9"/>
  <c r="M51" i="9" s="1"/>
  <c r="O51" i="9" s="1"/>
  <c r="F51" i="9"/>
  <c r="F55" i="9" s="1"/>
  <c r="O50" i="9"/>
  <c r="M50" i="9"/>
  <c r="L50" i="9"/>
  <c r="J50" i="9"/>
  <c r="G50" i="9"/>
  <c r="J49" i="9"/>
  <c r="G49" i="9"/>
  <c r="M49" i="9" s="1"/>
  <c r="O49" i="9" s="1"/>
  <c r="J48" i="9"/>
  <c r="G48" i="9"/>
  <c r="G55" i="9" s="1"/>
  <c r="K45" i="9"/>
  <c r="K16" i="9" s="1"/>
  <c r="E45" i="9"/>
  <c r="C45" i="9"/>
  <c r="B45" i="9"/>
  <c r="O42" i="9"/>
  <c r="M42" i="9"/>
  <c r="L42" i="9"/>
  <c r="J42" i="9"/>
  <c r="G42" i="9"/>
  <c r="J41" i="9"/>
  <c r="G41" i="9"/>
  <c r="M41" i="9" s="1"/>
  <c r="O41" i="9" s="1"/>
  <c r="F41" i="9"/>
  <c r="F45" i="9" s="1"/>
  <c r="J40" i="9"/>
  <c r="M40" i="9" s="1"/>
  <c r="O40" i="9" s="1"/>
  <c r="G40" i="9"/>
  <c r="O39" i="9"/>
  <c r="O45" i="9" s="1"/>
  <c r="M39" i="9"/>
  <c r="L39" i="9"/>
  <c r="J39" i="9"/>
  <c r="G39" i="9"/>
  <c r="J29" i="9"/>
  <c r="G29" i="9"/>
  <c r="M29" i="9" s="1"/>
  <c r="O29" i="9" s="1"/>
  <c r="J28" i="9"/>
  <c r="G28" i="9"/>
  <c r="M28" i="9" s="1"/>
  <c r="O28" i="9" s="1"/>
  <c r="M27" i="9"/>
  <c r="O27" i="9" s="1"/>
  <c r="L27" i="9"/>
  <c r="J27" i="9"/>
  <c r="G27" i="9"/>
  <c r="J26" i="9"/>
  <c r="G26" i="9"/>
  <c r="O25" i="9"/>
  <c r="M25" i="9"/>
  <c r="J25" i="9"/>
  <c r="G25" i="9"/>
  <c r="L25" i="9" s="1"/>
  <c r="L20" i="9"/>
  <c r="J20" i="9"/>
  <c r="G20" i="9"/>
  <c r="M20" i="9" s="1"/>
  <c r="O20" i="9" s="1"/>
  <c r="J19" i="9"/>
  <c r="M19" i="9" s="1"/>
  <c r="O19" i="9" s="1"/>
  <c r="G19" i="9"/>
  <c r="E16" i="9"/>
  <c r="C16" i="9"/>
  <c r="B16" i="9"/>
  <c r="M82" i="8"/>
  <c r="M74" i="8"/>
  <c r="Q71" i="8"/>
  <c r="K71" i="8"/>
  <c r="M71" i="8" s="1"/>
  <c r="H71" i="8"/>
  <c r="Q70" i="8"/>
  <c r="M70" i="8"/>
  <c r="K70" i="8"/>
  <c r="H70" i="8"/>
  <c r="P69" i="8"/>
  <c r="N69" i="8"/>
  <c r="H69" i="8"/>
  <c r="G69" i="8"/>
  <c r="F69" i="8"/>
  <c r="F15" i="8" s="1"/>
  <c r="D69" i="8"/>
  <c r="C69" i="8"/>
  <c r="Q67" i="8"/>
  <c r="K67" i="8"/>
  <c r="M67" i="8" s="1"/>
  <c r="H67" i="8"/>
  <c r="Q66" i="8"/>
  <c r="M66" i="8"/>
  <c r="K66" i="8"/>
  <c r="H66" i="8"/>
  <c r="Q65" i="8"/>
  <c r="K65" i="8"/>
  <c r="M65" i="8" s="1"/>
  <c r="H65" i="8"/>
  <c r="Q64" i="8"/>
  <c r="M64" i="8"/>
  <c r="K64" i="8"/>
  <c r="H64" i="8"/>
  <c r="Q63" i="8"/>
  <c r="K63" i="8"/>
  <c r="M63" i="8" s="1"/>
  <c r="H63" i="8"/>
  <c r="Q62" i="8"/>
  <c r="M62" i="8"/>
  <c r="K62" i="8"/>
  <c r="J62" i="8"/>
  <c r="H62" i="8"/>
  <c r="Q61" i="8"/>
  <c r="K61" i="8"/>
  <c r="M61" i="8" s="1"/>
  <c r="H61" i="8"/>
  <c r="H60" i="8" s="1"/>
  <c r="P60" i="8"/>
  <c r="N60" i="8"/>
  <c r="G60" i="8"/>
  <c r="F60" i="8"/>
  <c r="D60" i="8"/>
  <c r="C60" i="8"/>
  <c r="Q58" i="8"/>
  <c r="P58" i="8"/>
  <c r="N58" i="8"/>
  <c r="K58" i="8"/>
  <c r="H58" i="8"/>
  <c r="Q57" i="8"/>
  <c r="J57" i="8"/>
  <c r="K57" i="8" s="1"/>
  <c r="M57" i="8" s="1"/>
  <c r="H57" i="8"/>
  <c r="H56" i="8" s="1"/>
  <c r="G56" i="8"/>
  <c r="Q55" i="8"/>
  <c r="K55" i="8"/>
  <c r="N55" i="8" s="1"/>
  <c r="P55" i="8" s="1"/>
  <c r="H55" i="8"/>
  <c r="Q54" i="8"/>
  <c r="J54" i="8"/>
  <c r="K54" i="8" s="1"/>
  <c r="N54" i="8" s="1"/>
  <c r="P54" i="8" s="1"/>
  <c r="H54" i="8"/>
  <c r="Q53" i="8"/>
  <c r="P53" i="8"/>
  <c r="N53" i="8"/>
  <c r="K53" i="8"/>
  <c r="H53" i="8"/>
  <c r="Q52" i="8"/>
  <c r="K52" i="8"/>
  <c r="N52" i="8" s="1"/>
  <c r="H52" i="8"/>
  <c r="H51" i="8" s="1"/>
  <c r="O51" i="8"/>
  <c r="G51" i="8"/>
  <c r="C51" i="8"/>
  <c r="Q50" i="8"/>
  <c r="P50" i="8"/>
  <c r="N50" i="8"/>
  <c r="K50" i="8"/>
  <c r="H50" i="8"/>
  <c r="Q49" i="8"/>
  <c r="K49" i="8"/>
  <c r="M49" i="8" s="1"/>
  <c r="H49" i="8"/>
  <c r="Q48" i="8"/>
  <c r="P48" i="8"/>
  <c r="N48" i="8"/>
  <c r="K48" i="8"/>
  <c r="H48" i="8"/>
  <c r="Q47" i="8"/>
  <c r="K47" i="8"/>
  <c r="N47" i="8" s="1"/>
  <c r="P47" i="8" s="1"/>
  <c r="P45" i="8" s="1"/>
  <c r="H47" i="8"/>
  <c r="Q46" i="8"/>
  <c r="K46" i="8"/>
  <c r="M46" i="8" s="1"/>
  <c r="H46" i="8"/>
  <c r="O45" i="8"/>
  <c r="H45" i="8"/>
  <c r="G45" i="8"/>
  <c r="G42" i="8" s="1"/>
  <c r="G27" i="8" s="1"/>
  <c r="F45" i="8"/>
  <c r="C45" i="8"/>
  <c r="Q44" i="8"/>
  <c r="K44" i="8"/>
  <c r="N44" i="8" s="1"/>
  <c r="H44" i="8"/>
  <c r="Q43" i="8"/>
  <c r="N43" i="8"/>
  <c r="P43" i="8" s="1"/>
  <c r="K43" i="8"/>
  <c r="H43" i="8"/>
  <c r="H42" i="8" s="1"/>
  <c r="O42" i="8"/>
  <c r="F42" i="8"/>
  <c r="D42" i="8"/>
  <c r="C42" i="8"/>
  <c r="Q41" i="8"/>
  <c r="P41" i="8"/>
  <c r="N41" i="8"/>
  <c r="K41" i="8"/>
  <c r="H41" i="8"/>
  <c r="Q40" i="8"/>
  <c r="K40" i="8"/>
  <c r="N40" i="8" s="1"/>
  <c r="H40" i="8"/>
  <c r="H38" i="8" s="1"/>
  <c r="Q39" i="8"/>
  <c r="J39" i="8"/>
  <c r="K39" i="8" s="1"/>
  <c r="M39" i="8" s="1"/>
  <c r="H39" i="8"/>
  <c r="O38" i="8"/>
  <c r="G38" i="8"/>
  <c r="F38" i="8"/>
  <c r="C38" i="8"/>
  <c r="F27" i="8"/>
  <c r="D27" i="8"/>
  <c r="C27" i="8"/>
  <c r="K25" i="8"/>
  <c r="N25" i="8" s="1"/>
  <c r="P25" i="8" s="1"/>
  <c r="H25" i="8"/>
  <c r="P24" i="8"/>
  <c r="N24" i="8"/>
  <c r="K24" i="8"/>
  <c r="H24" i="8"/>
  <c r="K23" i="8"/>
  <c r="N23" i="8" s="1"/>
  <c r="P23" i="8" s="1"/>
  <c r="H23" i="8"/>
  <c r="P22" i="8"/>
  <c r="N22" i="8"/>
  <c r="K22" i="8"/>
  <c r="H22" i="8"/>
  <c r="K21" i="8"/>
  <c r="N21" i="8" s="1"/>
  <c r="P21" i="8" s="1"/>
  <c r="H21" i="8"/>
  <c r="P20" i="8"/>
  <c r="P19" i="8" s="1"/>
  <c r="N20" i="8"/>
  <c r="N19" i="8" s="1"/>
  <c r="K20" i="8"/>
  <c r="H20" i="8"/>
  <c r="G19" i="8"/>
  <c r="G15" i="8" s="1"/>
  <c r="F19" i="8"/>
  <c r="D19" i="8"/>
  <c r="C19" i="8"/>
  <c r="D15" i="8"/>
  <c r="C15" i="8"/>
  <c r="J46" i="10"/>
  <c r="K46" i="10" s="1"/>
  <c r="H46" i="10"/>
  <c r="N46" i="10" s="1"/>
  <c r="P46" i="10" s="1"/>
  <c r="J45" i="10"/>
  <c r="K45" i="10" s="1"/>
  <c r="H45" i="10"/>
  <c r="J44" i="10"/>
  <c r="K44" i="10" s="1"/>
  <c r="H44" i="10"/>
  <c r="M43" i="10"/>
  <c r="K43" i="10"/>
  <c r="N43" i="10" s="1"/>
  <c r="P43" i="10" s="1"/>
  <c r="H43" i="10"/>
  <c r="K42" i="10"/>
  <c r="H42" i="10"/>
  <c r="N42" i="10" s="1"/>
  <c r="P42" i="10" s="1"/>
  <c r="P41" i="10"/>
  <c r="N41" i="10"/>
  <c r="K41" i="10"/>
  <c r="H41" i="10"/>
  <c r="M41" i="10" s="1"/>
  <c r="K40" i="10"/>
  <c r="H40" i="10"/>
  <c r="N40" i="10" s="1"/>
  <c r="P40" i="10" s="1"/>
  <c r="J38" i="10"/>
  <c r="K38" i="10" s="1"/>
  <c r="H38" i="10"/>
  <c r="P37" i="10"/>
  <c r="N37" i="10"/>
  <c r="K37" i="10"/>
  <c r="M37" i="10" s="1"/>
  <c r="J37" i="10"/>
  <c r="H37" i="10"/>
  <c r="M36" i="10"/>
  <c r="K36" i="10"/>
  <c r="N36" i="10" s="1"/>
  <c r="P36" i="10" s="1"/>
  <c r="H36" i="10"/>
  <c r="K34" i="10"/>
  <c r="H34" i="10"/>
  <c r="N34" i="10" s="1"/>
  <c r="P34" i="10" s="1"/>
  <c r="P33" i="10"/>
  <c r="N33" i="10"/>
  <c r="K33" i="10"/>
  <c r="H33" i="10"/>
  <c r="M33" i="10" s="1"/>
  <c r="K32" i="10"/>
  <c r="H32" i="10"/>
  <c r="N30" i="10"/>
  <c r="M30" i="10"/>
  <c r="K30" i="10"/>
  <c r="H30" i="10"/>
  <c r="N28" i="10"/>
  <c r="P28" i="10" s="1"/>
  <c r="M28" i="10"/>
  <c r="K28" i="10"/>
  <c r="H28" i="10"/>
  <c r="H27" i="10" s="1"/>
  <c r="G27" i="10"/>
  <c r="G16" i="10" s="1"/>
  <c r="F27" i="10"/>
  <c r="D27" i="10"/>
  <c r="C27" i="10"/>
  <c r="J26" i="10"/>
  <c r="K26" i="10" s="1"/>
  <c r="H26" i="10"/>
  <c r="H24" i="10" s="1"/>
  <c r="J25" i="10"/>
  <c r="K25" i="10" s="1"/>
  <c r="H25" i="10"/>
  <c r="G24" i="10"/>
  <c r="F24" i="10"/>
  <c r="D24" i="10"/>
  <c r="C24" i="10"/>
  <c r="P23" i="10"/>
  <c r="N23" i="10"/>
  <c r="K23" i="10"/>
  <c r="M23" i="10" s="1"/>
  <c r="J23" i="10"/>
  <c r="H23" i="10"/>
  <c r="M22" i="10"/>
  <c r="K22" i="10"/>
  <c r="J22" i="10"/>
  <c r="H22" i="10"/>
  <c r="N22" i="10" s="1"/>
  <c r="P22" i="10" s="1"/>
  <c r="J21" i="10"/>
  <c r="K21" i="10" s="1"/>
  <c r="H21" i="10"/>
  <c r="G20" i="10"/>
  <c r="F20" i="10"/>
  <c r="D20" i="10"/>
  <c r="D16" i="10" s="1"/>
  <c r="C20" i="10"/>
  <c r="C16" i="10" s="1"/>
  <c r="N19" i="10"/>
  <c r="P19" i="10" s="1"/>
  <c r="M19" i="10"/>
  <c r="K19" i="10"/>
  <c r="J19" i="10"/>
  <c r="H19" i="10"/>
  <c r="P18" i="10"/>
  <c r="N18" i="10"/>
  <c r="N17" i="10" s="1"/>
  <c r="K18" i="10"/>
  <c r="H18" i="10"/>
  <c r="M18" i="10" s="1"/>
  <c r="M17" i="10" s="1"/>
  <c r="H17" i="10"/>
  <c r="G17" i="10"/>
  <c r="F17" i="10"/>
  <c r="D17" i="10"/>
  <c r="C17" i="10"/>
  <c r="F16" i="10"/>
  <c r="K113" i="11"/>
  <c r="J113" i="11"/>
  <c r="H113" i="11"/>
  <c r="N113" i="11" s="1"/>
  <c r="P113" i="11" s="1"/>
  <c r="N111" i="11"/>
  <c r="P111" i="11" s="1"/>
  <c r="K111" i="11"/>
  <c r="H111" i="11"/>
  <c r="M111" i="11" s="1"/>
  <c r="J110" i="11"/>
  <c r="K110" i="11" s="1"/>
  <c r="N110" i="11" s="1"/>
  <c r="P110" i="11" s="1"/>
  <c r="H110" i="11"/>
  <c r="M110" i="11" s="1"/>
  <c r="G110" i="11"/>
  <c r="N109" i="11"/>
  <c r="P109" i="11" s="1"/>
  <c r="J109" i="11"/>
  <c r="K109" i="11" s="1"/>
  <c r="M109" i="11" s="1"/>
  <c r="H109" i="11"/>
  <c r="K108" i="11"/>
  <c r="M108" i="11" s="1"/>
  <c r="J108" i="11"/>
  <c r="H108" i="11"/>
  <c r="N108" i="11" s="1"/>
  <c r="P108" i="11" s="1"/>
  <c r="J106" i="11"/>
  <c r="K106" i="11" s="1"/>
  <c r="H106" i="11"/>
  <c r="K105" i="11"/>
  <c r="M105" i="11" s="1"/>
  <c r="J105" i="11"/>
  <c r="H105" i="11"/>
  <c r="N105" i="11" s="1"/>
  <c r="P105" i="11" s="1"/>
  <c r="J104" i="11"/>
  <c r="K104" i="11" s="1"/>
  <c r="M104" i="11" s="1"/>
  <c r="H104" i="11"/>
  <c r="K103" i="11"/>
  <c r="M103" i="11" s="1"/>
  <c r="J103" i="11"/>
  <c r="H103" i="11"/>
  <c r="N103" i="11" s="1"/>
  <c r="P103" i="11" s="1"/>
  <c r="J102" i="11"/>
  <c r="K102" i="11" s="1"/>
  <c r="H102" i="11"/>
  <c r="K101" i="11"/>
  <c r="M101" i="11" s="1"/>
  <c r="J101" i="11"/>
  <c r="H101" i="11"/>
  <c r="N101" i="11" s="1"/>
  <c r="P101" i="11" s="1"/>
  <c r="N100" i="11"/>
  <c r="P100" i="11" s="1"/>
  <c r="J100" i="11"/>
  <c r="K100" i="11" s="1"/>
  <c r="M100" i="11" s="1"/>
  <c r="H100" i="11"/>
  <c r="K99" i="11"/>
  <c r="M99" i="11" s="1"/>
  <c r="J99" i="11"/>
  <c r="H99" i="11"/>
  <c r="J98" i="11"/>
  <c r="K98" i="11" s="1"/>
  <c r="H98" i="11"/>
  <c r="K97" i="11"/>
  <c r="M97" i="11" s="1"/>
  <c r="J97" i="11"/>
  <c r="H97" i="11"/>
  <c r="N97" i="11" s="1"/>
  <c r="P97" i="11" s="1"/>
  <c r="N96" i="11"/>
  <c r="P96" i="11" s="1"/>
  <c r="J96" i="11"/>
  <c r="K96" i="11" s="1"/>
  <c r="H96" i="11"/>
  <c r="M96" i="11" s="1"/>
  <c r="K93" i="11"/>
  <c r="M93" i="11" s="1"/>
  <c r="J93" i="11"/>
  <c r="H93" i="11"/>
  <c r="N93" i="11" s="1"/>
  <c r="P93" i="11" s="1"/>
  <c r="J90" i="11"/>
  <c r="K90" i="11" s="1"/>
  <c r="H90" i="11"/>
  <c r="K89" i="11"/>
  <c r="M89" i="11" s="1"/>
  <c r="J89" i="11"/>
  <c r="H89" i="11"/>
  <c r="N89" i="11" s="1"/>
  <c r="P89" i="11" s="1"/>
  <c r="J87" i="11"/>
  <c r="K87" i="11" s="1"/>
  <c r="N87" i="11" s="1"/>
  <c r="P87" i="11" s="1"/>
  <c r="H87" i="11"/>
  <c r="M87" i="11" s="1"/>
  <c r="K86" i="11"/>
  <c r="M86" i="11" s="1"/>
  <c r="J86" i="11"/>
  <c r="H86" i="11"/>
  <c r="J85" i="11"/>
  <c r="K85" i="11" s="1"/>
  <c r="H85" i="11"/>
  <c r="K84" i="11"/>
  <c r="M84" i="11" s="1"/>
  <c r="J84" i="11"/>
  <c r="H84" i="11"/>
  <c r="N84" i="11" s="1"/>
  <c r="P84" i="11" s="1"/>
  <c r="J83" i="11"/>
  <c r="K83" i="11" s="1"/>
  <c r="N83" i="11" s="1"/>
  <c r="P83" i="11" s="1"/>
  <c r="H83" i="11"/>
  <c r="K82" i="11"/>
  <c r="M82" i="11" s="1"/>
  <c r="J82" i="11"/>
  <c r="H82" i="11"/>
  <c r="N82" i="11" s="1"/>
  <c r="P82" i="11" s="1"/>
  <c r="J81" i="11"/>
  <c r="K81" i="11" s="1"/>
  <c r="H81" i="11"/>
  <c r="K80" i="11"/>
  <c r="M80" i="11" s="1"/>
  <c r="J80" i="11"/>
  <c r="H80" i="11"/>
  <c r="N80" i="11" s="1"/>
  <c r="P80" i="11" s="1"/>
  <c r="J78" i="11"/>
  <c r="K78" i="11" s="1"/>
  <c r="N78" i="11" s="1"/>
  <c r="P78" i="11" s="1"/>
  <c r="H78" i="11"/>
  <c r="M78" i="11" s="1"/>
  <c r="K77" i="11"/>
  <c r="M77" i="11" s="1"/>
  <c r="J77" i="11"/>
  <c r="H77" i="11"/>
  <c r="N77" i="11" s="1"/>
  <c r="P77" i="11" s="1"/>
  <c r="J76" i="11"/>
  <c r="K76" i="11" s="1"/>
  <c r="H76" i="11"/>
  <c r="K73" i="11"/>
  <c r="M73" i="11" s="1"/>
  <c r="J73" i="11"/>
  <c r="H73" i="11"/>
  <c r="J72" i="11"/>
  <c r="K72" i="11" s="1"/>
  <c r="N72" i="11" s="1"/>
  <c r="P72" i="11" s="1"/>
  <c r="H72" i="11"/>
  <c r="K71" i="11"/>
  <c r="J71" i="11"/>
  <c r="H71" i="11"/>
  <c r="J70" i="11"/>
  <c r="K70" i="11" s="1"/>
  <c r="H70" i="11"/>
  <c r="K67" i="11"/>
  <c r="M67" i="11" s="1"/>
  <c r="J67" i="11"/>
  <c r="H67" i="11"/>
  <c r="N67" i="11" s="1"/>
  <c r="P67" i="11" s="1"/>
  <c r="N66" i="11"/>
  <c r="P66" i="11" s="1"/>
  <c r="J66" i="11"/>
  <c r="K66" i="11" s="1"/>
  <c r="H66" i="11"/>
  <c r="K65" i="11"/>
  <c r="J65" i="11"/>
  <c r="H65" i="11"/>
  <c r="N65" i="11" s="1"/>
  <c r="P65" i="11" s="1"/>
  <c r="J63" i="11"/>
  <c r="K63" i="11" s="1"/>
  <c r="H63" i="11"/>
  <c r="K62" i="11"/>
  <c r="M62" i="11" s="1"/>
  <c r="J62" i="11"/>
  <c r="H62" i="11"/>
  <c r="N62" i="11" s="1"/>
  <c r="P62" i="11" s="1"/>
  <c r="J60" i="11"/>
  <c r="K60" i="11" s="1"/>
  <c r="M60" i="11" s="1"/>
  <c r="J59" i="11"/>
  <c r="K59" i="11" s="1"/>
  <c r="H59" i="11"/>
  <c r="N59" i="11" s="1"/>
  <c r="P59" i="11" s="1"/>
  <c r="N57" i="11"/>
  <c r="P57" i="11" s="1"/>
  <c r="M57" i="11"/>
  <c r="K57" i="11"/>
  <c r="J57" i="11"/>
  <c r="H57" i="11"/>
  <c r="J56" i="11"/>
  <c r="K56" i="11" s="1"/>
  <c r="N56" i="11" s="1"/>
  <c r="P56" i="11" s="1"/>
  <c r="H56" i="11"/>
  <c r="M56" i="11" s="1"/>
  <c r="M50" i="11"/>
  <c r="K50" i="11"/>
  <c r="J50" i="11"/>
  <c r="H50" i="11"/>
  <c r="N50" i="11" s="1"/>
  <c r="P50" i="11" s="1"/>
  <c r="J49" i="11"/>
  <c r="K49" i="11" s="1"/>
  <c r="H49" i="11"/>
  <c r="N49" i="11" s="1"/>
  <c r="P49" i="11" s="1"/>
  <c r="M48" i="11"/>
  <c r="K48" i="11"/>
  <c r="N48" i="11" s="1"/>
  <c r="P48" i="11" s="1"/>
  <c r="J48" i="11"/>
  <c r="H48" i="11"/>
  <c r="P47" i="11"/>
  <c r="J47" i="11"/>
  <c r="K47" i="11" s="1"/>
  <c r="N47" i="11" s="1"/>
  <c r="H47" i="11"/>
  <c r="M47" i="11" s="1"/>
  <c r="M46" i="11"/>
  <c r="K46" i="11"/>
  <c r="J46" i="11"/>
  <c r="H46" i="11"/>
  <c r="N46" i="11" s="1"/>
  <c r="P46" i="11" s="1"/>
  <c r="J42" i="11"/>
  <c r="K42" i="11" s="1"/>
  <c r="H42" i="11"/>
  <c r="G42" i="11"/>
  <c r="J41" i="11"/>
  <c r="K41" i="11" s="1"/>
  <c r="H41" i="11"/>
  <c r="K40" i="11"/>
  <c r="M40" i="11" s="1"/>
  <c r="J40" i="11"/>
  <c r="H40" i="11"/>
  <c r="N40" i="11" s="1"/>
  <c r="P40" i="11" s="1"/>
  <c r="N38" i="11"/>
  <c r="P38" i="11" s="1"/>
  <c r="J38" i="11"/>
  <c r="K38" i="11" s="1"/>
  <c r="H38" i="11"/>
  <c r="K37" i="11"/>
  <c r="M37" i="11" s="1"/>
  <c r="J37" i="11"/>
  <c r="H37" i="11"/>
  <c r="N37" i="11" s="1"/>
  <c r="P37" i="11" s="1"/>
  <c r="J36" i="11"/>
  <c r="K36" i="11" s="1"/>
  <c r="H36" i="11"/>
  <c r="K35" i="11"/>
  <c r="M35" i="11" s="1"/>
  <c r="J35" i="11"/>
  <c r="H35" i="11"/>
  <c r="N35" i="11" s="1"/>
  <c r="P35" i="11" s="1"/>
  <c r="J34" i="11"/>
  <c r="K34" i="11" s="1"/>
  <c r="N34" i="11" s="1"/>
  <c r="P34" i="11" s="1"/>
  <c r="H34" i="11"/>
  <c r="M34" i="11" s="1"/>
  <c r="K33" i="11"/>
  <c r="M33" i="11" s="1"/>
  <c r="J33" i="11"/>
  <c r="H33" i="11"/>
  <c r="N33" i="11" s="1"/>
  <c r="P33" i="11" s="1"/>
  <c r="J31" i="11"/>
  <c r="K31" i="11" s="1"/>
  <c r="H31" i="11"/>
  <c r="K29" i="11"/>
  <c r="M29" i="11" s="1"/>
  <c r="J29" i="11"/>
  <c r="H29" i="11"/>
  <c r="N29" i="11" s="1"/>
  <c r="P29" i="11" s="1"/>
  <c r="N28" i="11"/>
  <c r="P28" i="11" s="1"/>
  <c r="J28" i="11"/>
  <c r="K28" i="11" s="1"/>
  <c r="H28" i="11"/>
  <c r="M28" i="11" s="1"/>
  <c r="K27" i="11"/>
  <c r="M27" i="11" s="1"/>
  <c r="J27" i="11"/>
  <c r="H27" i="11"/>
  <c r="J23" i="11"/>
  <c r="K23" i="11" s="1"/>
  <c r="H23" i="11"/>
  <c r="K22" i="11"/>
  <c r="M22" i="11" s="1"/>
  <c r="J22" i="11"/>
  <c r="H22" i="11"/>
  <c r="N22" i="11" s="1"/>
  <c r="P22" i="11" s="1"/>
  <c r="N20" i="11"/>
  <c r="P20" i="11" s="1"/>
  <c r="J20" i="11"/>
  <c r="K20" i="11" s="1"/>
  <c r="H20" i="11"/>
  <c r="M20" i="11" s="1"/>
  <c r="K18" i="11"/>
  <c r="M18" i="11" s="1"/>
  <c r="J18" i="11"/>
  <c r="H18" i="11"/>
  <c r="N18" i="11" s="1"/>
  <c r="P18" i="11" s="1"/>
  <c r="P16" i="11"/>
  <c r="N16" i="11"/>
  <c r="H16" i="11"/>
  <c r="G16" i="11"/>
  <c r="F16" i="11"/>
  <c r="D16" i="11"/>
  <c r="C16" i="11"/>
  <c r="Q172" i="12"/>
  <c r="P171" i="12"/>
  <c r="M171" i="12"/>
  <c r="Q171" i="12" s="1"/>
  <c r="H171" i="12"/>
  <c r="P170" i="12"/>
  <c r="M170" i="12"/>
  <c r="Q170" i="12" s="1"/>
  <c r="H170" i="12"/>
  <c r="P169" i="12"/>
  <c r="M169" i="12"/>
  <c r="Q169" i="12" s="1"/>
  <c r="K169" i="12"/>
  <c r="H169" i="12"/>
  <c r="Q168" i="12"/>
  <c r="P168" i="12"/>
  <c r="H168" i="12"/>
  <c r="M168" i="12" s="1"/>
  <c r="P167" i="12"/>
  <c r="K167" i="12"/>
  <c r="H167" i="12"/>
  <c r="M167" i="12" s="1"/>
  <c r="Q167" i="12" s="1"/>
  <c r="Q166" i="12"/>
  <c r="P166" i="12"/>
  <c r="H166" i="12"/>
  <c r="M166" i="12" s="1"/>
  <c r="P165" i="12"/>
  <c r="J165" i="12"/>
  <c r="K165" i="12" s="1"/>
  <c r="M165" i="12" s="1"/>
  <c r="Q165" i="12" s="1"/>
  <c r="H165" i="12"/>
  <c r="P164" i="12"/>
  <c r="M164" i="12"/>
  <c r="Q164" i="12" s="1"/>
  <c r="H164" i="12"/>
  <c r="P163" i="12"/>
  <c r="M163" i="12"/>
  <c r="H163" i="12"/>
  <c r="P162" i="12"/>
  <c r="M162" i="12"/>
  <c r="Q162" i="12" s="1"/>
  <c r="K162" i="12"/>
  <c r="H162" i="12"/>
  <c r="Q161" i="12"/>
  <c r="P161" i="12"/>
  <c r="H161" i="12"/>
  <c r="M161" i="12" s="1"/>
  <c r="P160" i="12"/>
  <c r="H160" i="12"/>
  <c r="M160" i="12" s="1"/>
  <c r="Q160" i="12" s="1"/>
  <c r="P159" i="12"/>
  <c r="K159" i="12"/>
  <c r="H159" i="12"/>
  <c r="M159" i="12" s="1"/>
  <c r="Q159" i="12" s="1"/>
  <c r="P158" i="12"/>
  <c r="H158" i="12"/>
  <c r="M158" i="12" s="1"/>
  <c r="Q158" i="12" s="1"/>
  <c r="P157" i="12"/>
  <c r="H157" i="12"/>
  <c r="M157" i="12" s="1"/>
  <c r="Q157" i="12" s="1"/>
  <c r="P156" i="12"/>
  <c r="H156" i="12"/>
  <c r="M156" i="12" s="1"/>
  <c r="Q156" i="12" s="1"/>
  <c r="Q155" i="12"/>
  <c r="P155" i="12"/>
  <c r="K155" i="12"/>
  <c r="H155" i="12"/>
  <c r="M155" i="12" s="1"/>
  <c r="P154" i="12"/>
  <c r="H154" i="12"/>
  <c r="M154" i="12" s="1"/>
  <c r="Q154" i="12" s="1"/>
  <c r="P153" i="12"/>
  <c r="M153" i="12"/>
  <c r="Q153" i="12" s="1"/>
  <c r="H153" i="12"/>
  <c r="P152" i="12"/>
  <c r="H152" i="12"/>
  <c r="M152" i="12" s="1"/>
  <c r="Q152" i="12" s="1"/>
  <c r="P151" i="12"/>
  <c r="M151" i="12"/>
  <c r="Q151" i="12" s="1"/>
  <c r="H151" i="12"/>
  <c r="P150" i="12"/>
  <c r="M150" i="12"/>
  <c r="Q150" i="12" s="1"/>
  <c r="H150" i="12"/>
  <c r="P149" i="12"/>
  <c r="M149" i="12"/>
  <c r="Q149" i="12" s="1"/>
  <c r="H149" i="12"/>
  <c r="P148" i="12"/>
  <c r="H148" i="12"/>
  <c r="M148" i="12" s="1"/>
  <c r="Q148" i="12" s="1"/>
  <c r="P147" i="12"/>
  <c r="Q147" i="12" s="1"/>
  <c r="O147" i="12"/>
  <c r="N147" i="12"/>
  <c r="M147" i="12"/>
  <c r="L147" i="12"/>
  <c r="H147" i="12"/>
  <c r="G147" i="12"/>
  <c r="F147" i="12"/>
  <c r="C147" i="12"/>
  <c r="P145" i="12"/>
  <c r="K145" i="12"/>
  <c r="H145" i="12"/>
  <c r="M145" i="12" s="1"/>
  <c r="Q145" i="12" s="1"/>
  <c r="P144" i="12"/>
  <c r="K144" i="12"/>
  <c r="H144" i="12"/>
  <c r="P143" i="12"/>
  <c r="K143" i="12"/>
  <c r="M143" i="12" s="1"/>
  <c r="Q143" i="12" s="1"/>
  <c r="H143" i="12"/>
  <c r="P141" i="12"/>
  <c r="M141" i="12"/>
  <c r="H141" i="12"/>
  <c r="P140" i="12"/>
  <c r="M140" i="12"/>
  <c r="K140" i="12"/>
  <c r="H140" i="12"/>
  <c r="P138" i="12"/>
  <c r="H138" i="12"/>
  <c r="M138" i="12" s="1"/>
  <c r="Q138" i="12" s="1"/>
  <c r="Q137" i="12"/>
  <c r="P137" i="12"/>
  <c r="K137" i="12"/>
  <c r="H137" i="12"/>
  <c r="M137" i="12" s="1"/>
  <c r="P136" i="12"/>
  <c r="K136" i="12"/>
  <c r="H136" i="12"/>
  <c r="M136" i="12" s="1"/>
  <c r="Q136" i="12" s="1"/>
  <c r="P135" i="12"/>
  <c r="M135" i="12"/>
  <c r="Q135" i="12" s="1"/>
  <c r="H135" i="12"/>
  <c r="P134" i="12"/>
  <c r="H134" i="12"/>
  <c r="M134" i="12" s="1"/>
  <c r="Q134" i="12" s="1"/>
  <c r="P133" i="12"/>
  <c r="K133" i="12"/>
  <c r="F133" i="12"/>
  <c r="H133" i="12" s="1"/>
  <c r="M133" i="12" s="1"/>
  <c r="Q133" i="12" s="1"/>
  <c r="P132" i="12"/>
  <c r="Q132" i="12" s="1"/>
  <c r="H132" i="12"/>
  <c r="M132" i="12" s="1"/>
  <c r="P131" i="12"/>
  <c r="H131" i="12"/>
  <c r="M131" i="12" s="1"/>
  <c r="Q131" i="12" s="1"/>
  <c r="P130" i="12"/>
  <c r="P122" i="12" s="1"/>
  <c r="H130" i="12"/>
  <c r="M130" i="12" s="1"/>
  <c r="Q129" i="12"/>
  <c r="P129" i="12"/>
  <c r="K129" i="12"/>
  <c r="H129" i="12"/>
  <c r="M129" i="12" s="1"/>
  <c r="P127" i="12"/>
  <c r="K127" i="12"/>
  <c r="H127" i="12"/>
  <c r="P126" i="12"/>
  <c r="H126" i="12"/>
  <c r="M126" i="12" s="1"/>
  <c r="Q126" i="12" s="1"/>
  <c r="P125" i="12"/>
  <c r="M125" i="12"/>
  <c r="Q125" i="12" s="1"/>
  <c r="H125" i="12"/>
  <c r="P124" i="12"/>
  <c r="K124" i="12"/>
  <c r="M124" i="12" s="1"/>
  <c r="Q124" i="12" s="1"/>
  <c r="H124" i="12"/>
  <c r="P123" i="12"/>
  <c r="K123" i="12"/>
  <c r="H123" i="12"/>
  <c r="O122" i="12"/>
  <c r="N122" i="12"/>
  <c r="L122" i="12"/>
  <c r="G122" i="12"/>
  <c r="F122" i="12"/>
  <c r="C122" i="12"/>
  <c r="P120" i="12"/>
  <c r="H120" i="12"/>
  <c r="M120" i="12" s="1"/>
  <c r="Q120" i="12" s="1"/>
  <c r="P119" i="12"/>
  <c r="M119" i="12"/>
  <c r="Q119" i="12" s="1"/>
  <c r="H119" i="12"/>
  <c r="Q118" i="12"/>
  <c r="P118" i="12"/>
  <c r="M118" i="12"/>
  <c r="H118" i="12"/>
  <c r="K117" i="12"/>
  <c r="H117" i="12"/>
  <c r="M117" i="12" s="1"/>
  <c r="Q117" i="12" s="1"/>
  <c r="P116" i="12"/>
  <c r="H116" i="12"/>
  <c r="M116" i="12" s="1"/>
  <c r="Q116" i="12" s="1"/>
  <c r="P115" i="12"/>
  <c r="H115" i="12"/>
  <c r="M115" i="12" s="1"/>
  <c r="Q115" i="12" s="1"/>
  <c r="P114" i="12"/>
  <c r="M114" i="12"/>
  <c r="Q114" i="12" s="1"/>
  <c r="K114" i="12"/>
  <c r="H114" i="12"/>
  <c r="P113" i="12"/>
  <c r="K113" i="12"/>
  <c r="H113" i="12"/>
  <c r="M113" i="12" s="1"/>
  <c r="Q113" i="12" s="1"/>
  <c r="Q112" i="12"/>
  <c r="P112" i="12"/>
  <c r="M112" i="12"/>
  <c r="K112" i="12"/>
  <c r="H112" i="12"/>
  <c r="P111" i="12"/>
  <c r="K111" i="12"/>
  <c r="M111" i="12" s="1"/>
  <c r="Q111" i="12" s="1"/>
  <c r="H111" i="12"/>
  <c r="P110" i="12"/>
  <c r="H110" i="12"/>
  <c r="M110" i="12" s="1"/>
  <c r="Q110" i="12" s="1"/>
  <c r="P109" i="12"/>
  <c r="M109" i="12"/>
  <c r="Q109" i="12" s="1"/>
  <c r="K109" i="12"/>
  <c r="H109" i="12"/>
  <c r="P108" i="12"/>
  <c r="H108" i="12"/>
  <c r="M108" i="12" s="1"/>
  <c r="Q108" i="12" s="1"/>
  <c r="P107" i="12"/>
  <c r="H107" i="12"/>
  <c r="M107" i="12" s="1"/>
  <c r="Q107" i="12" s="1"/>
  <c r="P106" i="12"/>
  <c r="H106" i="12"/>
  <c r="M106" i="12" s="1"/>
  <c r="Q106" i="12" s="1"/>
  <c r="P105" i="12"/>
  <c r="M105" i="12"/>
  <c r="Q105" i="12" s="1"/>
  <c r="K105" i="12"/>
  <c r="H105" i="12"/>
  <c r="P104" i="12"/>
  <c r="K104" i="12"/>
  <c r="H104" i="12"/>
  <c r="M104" i="12" s="1"/>
  <c r="Q104" i="12" s="1"/>
  <c r="P103" i="12"/>
  <c r="H103" i="12"/>
  <c r="M103" i="12" s="1"/>
  <c r="Q103" i="12" s="1"/>
  <c r="P102" i="12"/>
  <c r="K102" i="12"/>
  <c r="H102" i="12"/>
  <c r="M102" i="12" s="1"/>
  <c r="Q102" i="12" s="1"/>
  <c r="P101" i="12"/>
  <c r="K101" i="12"/>
  <c r="H101" i="12"/>
  <c r="M101" i="12" s="1"/>
  <c r="Q101" i="12" s="1"/>
  <c r="M99" i="12"/>
  <c r="Q99" i="12" s="1"/>
  <c r="K99" i="12"/>
  <c r="H99" i="12"/>
  <c r="P98" i="12"/>
  <c r="H98" i="12"/>
  <c r="M98" i="12" s="1"/>
  <c r="Q98" i="12" s="1"/>
  <c r="P95" i="12"/>
  <c r="M95" i="12"/>
  <c r="Q95" i="12" s="1"/>
  <c r="H95" i="12"/>
  <c r="P94" i="12"/>
  <c r="Q94" i="12" s="1"/>
  <c r="O94" i="12"/>
  <c r="N94" i="12"/>
  <c r="M94" i="12"/>
  <c r="L94" i="12"/>
  <c r="H94" i="12"/>
  <c r="G94" i="12"/>
  <c r="F94" i="12"/>
  <c r="C94" i="12"/>
  <c r="P92" i="12"/>
  <c r="H92" i="12"/>
  <c r="M92" i="12" s="1"/>
  <c r="Q92" i="12" s="1"/>
  <c r="P91" i="12"/>
  <c r="H91" i="12"/>
  <c r="M91" i="12" s="1"/>
  <c r="Q91" i="12" s="1"/>
  <c r="P90" i="12"/>
  <c r="K90" i="12"/>
  <c r="H90" i="12"/>
  <c r="M90" i="12" s="1"/>
  <c r="Q90" i="12" s="1"/>
  <c r="P89" i="12"/>
  <c r="H89" i="12"/>
  <c r="M89" i="12" s="1"/>
  <c r="Q89" i="12" s="1"/>
  <c r="P88" i="12"/>
  <c r="M88" i="12"/>
  <c r="Q88" i="12" s="1"/>
  <c r="H88" i="12"/>
  <c r="P87" i="12"/>
  <c r="H87" i="12"/>
  <c r="M87" i="12" s="1"/>
  <c r="Q87" i="12" s="1"/>
  <c r="P86" i="12"/>
  <c r="M86" i="12"/>
  <c r="Q86" i="12" s="1"/>
  <c r="H86" i="12"/>
  <c r="P85" i="12"/>
  <c r="H85" i="12"/>
  <c r="M85" i="12" s="1"/>
  <c r="Q85" i="12" s="1"/>
  <c r="P84" i="12"/>
  <c r="M84" i="12"/>
  <c r="Q84" i="12" s="1"/>
  <c r="H84" i="12"/>
  <c r="P83" i="12"/>
  <c r="H83" i="12"/>
  <c r="M83" i="12" s="1"/>
  <c r="Q83" i="12" s="1"/>
  <c r="N82" i="12"/>
  <c r="P82" i="12" s="1"/>
  <c r="M82" i="12"/>
  <c r="Q82" i="12" s="1"/>
  <c r="K82" i="12"/>
  <c r="H82" i="12"/>
  <c r="P81" i="12"/>
  <c r="M81" i="12"/>
  <c r="Q81" i="12" s="1"/>
  <c r="H81" i="12"/>
  <c r="Q80" i="12"/>
  <c r="P80" i="12"/>
  <c r="M80" i="12"/>
  <c r="H80" i="12"/>
  <c r="P79" i="12"/>
  <c r="M79" i="12"/>
  <c r="Q79" i="12" s="1"/>
  <c r="H79" i="12"/>
  <c r="Q78" i="12"/>
  <c r="P78" i="12"/>
  <c r="M78" i="12"/>
  <c r="H78" i="12"/>
  <c r="P77" i="12"/>
  <c r="M77" i="12"/>
  <c r="Q77" i="12" s="1"/>
  <c r="H77" i="12"/>
  <c r="Q76" i="12"/>
  <c r="P76" i="12"/>
  <c r="M76" i="12"/>
  <c r="K76" i="12"/>
  <c r="H76" i="12"/>
  <c r="P75" i="12"/>
  <c r="H75" i="12"/>
  <c r="H73" i="12" s="1"/>
  <c r="P74" i="12"/>
  <c r="P73" i="12" s="1"/>
  <c r="H74" i="12"/>
  <c r="M74" i="12" s="1"/>
  <c r="O73" i="12"/>
  <c r="N73" i="12"/>
  <c r="L73" i="12"/>
  <c r="J73" i="12"/>
  <c r="G73" i="12"/>
  <c r="F73" i="12"/>
  <c r="C73" i="12"/>
  <c r="Q71" i="12"/>
  <c r="P71" i="12"/>
  <c r="M71" i="12"/>
  <c r="H71" i="12"/>
  <c r="P69" i="12"/>
  <c r="J69" i="12"/>
  <c r="K69" i="12" s="1"/>
  <c r="H69" i="12"/>
  <c r="P68" i="12"/>
  <c r="K68" i="12"/>
  <c r="H68" i="12"/>
  <c r="M68" i="12" s="1"/>
  <c r="Q68" i="12" s="1"/>
  <c r="P67" i="12"/>
  <c r="M67" i="12"/>
  <c r="Q67" i="12" s="1"/>
  <c r="K67" i="12"/>
  <c r="H67" i="12"/>
  <c r="P66" i="12"/>
  <c r="K66" i="12"/>
  <c r="H66" i="12"/>
  <c r="H63" i="12" s="1"/>
  <c r="P65" i="12"/>
  <c r="K65" i="12"/>
  <c r="H65" i="12"/>
  <c r="M65" i="12" s="1"/>
  <c r="Q65" i="12" s="1"/>
  <c r="P64" i="12"/>
  <c r="P63" i="12" s="1"/>
  <c r="M64" i="12"/>
  <c r="Q64" i="12" s="1"/>
  <c r="K64" i="12"/>
  <c r="H64" i="12"/>
  <c r="O63" i="12"/>
  <c r="N63" i="12"/>
  <c r="L63" i="12"/>
  <c r="G63" i="12"/>
  <c r="F63" i="12"/>
  <c r="C63" i="12"/>
  <c r="Q62" i="12"/>
  <c r="P61" i="12"/>
  <c r="M61" i="12"/>
  <c r="Q61" i="12" s="1"/>
  <c r="H61" i="12"/>
  <c r="P60" i="12"/>
  <c r="K60" i="12"/>
  <c r="H60" i="12"/>
  <c r="M60" i="12" s="1"/>
  <c r="Q60" i="12" s="1"/>
  <c r="P59" i="12"/>
  <c r="M59" i="12"/>
  <c r="Q59" i="12" s="1"/>
  <c r="K59" i="12"/>
  <c r="J59" i="12"/>
  <c r="H59" i="12"/>
  <c r="P56" i="12"/>
  <c r="H56" i="12"/>
  <c r="M56" i="12" s="1"/>
  <c r="Q56" i="12" s="1"/>
  <c r="Q54" i="12"/>
  <c r="P54" i="12"/>
  <c r="M54" i="12"/>
  <c r="H54" i="12"/>
  <c r="P53" i="12"/>
  <c r="H53" i="12"/>
  <c r="M53" i="12" s="1"/>
  <c r="Q53" i="12" s="1"/>
  <c r="P52" i="12"/>
  <c r="K52" i="12"/>
  <c r="H52" i="12"/>
  <c r="M52" i="12" s="1"/>
  <c r="Q52" i="12" s="1"/>
  <c r="P51" i="12"/>
  <c r="M51" i="12"/>
  <c r="Q51" i="12" s="1"/>
  <c r="K51" i="12"/>
  <c r="H51" i="12"/>
  <c r="P50" i="12"/>
  <c r="H50" i="12"/>
  <c r="M50" i="12" s="1"/>
  <c r="Q50" i="12" s="1"/>
  <c r="P49" i="12"/>
  <c r="M49" i="12"/>
  <c r="Q49" i="12" s="1"/>
  <c r="K49" i="12"/>
  <c r="H49" i="12"/>
  <c r="P47" i="12"/>
  <c r="K47" i="12"/>
  <c r="H47" i="12"/>
  <c r="M47" i="12" s="1"/>
  <c r="Q47" i="12" s="1"/>
  <c r="P46" i="12"/>
  <c r="K46" i="12"/>
  <c r="H46" i="12"/>
  <c r="M46" i="12" s="1"/>
  <c r="Q46" i="12" s="1"/>
  <c r="P45" i="12"/>
  <c r="M45" i="12"/>
  <c r="Q45" i="12" s="1"/>
  <c r="K45" i="12"/>
  <c r="H45" i="12"/>
  <c r="P44" i="12"/>
  <c r="K44" i="12"/>
  <c r="H44" i="12"/>
  <c r="M44" i="12" s="1"/>
  <c r="Q44" i="12" s="1"/>
  <c r="Q43" i="12"/>
  <c r="P43" i="12"/>
  <c r="M43" i="12"/>
  <c r="K43" i="12"/>
  <c r="H43" i="12"/>
  <c r="P42" i="12"/>
  <c r="K42" i="12"/>
  <c r="H42" i="12"/>
  <c r="M42" i="12" s="1"/>
  <c r="Q42" i="12" s="1"/>
  <c r="P41" i="12"/>
  <c r="H41" i="12"/>
  <c r="M41" i="12" s="1"/>
  <c r="Q41" i="12" s="1"/>
  <c r="P40" i="12"/>
  <c r="M40" i="12"/>
  <c r="Q40" i="12" s="1"/>
  <c r="H40" i="12"/>
  <c r="K39" i="12"/>
  <c r="H39" i="12"/>
  <c r="M39" i="12" s="1"/>
  <c r="Q39" i="12" s="1"/>
  <c r="P38" i="12"/>
  <c r="M38" i="12"/>
  <c r="Q38" i="12" s="1"/>
  <c r="K38" i="12"/>
  <c r="H38" i="12"/>
  <c r="P37" i="12"/>
  <c r="K37" i="12"/>
  <c r="H37" i="12"/>
  <c r="M37" i="12" s="1"/>
  <c r="Q37" i="12" s="1"/>
  <c r="Q36" i="12"/>
  <c r="P36" i="12"/>
  <c r="M36" i="12"/>
  <c r="K36" i="12"/>
  <c r="H36" i="12"/>
  <c r="P35" i="12"/>
  <c r="K35" i="12"/>
  <c r="H35" i="12"/>
  <c r="M35" i="12" s="1"/>
  <c r="Q35" i="12" s="1"/>
  <c r="P34" i="12"/>
  <c r="H34" i="12"/>
  <c r="M34" i="12" s="1"/>
  <c r="Q34" i="12" s="1"/>
  <c r="P33" i="12"/>
  <c r="M33" i="12"/>
  <c r="Q33" i="12" s="1"/>
  <c r="H33" i="12"/>
  <c r="P31" i="12"/>
  <c r="K31" i="12"/>
  <c r="H31" i="12"/>
  <c r="M31" i="12" s="1"/>
  <c r="Q31" i="12" s="1"/>
  <c r="P30" i="12"/>
  <c r="M30" i="12"/>
  <c r="Q30" i="12" s="1"/>
  <c r="K30" i="12"/>
  <c r="H30" i="12"/>
  <c r="P29" i="12"/>
  <c r="K29" i="12"/>
  <c r="H29" i="12"/>
  <c r="M29" i="12" s="1"/>
  <c r="Q29" i="12" s="1"/>
  <c r="P27" i="12"/>
  <c r="H27" i="12"/>
  <c r="M27" i="12" s="1"/>
  <c r="Q27" i="12" s="1"/>
  <c r="P26" i="12"/>
  <c r="K26" i="12"/>
  <c r="H26" i="12"/>
  <c r="M26" i="12" s="1"/>
  <c r="Q26" i="12" s="1"/>
  <c r="P25" i="12"/>
  <c r="K25" i="12"/>
  <c r="H25" i="12"/>
  <c r="M25" i="12" s="1"/>
  <c r="Q25" i="12" s="1"/>
  <c r="P24" i="12"/>
  <c r="M24" i="12"/>
  <c r="Q24" i="12" s="1"/>
  <c r="K24" i="12"/>
  <c r="H24" i="12"/>
  <c r="P22" i="12"/>
  <c r="K22" i="12"/>
  <c r="H22" i="12"/>
  <c r="M22" i="12" s="1"/>
  <c r="Q22" i="12" s="1"/>
  <c r="P21" i="12"/>
  <c r="K21" i="12"/>
  <c r="H21" i="12"/>
  <c r="M21" i="12" s="1"/>
  <c r="Q21" i="12" s="1"/>
  <c r="P20" i="12"/>
  <c r="M20" i="12"/>
  <c r="Q20" i="12" s="1"/>
  <c r="K20" i="12"/>
  <c r="H20" i="12"/>
  <c r="P19" i="12"/>
  <c r="K19" i="12"/>
  <c r="H19" i="12"/>
  <c r="M19" i="12" s="1"/>
  <c r="Q19" i="12" s="1"/>
  <c r="Q18" i="12"/>
  <c r="P18" i="12"/>
  <c r="P17" i="12" s="1"/>
  <c r="Q17" i="12" s="1"/>
  <c r="O18" i="12"/>
  <c r="O17" i="12" s="1"/>
  <c r="N18" i="12"/>
  <c r="M18" i="12"/>
  <c r="L18" i="12"/>
  <c r="H18" i="12"/>
  <c r="G18" i="12"/>
  <c r="F18" i="12"/>
  <c r="F17" i="12" s="1"/>
  <c r="C18" i="12"/>
  <c r="C17" i="12" s="1"/>
  <c r="N17" i="12"/>
  <c r="M17" i="12"/>
  <c r="L17" i="12"/>
  <c r="H17" i="12"/>
  <c r="G17" i="12"/>
  <c r="Q65" i="13"/>
  <c r="N65" i="13"/>
  <c r="P65" i="13" s="1"/>
  <c r="P64" i="13" s="1"/>
  <c r="K65" i="13"/>
  <c r="H65" i="13"/>
  <c r="H64" i="13" s="1"/>
  <c r="N64" i="13"/>
  <c r="M64" i="13"/>
  <c r="G64" i="13"/>
  <c r="F64" i="13"/>
  <c r="D64" i="13"/>
  <c r="C64" i="13"/>
  <c r="C16" i="13" s="1"/>
  <c r="Q62" i="13"/>
  <c r="M62" i="13"/>
  <c r="K62" i="13"/>
  <c r="H62" i="13"/>
  <c r="Q61" i="13"/>
  <c r="M61" i="13"/>
  <c r="K61" i="13"/>
  <c r="H61" i="13"/>
  <c r="Q60" i="13"/>
  <c r="M60" i="13"/>
  <c r="K60" i="13"/>
  <c r="H60" i="13"/>
  <c r="Q59" i="13"/>
  <c r="M59" i="13"/>
  <c r="K59" i="13"/>
  <c r="H59" i="13"/>
  <c r="H58" i="13" s="1"/>
  <c r="H16" i="13" s="1"/>
  <c r="P58" i="13"/>
  <c r="M58" i="13"/>
  <c r="G58" i="13"/>
  <c r="F58" i="13"/>
  <c r="D58" i="13"/>
  <c r="C58" i="13"/>
  <c r="Q56" i="13"/>
  <c r="M56" i="13"/>
  <c r="K56" i="13"/>
  <c r="H56" i="13"/>
  <c r="Q55" i="13"/>
  <c r="K55" i="13"/>
  <c r="M55" i="13" s="1"/>
  <c r="H55" i="13"/>
  <c r="Q54" i="13"/>
  <c r="M54" i="13"/>
  <c r="K54" i="13"/>
  <c r="H54" i="13"/>
  <c r="Q53" i="13"/>
  <c r="K53" i="13"/>
  <c r="M53" i="13" s="1"/>
  <c r="H53" i="13"/>
  <c r="Q52" i="13"/>
  <c r="M52" i="13"/>
  <c r="M51" i="13" s="1"/>
  <c r="K52" i="13"/>
  <c r="H52" i="13"/>
  <c r="P51" i="13"/>
  <c r="N51" i="13"/>
  <c r="H51" i="13"/>
  <c r="G51" i="13"/>
  <c r="F51" i="13"/>
  <c r="D51" i="13"/>
  <c r="C51" i="13"/>
  <c r="Q48" i="13"/>
  <c r="K48" i="13"/>
  <c r="M48" i="13" s="1"/>
  <c r="H48" i="13"/>
  <c r="Q47" i="13"/>
  <c r="N47" i="13"/>
  <c r="M47" i="13" s="1"/>
  <c r="K47" i="13"/>
  <c r="H47" i="13"/>
  <c r="Q45" i="13"/>
  <c r="M45" i="13"/>
  <c r="K45" i="13"/>
  <c r="H45" i="13"/>
  <c r="Q44" i="13"/>
  <c r="M44" i="13"/>
  <c r="K44" i="13"/>
  <c r="H44" i="13"/>
  <c r="Q43" i="13"/>
  <c r="M43" i="13"/>
  <c r="M42" i="13" s="1"/>
  <c r="K43" i="13"/>
  <c r="H43" i="13"/>
  <c r="H42" i="13" s="1"/>
  <c r="P42" i="13"/>
  <c r="G42" i="13"/>
  <c r="F42" i="13"/>
  <c r="D42" i="13"/>
  <c r="C42" i="13"/>
  <c r="Q35" i="13"/>
  <c r="M35" i="13"/>
  <c r="K35" i="13"/>
  <c r="H35" i="13"/>
  <c r="Q32" i="13"/>
  <c r="M32" i="13"/>
  <c r="K32" i="13"/>
  <c r="H32" i="13"/>
  <c r="Q31" i="13"/>
  <c r="M31" i="13"/>
  <c r="K31" i="13"/>
  <c r="H31" i="13"/>
  <c r="Q30" i="13"/>
  <c r="M30" i="13"/>
  <c r="K30" i="13"/>
  <c r="H30" i="13"/>
  <c r="Q27" i="13"/>
  <c r="M27" i="13"/>
  <c r="K27" i="13"/>
  <c r="H27" i="13"/>
  <c r="Q26" i="13"/>
  <c r="M26" i="13"/>
  <c r="K26" i="13"/>
  <c r="H26" i="13"/>
  <c r="Q22" i="13"/>
  <c r="M22" i="13"/>
  <c r="K22" i="13"/>
  <c r="H22" i="13"/>
  <c r="Q21" i="13"/>
  <c r="M21" i="13"/>
  <c r="K21" i="13"/>
  <c r="H21" i="13"/>
  <c r="Q19" i="13"/>
  <c r="M19" i="13"/>
  <c r="K19" i="13"/>
  <c r="H19" i="13"/>
  <c r="Q18" i="13"/>
  <c r="K18" i="13"/>
  <c r="H18" i="13"/>
  <c r="H17" i="13" s="1"/>
  <c r="G18" i="13"/>
  <c r="G17" i="13" s="1"/>
  <c r="F18" i="13"/>
  <c r="M18" i="13" s="1"/>
  <c r="M17" i="13" s="1"/>
  <c r="P17" i="13"/>
  <c r="N17" i="13"/>
  <c r="F17" i="13"/>
  <c r="F16" i="13" s="1"/>
  <c r="D17" i="13"/>
  <c r="C17" i="13"/>
  <c r="D16" i="13"/>
  <c r="BS142" i="1"/>
  <c r="BM142" i="1"/>
  <c r="BG142" i="1"/>
  <c r="BA142" i="1"/>
  <c r="AU142" i="1"/>
  <c r="AO142" i="1"/>
  <c r="AI142" i="1"/>
  <c r="AC142" i="1"/>
  <c r="W142" i="1"/>
  <c r="Q142" i="1"/>
  <c r="K142" i="1"/>
  <c r="E142" i="1"/>
  <c r="CQ141" i="1"/>
  <c r="CQ129" i="1" s="1"/>
  <c r="CK141" i="1"/>
  <c r="CK129" i="1" s="1"/>
  <c r="BS141" i="1"/>
  <c r="BM141" i="1"/>
  <c r="BG141" i="1"/>
  <c r="BA141" i="1"/>
  <c r="AU141" i="1"/>
  <c r="AO141" i="1"/>
  <c r="AI141" i="1"/>
  <c r="AC141" i="1"/>
  <c r="W141" i="1"/>
  <c r="Q141" i="1"/>
  <c r="K141" i="1"/>
  <c r="E141" i="1"/>
  <c r="BS140" i="1"/>
  <c r="BM140" i="1"/>
  <c r="BG140" i="1"/>
  <c r="BA140" i="1"/>
  <c r="AU140" i="1"/>
  <c r="AO140" i="1"/>
  <c r="AI140" i="1"/>
  <c r="AC140" i="1"/>
  <c r="W140" i="1"/>
  <c r="Q140" i="1"/>
  <c r="K140" i="1"/>
  <c r="E140" i="1"/>
  <c r="BS139" i="1"/>
  <c r="BM139" i="1"/>
  <c r="BG139" i="1"/>
  <c r="BA139" i="1"/>
  <c r="AU139" i="1"/>
  <c r="AO139" i="1"/>
  <c r="AI139" i="1"/>
  <c r="AC139" i="1"/>
  <c r="W139" i="1"/>
  <c r="Q139" i="1"/>
  <c r="K139" i="1"/>
  <c r="E139" i="1"/>
  <c r="BS138" i="1"/>
  <c r="BM138" i="1"/>
  <c r="BG138" i="1"/>
  <c r="BA138" i="1"/>
  <c r="AU138" i="1"/>
  <c r="AO138" i="1"/>
  <c r="AI138" i="1"/>
  <c r="AC138" i="1"/>
  <c r="W138" i="1"/>
  <c r="Q138" i="1"/>
  <c r="K138" i="1"/>
  <c r="E138" i="1"/>
  <c r="BS137" i="1"/>
  <c r="BM137" i="1"/>
  <c r="BG137" i="1"/>
  <c r="BA137" i="1"/>
  <c r="AU137" i="1"/>
  <c r="AO137" i="1"/>
  <c r="AI137" i="1"/>
  <c r="AC137" i="1"/>
  <c r="W137" i="1"/>
  <c r="Q137" i="1"/>
  <c r="K137" i="1"/>
  <c r="E137" i="1"/>
  <c r="BS136" i="1"/>
  <c r="BM136" i="1"/>
  <c r="BG136" i="1"/>
  <c r="BA136" i="1"/>
  <c r="AU136" i="1"/>
  <c r="AO136" i="1"/>
  <c r="AI136" i="1"/>
  <c r="AC136" i="1"/>
  <c r="W136" i="1"/>
  <c r="Q136" i="1"/>
  <c r="K136" i="1"/>
  <c r="E136" i="1"/>
  <c r="BY135" i="1"/>
  <c r="BY129" i="1" s="1"/>
  <c r="BS135" i="1"/>
  <c r="BM135" i="1"/>
  <c r="BG135" i="1"/>
  <c r="BA135" i="1"/>
  <c r="AU135" i="1"/>
  <c r="AO135" i="1"/>
  <c r="AI135" i="1"/>
  <c r="AC135" i="1"/>
  <c r="W135" i="1"/>
  <c r="Q135" i="1"/>
  <c r="K135" i="1"/>
  <c r="E135" i="1"/>
  <c r="BS134" i="1"/>
  <c r="BM134" i="1"/>
  <c r="BG134" i="1"/>
  <c r="BA134" i="1"/>
  <c r="AU134" i="1"/>
  <c r="AO134" i="1"/>
  <c r="AI134" i="1"/>
  <c r="AC134" i="1"/>
  <c r="W134" i="1"/>
  <c r="Q134" i="1"/>
  <c r="K134" i="1"/>
  <c r="E134" i="1"/>
  <c r="BS133" i="1"/>
  <c r="BM133" i="1"/>
  <c r="BG133" i="1"/>
  <c r="BA133" i="1"/>
  <c r="AU133" i="1"/>
  <c r="AO133" i="1"/>
  <c r="AI133" i="1"/>
  <c r="AC133" i="1"/>
  <c r="W133" i="1"/>
  <c r="Q133" i="1"/>
  <c r="K133" i="1"/>
  <c r="E133" i="1"/>
  <c r="BS132" i="1"/>
  <c r="BM132" i="1"/>
  <c r="BG132" i="1"/>
  <c r="BA132" i="1"/>
  <c r="AU132" i="1"/>
  <c r="AO132" i="1"/>
  <c r="AI132" i="1"/>
  <c r="AC132" i="1"/>
  <c r="W132" i="1"/>
  <c r="Q132" i="1"/>
  <c r="K132" i="1"/>
  <c r="E132" i="1"/>
  <c r="BS131" i="1"/>
  <c r="BM131" i="1"/>
  <c r="BG131" i="1"/>
  <c r="BA131" i="1"/>
  <c r="AU131" i="1"/>
  <c r="AO131" i="1"/>
  <c r="AI131" i="1"/>
  <c r="AC131" i="1"/>
  <c r="W131" i="1"/>
  <c r="Q131" i="1"/>
  <c r="K131" i="1"/>
  <c r="E131" i="1"/>
  <c r="CE130" i="1"/>
  <c r="BS130" i="1"/>
  <c r="BM130" i="1"/>
  <c r="BG130" i="1"/>
  <c r="BA130" i="1"/>
  <c r="AU130" i="1"/>
  <c r="AO130" i="1"/>
  <c r="AI130" i="1"/>
  <c r="AC130" i="1"/>
  <c r="W130" i="1"/>
  <c r="Q130" i="1"/>
  <c r="K130" i="1"/>
  <c r="E130" i="1"/>
  <c r="CS129" i="1"/>
  <c r="CR129" i="1"/>
  <c r="CP129" i="1"/>
  <c r="CO129" i="1"/>
  <c r="CN129" i="1"/>
  <c r="CM129" i="1"/>
  <c r="CL129" i="1"/>
  <c r="CJ129" i="1"/>
  <c r="CI129" i="1"/>
  <c r="CH129" i="1"/>
  <c r="CG129" i="1"/>
  <c r="CF129" i="1"/>
  <c r="CE129" i="1"/>
  <c r="CD129" i="1"/>
  <c r="CC129" i="1"/>
  <c r="CB129" i="1"/>
  <c r="CA129" i="1"/>
  <c r="BZ129" i="1"/>
  <c r="BX129" i="1"/>
  <c r="BW129" i="1"/>
  <c r="BV129" i="1"/>
  <c r="BU129" i="1"/>
  <c r="BT129" i="1"/>
  <c r="BR129" i="1"/>
  <c r="BQ129" i="1"/>
  <c r="BP129" i="1"/>
  <c r="BO129" i="1"/>
  <c r="BN129" i="1"/>
  <c r="BL129" i="1"/>
  <c r="BK129" i="1"/>
  <c r="BJ129" i="1"/>
  <c r="BI129" i="1"/>
  <c r="BH129" i="1"/>
  <c r="BF129" i="1"/>
  <c r="BE129" i="1"/>
  <c r="BD129" i="1"/>
  <c r="BC129" i="1"/>
  <c r="BB129" i="1"/>
  <c r="AZ129" i="1"/>
  <c r="AY129" i="1"/>
  <c r="AX129" i="1"/>
  <c r="AW129" i="1"/>
  <c r="AV129" i="1"/>
  <c r="AT129" i="1"/>
  <c r="AS129" i="1"/>
  <c r="AR129" i="1"/>
  <c r="AQ129" i="1"/>
  <c r="AP129" i="1"/>
  <c r="AN129" i="1"/>
  <c r="AM129" i="1"/>
  <c r="AL129" i="1"/>
  <c r="AK129" i="1"/>
  <c r="AJ129" i="1"/>
  <c r="AH129" i="1"/>
  <c r="AG129" i="1"/>
  <c r="AF129" i="1"/>
  <c r="AE129" i="1"/>
  <c r="AD129" i="1"/>
  <c r="AB129" i="1"/>
  <c r="AA129" i="1"/>
  <c r="Z129" i="1"/>
  <c r="Y129" i="1"/>
  <c r="X129" i="1"/>
  <c r="V129" i="1"/>
  <c r="U129" i="1"/>
  <c r="T129" i="1"/>
  <c r="S129" i="1"/>
  <c r="R129" i="1"/>
  <c r="P129" i="1"/>
  <c r="O129" i="1"/>
  <c r="N129" i="1"/>
  <c r="M129" i="1"/>
  <c r="L129" i="1"/>
  <c r="J129" i="1"/>
  <c r="I129" i="1"/>
  <c r="H129" i="1"/>
  <c r="G129" i="1"/>
  <c r="F129" i="1"/>
  <c r="D129" i="1"/>
  <c r="C129" i="1"/>
  <c r="B129" i="1"/>
  <c r="CK128" i="1"/>
  <c r="BY128" i="1"/>
  <c r="BS128" i="1"/>
  <c r="BM128" i="1"/>
  <c r="BG128" i="1"/>
  <c r="BA128" i="1"/>
  <c r="AU128" i="1"/>
  <c r="AO128" i="1"/>
  <c r="AI128" i="1"/>
  <c r="AC128" i="1"/>
  <c r="W128" i="1"/>
  <c r="Q128" i="1"/>
  <c r="K128" i="1"/>
  <c r="E128" i="1"/>
  <c r="CK127" i="1"/>
  <c r="BY127" i="1"/>
  <c r="BS127" i="1"/>
  <c r="BM127" i="1"/>
  <c r="BG127" i="1"/>
  <c r="BA127" i="1"/>
  <c r="AU127" i="1"/>
  <c r="AO127" i="1"/>
  <c r="AI127" i="1"/>
  <c r="AC127" i="1"/>
  <c r="W127" i="1"/>
  <c r="Q127" i="1"/>
  <c r="K127" i="1"/>
  <c r="E127" i="1"/>
  <c r="CK126" i="1"/>
  <c r="BY126" i="1"/>
  <c r="BS126" i="1"/>
  <c r="BM126" i="1"/>
  <c r="BG126" i="1"/>
  <c r="BA126" i="1"/>
  <c r="AU126" i="1"/>
  <c r="AO126" i="1"/>
  <c r="AI126" i="1"/>
  <c r="AC126" i="1"/>
  <c r="W126" i="1"/>
  <c r="Q126" i="1"/>
  <c r="K126" i="1"/>
  <c r="E126" i="1"/>
  <c r="CK125" i="1"/>
  <c r="BY125" i="1"/>
  <c r="BS125" i="1"/>
  <c r="BM125" i="1"/>
  <c r="BG125" i="1"/>
  <c r="BA125" i="1"/>
  <c r="AU125" i="1"/>
  <c r="AO125" i="1"/>
  <c r="AI125" i="1"/>
  <c r="AC125" i="1"/>
  <c r="W125" i="1"/>
  <c r="Q125" i="1"/>
  <c r="K125" i="1"/>
  <c r="E125" i="1"/>
  <c r="CK124" i="1"/>
  <c r="BY124" i="1"/>
  <c r="BS124" i="1"/>
  <c r="BM124" i="1"/>
  <c r="BG124" i="1"/>
  <c r="BA124" i="1"/>
  <c r="AU124" i="1"/>
  <c r="AO124" i="1"/>
  <c r="AI124" i="1"/>
  <c r="AC124" i="1"/>
  <c r="W124" i="1"/>
  <c r="Q124" i="1"/>
  <c r="K124" i="1"/>
  <c r="E124" i="1"/>
  <c r="CK123" i="1"/>
  <c r="BY123" i="1"/>
  <c r="BS123" i="1"/>
  <c r="BM123" i="1"/>
  <c r="BG123" i="1"/>
  <c r="BA123" i="1"/>
  <c r="AU123" i="1"/>
  <c r="AO123" i="1"/>
  <c r="AI123" i="1"/>
  <c r="AC123" i="1"/>
  <c r="W123" i="1"/>
  <c r="Q123" i="1"/>
  <c r="K123" i="1"/>
  <c r="E123" i="1"/>
  <c r="CK122" i="1"/>
  <c r="BY122" i="1"/>
  <c r="BS122" i="1"/>
  <c r="BM122" i="1"/>
  <c r="BG122" i="1"/>
  <c r="BA122" i="1"/>
  <c r="AU122" i="1"/>
  <c r="AO122" i="1"/>
  <c r="AI122" i="1"/>
  <c r="AC122" i="1"/>
  <c r="W122" i="1"/>
  <c r="Q122" i="1"/>
  <c r="K122" i="1"/>
  <c r="E122" i="1"/>
  <c r="CK121" i="1"/>
  <c r="BY121" i="1"/>
  <c r="BS121" i="1"/>
  <c r="BM121" i="1"/>
  <c r="BG121" i="1"/>
  <c r="BA121" i="1"/>
  <c r="AU121" i="1"/>
  <c r="AO121" i="1"/>
  <c r="AI121" i="1"/>
  <c r="AC121" i="1"/>
  <c r="W121" i="1"/>
  <c r="Q121" i="1"/>
  <c r="K121" i="1"/>
  <c r="E121" i="1"/>
  <c r="CK120" i="1"/>
  <c r="BY120" i="1"/>
  <c r="BS120" i="1"/>
  <c r="BM120" i="1"/>
  <c r="BG120" i="1"/>
  <c r="BA120" i="1"/>
  <c r="AU120" i="1"/>
  <c r="AO120" i="1"/>
  <c r="AI120" i="1"/>
  <c r="AC120" i="1"/>
  <c r="W120" i="1"/>
  <c r="Q120" i="1"/>
  <c r="K120" i="1"/>
  <c r="E120" i="1"/>
  <c r="CK119" i="1"/>
  <c r="BY119" i="1"/>
  <c r="BS119" i="1"/>
  <c r="BM119" i="1"/>
  <c r="BG119" i="1"/>
  <c r="BA119" i="1"/>
  <c r="AU119" i="1"/>
  <c r="AO119" i="1"/>
  <c r="AI119" i="1"/>
  <c r="AC119" i="1"/>
  <c r="W119" i="1"/>
  <c r="Q119" i="1"/>
  <c r="K119" i="1"/>
  <c r="E119" i="1"/>
  <c r="CK118" i="1"/>
  <c r="BY118" i="1"/>
  <c r="BS118" i="1"/>
  <c r="BM118" i="1"/>
  <c r="BG118" i="1"/>
  <c r="BA118" i="1"/>
  <c r="AU118" i="1"/>
  <c r="AO118" i="1"/>
  <c r="AI118" i="1"/>
  <c r="AC118" i="1"/>
  <c r="W118" i="1"/>
  <c r="Q118" i="1"/>
  <c r="K118" i="1"/>
  <c r="E118" i="1"/>
  <c r="CK117" i="1"/>
  <c r="BY117" i="1"/>
  <c r="BS117" i="1"/>
  <c r="BM117" i="1"/>
  <c r="BG117" i="1"/>
  <c r="BA117" i="1"/>
  <c r="AU117" i="1"/>
  <c r="AO117" i="1"/>
  <c r="AI117" i="1"/>
  <c r="AC117" i="1"/>
  <c r="W117" i="1"/>
  <c r="Q117" i="1"/>
  <c r="K117" i="1"/>
  <c r="E117" i="1"/>
  <c r="CK116" i="1"/>
  <c r="BY116" i="1"/>
  <c r="BS116" i="1"/>
  <c r="BM116" i="1"/>
  <c r="BG116" i="1"/>
  <c r="BA116" i="1"/>
  <c r="AU116" i="1"/>
  <c r="AO116" i="1"/>
  <c r="AI116" i="1"/>
  <c r="AC116" i="1"/>
  <c r="W116" i="1"/>
  <c r="Q116" i="1"/>
  <c r="K116" i="1"/>
  <c r="E116" i="1"/>
  <c r="CK115" i="1"/>
  <c r="BY115" i="1"/>
  <c r="BS115" i="1"/>
  <c r="BM115" i="1"/>
  <c r="BG115" i="1"/>
  <c r="BA115" i="1"/>
  <c r="AU115" i="1"/>
  <c r="AO115" i="1"/>
  <c r="AI115" i="1"/>
  <c r="AC115" i="1"/>
  <c r="W115" i="1"/>
  <c r="Q115" i="1"/>
  <c r="K115" i="1"/>
  <c r="E115" i="1"/>
  <c r="CK114" i="1"/>
  <c r="BY114" i="1"/>
  <c r="BS114" i="1"/>
  <c r="BM114" i="1"/>
  <c r="BG114" i="1"/>
  <c r="BA114" i="1"/>
  <c r="AU114" i="1"/>
  <c r="AO114" i="1"/>
  <c r="AI114" i="1"/>
  <c r="AC114" i="1"/>
  <c r="W114" i="1"/>
  <c r="Q114" i="1"/>
  <c r="K114" i="1"/>
  <c r="E114" i="1"/>
  <c r="BS113" i="1"/>
  <c r="BM113" i="1"/>
  <c r="BG113" i="1"/>
  <c r="BA113" i="1"/>
  <c r="AU113" i="1"/>
  <c r="AO113" i="1"/>
  <c r="AI113" i="1"/>
  <c r="AC113" i="1"/>
  <c r="W113" i="1"/>
  <c r="Q113" i="1"/>
  <c r="K113" i="1"/>
  <c r="E113" i="1"/>
  <c r="CK112" i="1"/>
  <c r="BY112" i="1"/>
  <c r="BS112" i="1"/>
  <c r="BM112" i="1"/>
  <c r="BG112" i="1"/>
  <c r="BA112" i="1"/>
  <c r="AU112" i="1"/>
  <c r="AO112" i="1"/>
  <c r="AI112" i="1"/>
  <c r="AC112" i="1"/>
  <c r="W112" i="1"/>
  <c r="Q112" i="1"/>
  <c r="K112" i="1"/>
  <c r="E112" i="1"/>
  <c r="CK111" i="1"/>
  <c r="BY111" i="1"/>
  <c r="BS111" i="1"/>
  <c r="BM111" i="1"/>
  <c r="BG111" i="1"/>
  <c r="BA111" i="1"/>
  <c r="AU111" i="1"/>
  <c r="AO111" i="1"/>
  <c r="AI111" i="1"/>
  <c r="AC111" i="1"/>
  <c r="W111" i="1"/>
  <c r="Q111" i="1"/>
  <c r="K111" i="1"/>
  <c r="E111" i="1"/>
  <c r="CS110" i="1"/>
  <c r="CR110" i="1"/>
  <c r="CQ110" i="1"/>
  <c r="CP110" i="1"/>
  <c r="CO110" i="1"/>
  <c r="CN110" i="1"/>
  <c r="CM110" i="1"/>
  <c r="CL110" i="1"/>
  <c r="CJ110" i="1"/>
  <c r="CI110" i="1"/>
  <c r="CH110" i="1"/>
  <c r="CG110" i="1"/>
  <c r="CF110" i="1"/>
  <c r="CE110" i="1"/>
  <c r="CD110" i="1"/>
  <c r="CC110" i="1"/>
  <c r="CB110" i="1"/>
  <c r="CA110" i="1"/>
  <c r="BZ110" i="1"/>
  <c r="BX110" i="1"/>
  <c r="BW110" i="1"/>
  <c r="BV110" i="1"/>
  <c r="BU110" i="1"/>
  <c r="BT110" i="1"/>
  <c r="BR110" i="1"/>
  <c r="BQ110" i="1"/>
  <c r="BP110" i="1"/>
  <c r="BO110" i="1"/>
  <c r="BN110" i="1"/>
  <c r="BL110" i="1"/>
  <c r="BK110" i="1"/>
  <c r="BJ110" i="1"/>
  <c r="BI110" i="1"/>
  <c r="BH110" i="1"/>
  <c r="BF110" i="1"/>
  <c r="BE110" i="1"/>
  <c r="BD110" i="1"/>
  <c r="BC110" i="1"/>
  <c r="BB110" i="1"/>
  <c r="AZ110" i="1"/>
  <c r="AY110" i="1"/>
  <c r="AX110" i="1"/>
  <c r="AW110" i="1"/>
  <c r="AV110" i="1"/>
  <c r="AT110" i="1"/>
  <c r="AS110" i="1"/>
  <c r="AR110" i="1"/>
  <c r="AQ110" i="1"/>
  <c r="AP110" i="1"/>
  <c r="AN110" i="1"/>
  <c r="AM110" i="1"/>
  <c r="AL110" i="1"/>
  <c r="AK110" i="1"/>
  <c r="AJ110" i="1"/>
  <c r="AH110" i="1"/>
  <c r="AG110" i="1"/>
  <c r="AF110" i="1"/>
  <c r="AE110" i="1"/>
  <c r="AD110" i="1"/>
  <c r="AB110" i="1"/>
  <c r="AA110" i="1"/>
  <c r="Z110" i="1"/>
  <c r="Y110" i="1"/>
  <c r="X110" i="1"/>
  <c r="V110" i="1"/>
  <c r="U110" i="1"/>
  <c r="T110" i="1"/>
  <c r="S110" i="1"/>
  <c r="R110" i="1"/>
  <c r="P110" i="1"/>
  <c r="O110" i="1"/>
  <c r="N110" i="1"/>
  <c r="M110" i="1"/>
  <c r="L110" i="1"/>
  <c r="J110" i="1"/>
  <c r="I110" i="1"/>
  <c r="H110" i="1"/>
  <c r="G110" i="1"/>
  <c r="F110" i="1"/>
  <c r="D110" i="1"/>
  <c r="C110" i="1"/>
  <c r="B110" i="1"/>
  <c r="BS109" i="1"/>
  <c r="BM109" i="1"/>
  <c r="BG109" i="1"/>
  <c r="BA109" i="1"/>
  <c r="AU109" i="1"/>
  <c r="AO109" i="1"/>
  <c r="AI109" i="1"/>
  <c r="AC109" i="1"/>
  <c r="W109" i="1"/>
  <c r="Q109" i="1"/>
  <c r="K109" i="1"/>
  <c r="E109" i="1"/>
  <c r="CK108" i="1"/>
  <c r="BS108" i="1"/>
  <c r="BM108" i="1"/>
  <c r="BG108" i="1"/>
  <c r="BA108" i="1"/>
  <c r="AU108" i="1"/>
  <c r="AO108" i="1"/>
  <c r="AI108" i="1"/>
  <c r="AC108" i="1"/>
  <c r="W108" i="1"/>
  <c r="Q108" i="1"/>
  <c r="K108" i="1"/>
  <c r="E108" i="1"/>
  <c r="CK107" i="1"/>
  <c r="BS107" i="1"/>
  <c r="BM107" i="1"/>
  <c r="BG107" i="1"/>
  <c r="BA107" i="1"/>
  <c r="AU107" i="1"/>
  <c r="AO107" i="1"/>
  <c r="AI107" i="1"/>
  <c r="AC107" i="1"/>
  <c r="W107" i="1"/>
  <c r="Q107" i="1"/>
  <c r="K107" i="1"/>
  <c r="E107" i="1"/>
  <c r="CK106" i="1"/>
  <c r="BS106" i="1"/>
  <c r="BM106" i="1"/>
  <c r="BG106" i="1"/>
  <c r="BA106" i="1"/>
  <c r="AU106" i="1"/>
  <c r="AO106" i="1"/>
  <c r="AI106" i="1"/>
  <c r="AC106" i="1"/>
  <c r="W106" i="1"/>
  <c r="Q106" i="1"/>
  <c r="K106" i="1"/>
  <c r="E106" i="1"/>
  <c r="CK105" i="1"/>
  <c r="BS105" i="1"/>
  <c r="BM105" i="1"/>
  <c r="BG105" i="1"/>
  <c r="BA105" i="1"/>
  <c r="AU105" i="1"/>
  <c r="AO105" i="1"/>
  <c r="AI105" i="1"/>
  <c r="AC105" i="1"/>
  <c r="W105" i="1"/>
  <c r="Q105" i="1"/>
  <c r="K105" i="1"/>
  <c r="E105" i="1"/>
  <c r="CK104" i="1"/>
  <c r="BS104" i="1"/>
  <c r="BM104" i="1"/>
  <c r="BG104" i="1"/>
  <c r="BA104" i="1"/>
  <c r="AU104" i="1"/>
  <c r="AO104" i="1"/>
  <c r="AI104" i="1"/>
  <c r="AC104" i="1"/>
  <c r="W104" i="1"/>
  <c r="Q104" i="1"/>
  <c r="K104" i="1"/>
  <c r="E104" i="1"/>
  <c r="BS103" i="1"/>
  <c r="BM103" i="1"/>
  <c r="BG103" i="1"/>
  <c r="BA103" i="1"/>
  <c r="AU103" i="1"/>
  <c r="AO103" i="1"/>
  <c r="AI103" i="1"/>
  <c r="AC103" i="1"/>
  <c r="W103" i="1"/>
  <c r="Q103" i="1"/>
  <c r="K103" i="1"/>
  <c r="E103" i="1"/>
  <c r="BS102" i="1"/>
  <c r="BM102" i="1"/>
  <c r="BG102" i="1"/>
  <c r="BA102" i="1"/>
  <c r="AU102" i="1"/>
  <c r="AO102" i="1"/>
  <c r="AI102" i="1"/>
  <c r="AC102" i="1"/>
  <c r="W102" i="1"/>
  <c r="Q102" i="1"/>
  <c r="K102" i="1"/>
  <c r="E102" i="1"/>
  <c r="BS101" i="1"/>
  <c r="BM101" i="1"/>
  <c r="BG101" i="1"/>
  <c r="BA101" i="1"/>
  <c r="AU101" i="1"/>
  <c r="AO101" i="1"/>
  <c r="AI101" i="1"/>
  <c r="AC101" i="1"/>
  <c r="W101" i="1"/>
  <c r="Q101" i="1"/>
  <c r="K101" i="1"/>
  <c r="E101" i="1"/>
  <c r="BS100" i="1"/>
  <c r="BM100" i="1"/>
  <c r="BG100" i="1"/>
  <c r="BA100" i="1"/>
  <c r="AU100" i="1"/>
  <c r="AO100" i="1"/>
  <c r="AI100" i="1"/>
  <c r="AC100" i="1"/>
  <c r="W100" i="1"/>
  <c r="Q100" i="1"/>
  <c r="K100" i="1"/>
  <c r="E100" i="1"/>
  <c r="BS99" i="1"/>
  <c r="BM99" i="1"/>
  <c r="BG99" i="1"/>
  <c r="BA99" i="1"/>
  <c r="AU99" i="1"/>
  <c r="AO99" i="1"/>
  <c r="AI99" i="1"/>
  <c r="AC99" i="1"/>
  <c r="W99" i="1"/>
  <c r="Q99" i="1"/>
  <c r="K99" i="1"/>
  <c r="E99" i="1"/>
  <c r="BS98" i="1"/>
  <c r="BM98" i="1"/>
  <c r="BG98" i="1"/>
  <c r="BA98" i="1"/>
  <c r="AU98" i="1"/>
  <c r="AO98" i="1"/>
  <c r="AI98" i="1"/>
  <c r="AC98" i="1"/>
  <c r="W98" i="1"/>
  <c r="Q98" i="1"/>
  <c r="K98" i="1"/>
  <c r="E98" i="1"/>
  <c r="BS97" i="1"/>
  <c r="BM97" i="1"/>
  <c r="BG97" i="1"/>
  <c r="BA97" i="1"/>
  <c r="AU97" i="1"/>
  <c r="AO97" i="1"/>
  <c r="AI97" i="1"/>
  <c r="AC97" i="1"/>
  <c r="W97" i="1"/>
  <c r="Q97" i="1"/>
  <c r="K97" i="1"/>
  <c r="E97" i="1"/>
  <c r="BS96" i="1"/>
  <c r="BM96" i="1"/>
  <c r="BG96" i="1"/>
  <c r="BA96" i="1"/>
  <c r="AU96" i="1"/>
  <c r="AO96" i="1"/>
  <c r="AI96" i="1"/>
  <c r="AC96" i="1"/>
  <c r="W96" i="1"/>
  <c r="Q96" i="1"/>
  <c r="K96" i="1"/>
  <c r="E96" i="1"/>
  <c r="BS95" i="1"/>
  <c r="BM95" i="1"/>
  <c r="BG95" i="1"/>
  <c r="BA95" i="1"/>
  <c r="AU95" i="1"/>
  <c r="AO95" i="1"/>
  <c r="AI95" i="1"/>
  <c r="AC95" i="1"/>
  <c r="W95" i="1"/>
  <c r="Q95" i="1"/>
  <c r="K95" i="1"/>
  <c r="E95" i="1"/>
  <c r="BS94" i="1"/>
  <c r="BM94" i="1"/>
  <c r="BG94" i="1"/>
  <c r="BA94" i="1"/>
  <c r="AU94" i="1"/>
  <c r="AO94" i="1"/>
  <c r="AI94" i="1"/>
  <c r="AC94" i="1"/>
  <c r="W94" i="1"/>
  <c r="Q94" i="1"/>
  <c r="K94" i="1"/>
  <c r="E94" i="1"/>
  <c r="BS93" i="1"/>
  <c r="BM93" i="1"/>
  <c r="BG93" i="1"/>
  <c r="BA93" i="1"/>
  <c r="AU93" i="1"/>
  <c r="AO93" i="1"/>
  <c r="AI93" i="1"/>
  <c r="AC93" i="1"/>
  <c r="W93" i="1"/>
  <c r="Q93" i="1"/>
  <c r="K93" i="1"/>
  <c r="E93" i="1"/>
  <c r="BS92" i="1"/>
  <c r="BM92" i="1"/>
  <c r="BG92" i="1"/>
  <c r="BA92" i="1"/>
  <c r="AU92" i="1"/>
  <c r="AO92" i="1"/>
  <c r="AI92" i="1"/>
  <c r="AC92" i="1"/>
  <c r="W92" i="1"/>
  <c r="Q92" i="1"/>
  <c r="K92" i="1"/>
  <c r="E92" i="1"/>
  <c r="BS91" i="1"/>
  <c r="BM91" i="1"/>
  <c r="BG91" i="1"/>
  <c r="BA91" i="1"/>
  <c r="AU91" i="1"/>
  <c r="AO91" i="1"/>
  <c r="AI91" i="1"/>
  <c r="AC91" i="1"/>
  <c r="W91" i="1"/>
  <c r="Q91" i="1"/>
  <c r="K91" i="1"/>
  <c r="E91" i="1"/>
  <c r="CQ89" i="1"/>
  <c r="BS90" i="1"/>
  <c r="BM90" i="1"/>
  <c r="BG90" i="1"/>
  <c r="BA90" i="1"/>
  <c r="AU90" i="1"/>
  <c r="AO90" i="1"/>
  <c r="AI90" i="1"/>
  <c r="AC90" i="1"/>
  <c r="W90" i="1"/>
  <c r="Q90" i="1"/>
  <c r="K90" i="1"/>
  <c r="E90" i="1"/>
  <c r="CS89" i="1"/>
  <c r="CR89" i="1"/>
  <c r="CP89" i="1"/>
  <c r="CO89" i="1"/>
  <c r="CN89" i="1"/>
  <c r="CM89" i="1"/>
  <c r="CL89" i="1"/>
  <c r="CJ89" i="1"/>
  <c r="CI89" i="1"/>
  <c r="CH89" i="1"/>
  <c r="CG89" i="1"/>
  <c r="CF89" i="1"/>
  <c r="CE89" i="1"/>
  <c r="CD89" i="1"/>
  <c r="CC89" i="1"/>
  <c r="CB89" i="1"/>
  <c r="CA89" i="1"/>
  <c r="BZ89" i="1"/>
  <c r="BY89" i="1"/>
  <c r="BX89" i="1"/>
  <c r="BW89" i="1"/>
  <c r="BV89" i="1"/>
  <c r="BU89" i="1"/>
  <c r="BT89" i="1"/>
  <c r="BR89" i="1"/>
  <c r="BQ89" i="1"/>
  <c r="BP89" i="1"/>
  <c r="BO89" i="1"/>
  <c r="BN89" i="1"/>
  <c r="BL89" i="1"/>
  <c r="BK89" i="1"/>
  <c r="BJ89" i="1"/>
  <c r="BI89" i="1"/>
  <c r="BH89" i="1"/>
  <c r="BF89" i="1"/>
  <c r="BE89" i="1"/>
  <c r="BD89" i="1"/>
  <c r="BC89" i="1"/>
  <c r="BB89" i="1"/>
  <c r="AZ89" i="1"/>
  <c r="AY89" i="1"/>
  <c r="AX89" i="1"/>
  <c r="AW89" i="1"/>
  <c r="AV89" i="1"/>
  <c r="AT89" i="1"/>
  <c r="AS89" i="1"/>
  <c r="AR89" i="1"/>
  <c r="AQ89" i="1"/>
  <c r="AP89" i="1"/>
  <c r="AN89" i="1"/>
  <c r="AM89" i="1"/>
  <c r="AL89" i="1"/>
  <c r="AK89" i="1"/>
  <c r="AJ89" i="1"/>
  <c r="AH89" i="1"/>
  <c r="AG89" i="1"/>
  <c r="AF89" i="1"/>
  <c r="AE89" i="1"/>
  <c r="AD89" i="1"/>
  <c r="AB89" i="1"/>
  <c r="AA89" i="1"/>
  <c r="Z89" i="1"/>
  <c r="Y89" i="1"/>
  <c r="X89" i="1"/>
  <c r="V89" i="1"/>
  <c r="U89" i="1"/>
  <c r="T89" i="1"/>
  <c r="S89" i="1"/>
  <c r="R89" i="1"/>
  <c r="P89" i="1"/>
  <c r="O89" i="1"/>
  <c r="N89" i="1"/>
  <c r="M89" i="1"/>
  <c r="L89" i="1"/>
  <c r="J89" i="1"/>
  <c r="I89" i="1"/>
  <c r="H89" i="1"/>
  <c r="G89" i="1"/>
  <c r="F89" i="1"/>
  <c r="D89" i="1"/>
  <c r="C89" i="1"/>
  <c r="B89" i="1"/>
  <c r="BS88" i="1"/>
  <c r="BM88" i="1"/>
  <c r="BG88" i="1"/>
  <c r="BA88" i="1"/>
  <c r="AU88" i="1"/>
  <c r="AO88" i="1"/>
  <c r="AI88" i="1"/>
  <c r="AC88" i="1"/>
  <c r="W88" i="1"/>
  <c r="Q88" i="1"/>
  <c r="K88" i="1"/>
  <c r="E88" i="1"/>
  <c r="BS87" i="1"/>
  <c r="BM87" i="1"/>
  <c r="BG87" i="1"/>
  <c r="BA87" i="1"/>
  <c r="AU87" i="1"/>
  <c r="AO87" i="1"/>
  <c r="AI87" i="1"/>
  <c r="AC87" i="1"/>
  <c r="W87" i="1"/>
  <c r="Q87" i="1"/>
  <c r="K87" i="1"/>
  <c r="E87" i="1"/>
  <c r="BS86" i="1"/>
  <c r="BM86" i="1"/>
  <c r="BG86" i="1"/>
  <c r="BA86" i="1"/>
  <c r="AU86" i="1"/>
  <c r="AO86" i="1"/>
  <c r="AI86" i="1"/>
  <c r="AC86" i="1"/>
  <c r="W86" i="1"/>
  <c r="Q86" i="1"/>
  <c r="K86" i="1"/>
  <c r="E86" i="1"/>
  <c r="BS85" i="1"/>
  <c r="BM85" i="1"/>
  <c r="BG85" i="1"/>
  <c r="BA85" i="1"/>
  <c r="AU85" i="1"/>
  <c r="AO85" i="1"/>
  <c r="AI85" i="1"/>
  <c r="AC85" i="1"/>
  <c r="W85" i="1"/>
  <c r="Q85" i="1"/>
  <c r="K85" i="1"/>
  <c r="E85" i="1"/>
  <c r="BS84" i="1"/>
  <c r="BM84" i="1"/>
  <c r="BG84" i="1"/>
  <c r="BA84" i="1"/>
  <c r="AU84" i="1"/>
  <c r="AO84" i="1"/>
  <c r="AI84" i="1"/>
  <c r="AC84" i="1"/>
  <c r="W84" i="1"/>
  <c r="Q84" i="1"/>
  <c r="K84" i="1"/>
  <c r="E84" i="1"/>
  <c r="BS83" i="1"/>
  <c r="BM83" i="1"/>
  <c r="BG83" i="1"/>
  <c r="BA83" i="1"/>
  <c r="AU83" i="1"/>
  <c r="AO83" i="1"/>
  <c r="AI83" i="1"/>
  <c r="AC83" i="1"/>
  <c r="W83" i="1"/>
  <c r="Q83" i="1"/>
  <c r="K83" i="1"/>
  <c r="E83" i="1"/>
  <c r="BS82" i="1"/>
  <c r="BM82" i="1"/>
  <c r="BG82" i="1"/>
  <c r="BA82" i="1"/>
  <c r="AU82" i="1"/>
  <c r="AO82" i="1"/>
  <c r="AI82" i="1"/>
  <c r="AC82" i="1"/>
  <c r="W82" i="1"/>
  <c r="Q82" i="1"/>
  <c r="K82" i="1"/>
  <c r="E82" i="1"/>
  <c r="BS81" i="1"/>
  <c r="BM81" i="1"/>
  <c r="BG81" i="1"/>
  <c r="BA81" i="1"/>
  <c r="AU81" i="1"/>
  <c r="AO81" i="1"/>
  <c r="AI81" i="1"/>
  <c r="AC81" i="1"/>
  <c r="W81" i="1"/>
  <c r="Q81" i="1"/>
  <c r="K81" i="1"/>
  <c r="E81" i="1"/>
  <c r="BS80" i="1"/>
  <c r="BM80" i="1"/>
  <c r="BG80" i="1"/>
  <c r="BA80" i="1"/>
  <c r="AU80" i="1"/>
  <c r="AO80" i="1"/>
  <c r="AI80" i="1"/>
  <c r="AC80" i="1"/>
  <c r="W80" i="1"/>
  <c r="Q80" i="1"/>
  <c r="K80" i="1"/>
  <c r="E80" i="1"/>
  <c r="BS79" i="1"/>
  <c r="BM79" i="1"/>
  <c r="BG79" i="1"/>
  <c r="BA79" i="1"/>
  <c r="AU79" i="1"/>
  <c r="AO79" i="1"/>
  <c r="AI79" i="1"/>
  <c r="AC79" i="1"/>
  <c r="W79" i="1"/>
  <c r="Q79" i="1"/>
  <c r="K79" i="1"/>
  <c r="E79" i="1"/>
  <c r="BS78" i="1"/>
  <c r="BM78" i="1"/>
  <c r="BG78" i="1"/>
  <c r="BA78" i="1"/>
  <c r="AU78" i="1"/>
  <c r="AO78" i="1"/>
  <c r="AI78" i="1"/>
  <c r="AC78" i="1"/>
  <c r="W78" i="1"/>
  <c r="Q78" i="1"/>
  <c r="K78" i="1"/>
  <c r="E78" i="1"/>
  <c r="BS77" i="1"/>
  <c r="BM77" i="1"/>
  <c r="BG77" i="1"/>
  <c r="BA77" i="1"/>
  <c r="AU77" i="1"/>
  <c r="AO77" i="1"/>
  <c r="AI77" i="1"/>
  <c r="AC77" i="1"/>
  <c r="W77" i="1"/>
  <c r="Q77" i="1"/>
  <c r="K77" i="1"/>
  <c r="E77" i="1"/>
  <c r="BS76" i="1"/>
  <c r="BM76" i="1"/>
  <c r="BG76" i="1"/>
  <c r="BA76" i="1"/>
  <c r="AU76" i="1"/>
  <c r="AO76" i="1"/>
  <c r="AI76" i="1"/>
  <c r="AC76" i="1"/>
  <c r="W76" i="1"/>
  <c r="Q76" i="1"/>
  <c r="K76" i="1"/>
  <c r="E76" i="1"/>
  <c r="BS75" i="1"/>
  <c r="BM75" i="1"/>
  <c r="BG75" i="1"/>
  <c r="BA75" i="1"/>
  <c r="AU75" i="1"/>
  <c r="AO75" i="1"/>
  <c r="AI75" i="1"/>
  <c r="AC75" i="1"/>
  <c r="W75" i="1"/>
  <c r="Q75" i="1"/>
  <c r="K75" i="1"/>
  <c r="E75" i="1"/>
  <c r="BS74" i="1"/>
  <c r="BM74" i="1"/>
  <c r="BG74" i="1"/>
  <c r="BA74" i="1"/>
  <c r="AU74" i="1"/>
  <c r="AO74" i="1"/>
  <c r="AI74" i="1"/>
  <c r="AC74" i="1"/>
  <c r="W74" i="1"/>
  <c r="Q74" i="1"/>
  <c r="K74" i="1"/>
  <c r="E74" i="1"/>
  <c r="BS73" i="1"/>
  <c r="BM73" i="1"/>
  <c r="BG73" i="1"/>
  <c r="BA73" i="1"/>
  <c r="AU73" i="1"/>
  <c r="AO73" i="1"/>
  <c r="AI73" i="1"/>
  <c r="AC73" i="1"/>
  <c r="W73" i="1"/>
  <c r="Q73" i="1"/>
  <c r="K73" i="1"/>
  <c r="E73" i="1"/>
  <c r="BS72" i="1"/>
  <c r="BM72" i="1"/>
  <c r="BG72" i="1"/>
  <c r="BA72" i="1"/>
  <c r="AU72" i="1"/>
  <c r="AO72" i="1"/>
  <c r="AI72" i="1"/>
  <c r="AC72" i="1"/>
  <c r="W72" i="1"/>
  <c r="Q72" i="1"/>
  <c r="K72" i="1"/>
  <c r="E72" i="1"/>
  <c r="BS71" i="1"/>
  <c r="BM71" i="1"/>
  <c r="BG71" i="1"/>
  <c r="BA71" i="1"/>
  <c r="AU71" i="1"/>
  <c r="AO71" i="1"/>
  <c r="AI71" i="1"/>
  <c r="AC71" i="1"/>
  <c r="W71" i="1"/>
  <c r="Q71" i="1"/>
  <c r="K71" i="1"/>
  <c r="E71" i="1"/>
  <c r="BS70" i="1"/>
  <c r="BM70" i="1"/>
  <c r="BG70" i="1"/>
  <c r="BA70" i="1"/>
  <c r="AU70" i="1"/>
  <c r="AO70" i="1"/>
  <c r="AI70" i="1"/>
  <c r="AC70" i="1"/>
  <c r="W70" i="1"/>
  <c r="Q70" i="1"/>
  <c r="K70" i="1"/>
  <c r="E70" i="1"/>
  <c r="BS69" i="1"/>
  <c r="BM69" i="1"/>
  <c r="BG69" i="1"/>
  <c r="BA69" i="1"/>
  <c r="AU69" i="1"/>
  <c r="AO69" i="1"/>
  <c r="AI69" i="1"/>
  <c r="AC69" i="1"/>
  <c r="W69" i="1"/>
  <c r="Q69" i="1"/>
  <c r="K69" i="1"/>
  <c r="E69" i="1"/>
  <c r="BS68" i="1"/>
  <c r="BM68" i="1"/>
  <c r="BG68" i="1"/>
  <c r="BA68" i="1"/>
  <c r="AU68" i="1"/>
  <c r="AO68" i="1"/>
  <c r="AI68" i="1"/>
  <c r="AC68" i="1"/>
  <c r="W68" i="1"/>
  <c r="Q68" i="1"/>
  <c r="K68" i="1"/>
  <c r="E68" i="1"/>
  <c r="BS67" i="1"/>
  <c r="BM67" i="1"/>
  <c r="BG67" i="1"/>
  <c r="BA67" i="1"/>
  <c r="AU67" i="1"/>
  <c r="AO67" i="1"/>
  <c r="AI67" i="1"/>
  <c r="AC67" i="1"/>
  <c r="W67" i="1"/>
  <c r="Q67" i="1"/>
  <c r="K67" i="1"/>
  <c r="E67" i="1"/>
  <c r="BS66" i="1"/>
  <c r="BM66" i="1"/>
  <c r="BG66" i="1"/>
  <c r="BA66" i="1"/>
  <c r="AU66" i="1"/>
  <c r="AO66" i="1"/>
  <c r="AI66" i="1"/>
  <c r="AC66" i="1"/>
  <c r="W66" i="1"/>
  <c r="Q66" i="1"/>
  <c r="K66" i="1"/>
  <c r="E66" i="1"/>
  <c r="BS65" i="1"/>
  <c r="BM65" i="1"/>
  <c r="BG65" i="1"/>
  <c r="BA65" i="1"/>
  <c r="AU65" i="1"/>
  <c r="AO65" i="1"/>
  <c r="AI65" i="1"/>
  <c r="AC65" i="1"/>
  <c r="W65" i="1"/>
  <c r="Q65" i="1"/>
  <c r="K65" i="1"/>
  <c r="E65" i="1"/>
  <c r="BS64" i="1"/>
  <c r="BM64" i="1"/>
  <c r="BG64" i="1"/>
  <c r="BA64" i="1"/>
  <c r="AU64" i="1"/>
  <c r="AO64" i="1"/>
  <c r="AI64" i="1"/>
  <c r="AC64" i="1"/>
  <c r="W64" i="1"/>
  <c r="Q64" i="1"/>
  <c r="K64" i="1"/>
  <c r="E64" i="1"/>
  <c r="BS63" i="1"/>
  <c r="BM63" i="1"/>
  <c r="BG63" i="1"/>
  <c r="BA63" i="1"/>
  <c r="AU63" i="1"/>
  <c r="AO63" i="1"/>
  <c r="AI63" i="1"/>
  <c r="AC63" i="1"/>
  <c r="W63" i="1"/>
  <c r="Q63" i="1"/>
  <c r="K63" i="1"/>
  <c r="E63" i="1"/>
  <c r="BS62" i="1"/>
  <c r="BM62" i="1"/>
  <c r="BG62" i="1"/>
  <c r="BA62" i="1"/>
  <c r="AU62" i="1"/>
  <c r="AO62" i="1"/>
  <c r="AI62" i="1"/>
  <c r="AC62" i="1"/>
  <c r="W62" i="1"/>
  <c r="Q62" i="1"/>
  <c r="K62" i="1"/>
  <c r="E62" i="1"/>
  <c r="BS61" i="1"/>
  <c r="BM61" i="1"/>
  <c r="BG61" i="1"/>
  <c r="BA61" i="1"/>
  <c r="AU61" i="1"/>
  <c r="AO61" i="1"/>
  <c r="AI61" i="1"/>
  <c r="AC61" i="1"/>
  <c r="W61" i="1"/>
  <c r="Q61" i="1"/>
  <c r="K61" i="1"/>
  <c r="E61" i="1"/>
  <c r="BS60" i="1"/>
  <c r="BM60" i="1"/>
  <c r="BG60" i="1"/>
  <c r="BA60" i="1"/>
  <c r="AU60" i="1"/>
  <c r="AO60" i="1"/>
  <c r="AI60" i="1"/>
  <c r="AC60" i="1"/>
  <c r="W60" i="1"/>
  <c r="Q60" i="1"/>
  <c r="K60" i="1"/>
  <c r="E60" i="1"/>
  <c r="CQ56" i="1"/>
  <c r="BS59" i="1"/>
  <c r="BM59" i="1"/>
  <c r="BG59" i="1"/>
  <c r="BA59" i="1"/>
  <c r="AU59" i="1"/>
  <c r="AO59" i="1"/>
  <c r="AI59" i="1"/>
  <c r="AC59" i="1"/>
  <c r="W59" i="1"/>
  <c r="Q59" i="1"/>
  <c r="K59" i="1"/>
  <c r="E59" i="1"/>
  <c r="BS58" i="1"/>
  <c r="BM58" i="1"/>
  <c r="BG58" i="1"/>
  <c r="BA58" i="1"/>
  <c r="AU58" i="1"/>
  <c r="AO58" i="1"/>
  <c r="AI58" i="1"/>
  <c r="AC58" i="1"/>
  <c r="W58" i="1"/>
  <c r="W56" i="1" s="1"/>
  <c r="Q58" i="1"/>
  <c r="K58" i="1"/>
  <c r="E58" i="1"/>
  <c r="BS57" i="1"/>
  <c r="BM57" i="1"/>
  <c r="BG57" i="1"/>
  <c r="BA57" i="1"/>
  <c r="AU57" i="1"/>
  <c r="AU56" i="1" s="1"/>
  <c r="AO57" i="1"/>
  <c r="AI57" i="1"/>
  <c r="AC57" i="1"/>
  <c r="W57" i="1"/>
  <c r="Q57" i="1"/>
  <c r="K57" i="1"/>
  <c r="E57" i="1"/>
  <c r="CS56" i="1"/>
  <c r="CR56" i="1"/>
  <c r="CP56" i="1"/>
  <c r="CO56" i="1"/>
  <c r="CN56" i="1"/>
  <c r="CM56" i="1"/>
  <c r="CL56" i="1"/>
  <c r="CK56" i="1"/>
  <c r="CJ56" i="1"/>
  <c r="CI56" i="1"/>
  <c r="CH56" i="1"/>
  <c r="CG56" i="1"/>
  <c r="CF56" i="1"/>
  <c r="CE56" i="1"/>
  <c r="CD56" i="1"/>
  <c r="CC56" i="1"/>
  <c r="CB56" i="1"/>
  <c r="CA56" i="1"/>
  <c r="BZ56" i="1"/>
  <c r="BY56" i="1"/>
  <c r="BX56" i="1"/>
  <c r="BW56" i="1"/>
  <c r="BV56" i="1"/>
  <c r="BU56" i="1"/>
  <c r="BT56" i="1"/>
  <c r="BR56" i="1"/>
  <c r="BQ56" i="1"/>
  <c r="BP56" i="1"/>
  <c r="BO56" i="1"/>
  <c r="BN56" i="1"/>
  <c r="BL56" i="1"/>
  <c r="BK56" i="1"/>
  <c r="BJ56" i="1"/>
  <c r="BI56" i="1"/>
  <c r="BH56" i="1"/>
  <c r="BF56" i="1"/>
  <c r="BE56" i="1"/>
  <c r="BD56" i="1"/>
  <c r="BC56" i="1"/>
  <c r="BB56" i="1"/>
  <c r="AZ56" i="1"/>
  <c r="AY56" i="1"/>
  <c r="AX56" i="1"/>
  <c r="AW56" i="1"/>
  <c r="AV56" i="1"/>
  <c r="AT56" i="1"/>
  <c r="AS56" i="1"/>
  <c r="AR56" i="1"/>
  <c r="AQ56" i="1"/>
  <c r="AP56" i="1"/>
  <c r="AN56" i="1"/>
  <c r="AM56" i="1"/>
  <c r="AL56" i="1"/>
  <c r="AK56" i="1"/>
  <c r="AJ56" i="1"/>
  <c r="AH56" i="1"/>
  <c r="AG56" i="1"/>
  <c r="AF56" i="1"/>
  <c r="AE56" i="1"/>
  <c r="AD56" i="1"/>
  <c r="AB56" i="1"/>
  <c r="AA56" i="1"/>
  <c r="Z56" i="1"/>
  <c r="Y56" i="1"/>
  <c r="X56" i="1"/>
  <c r="V56" i="1"/>
  <c r="U56" i="1"/>
  <c r="T56" i="1"/>
  <c r="S56" i="1"/>
  <c r="R56" i="1"/>
  <c r="P56" i="1"/>
  <c r="O56" i="1"/>
  <c r="N56" i="1"/>
  <c r="M56" i="1"/>
  <c r="L56" i="1"/>
  <c r="J56" i="1"/>
  <c r="I56" i="1"/>
  <c r="H56" i="1"/>
  <c r="G56" i="1"/>
  <c r="F56" i="1"/>
  <c r="D56" i="1"/>
  <c r="C56" i="1"/>
  <c r="B56" i="1"/>
  <c r="BS55" i="1"/>
  <c r="BM55" i="1"/>
  <c r="BG55" i="1"/>
  <c r="BA55" i="1"/>
  <c r="AU55" i="1"/>
  <c r="AO55" i="1"/>
  <c r="AI55" i="1"/>
  <c r="AC55" i="1"/>
  <c r="W55" i="1"/>
  <c r="Q55" i="1"/>
  <c r="K55" i="1"/>
  <c r="E55" i="1"/>
  <c r="CK54" i="1"/>
  <c r="BS54" i="1"/>
  <c r="BM54" i="1"/>
  <c r="BG54" i="1"/>
  <c r="BA54" i="1"/>
  <c r="AU54" i="1"/>
  <c r="AO54" i="1"/>
  <c r="AI54" i="1"/>
  <c r="AC54" i="1"/>
  <c r="W54" i="1"/>
  <c r="Q54" i="1"/>
  <c r="K54" i="1"/>
  <c r="E54" i="1"/>
  <c r="CK53" i="1"/>
  <c r="BS53" i="1"/>
  <c r="BM53" i="1"/>
  <c r="BG53" i="1"/>
  <c r="BA53" i="1"/>
  <c r="AU53" i="1"/>
  <c r="AO53" i="1"/>
  <c r="AI53" i="1"/>
  <c r="AC53" i="1"/>
  <c r="W53" i="1"/>
  <c r="Q53" i="1"/>
  <c r="K53" i="1"/>
  <c r="E53" i="1"/>
  <c r="CK52" i="1"/>
  <c r="BS52" i="1"/>
  <c r="BM52" i="1"/>
  <c r="BG52" i="1"/>
  <c r="BA52" i="1"/>
  <c r="AU52" i="1"/>
  <c r="AO52" i="1"/>
  <c r="AI52" i="1"/>
  <c r="AC52" i="1"/>
  <c r="W52" i="1"/>
  <c r="Q52" i="1"/>
  <c r="K52" i="1"/>
  <c r="E52" i="1"/>
  <c r="BS51" i="1"/>
  <c r="BM51" i="1"/>
  <c r="BG51" i="1"/>
  <c r="BA51" i="1"/>
  <c r="AU51" i="1"/>
  <c r="AO51" i="1"/>
  <c r="AI51" i="1"/>
  <c r="AC51" i="1"/>
  <c r="W51" i="1"/>
  <c r="Q51" i="1"/>
  <c r="K51" i="1"/>
  <c r="E51" i="1"/>
  <c r="BS50" i="1"/>
  <c r="BM50" i="1"/>
  <c r="BG50" i="1"/>
  <c r="BA50" i="1"/>
  <c r="AU50" i="1"/>
  <c r="AO50" i="1"/>
  <c r="AI50" i="1"/>
  <c r="AC50" i="1"/>
  <c r="W50" i="1"/>
  <c r="Q50" i="1"/>
  <c r="K50" i="1"/>
  <c r="E50" i="1"/>
  <c r="BS49" i="1"/>
  <c r="BM49" i="1"/>
  <c r="BG49" i="1"/>
  <c r="BA49" i="1"/>
  <c r="AU49" i="1"/>
  <c r="AO49" i="1"/>
  <c r="AI49" i="1"/>
  <c r="AC49" i="1"/>
  <c r="W49" i="1"/>
  <c r="Q49" i="1"/>
  <c r="K49" i="1"/>
  <c r="E49" i="1"/>
  <c r="CK48" i="1"/>
  <c r="BS48" i="1"/>
  <c r="BM48" i="1"/>
  <c r="BG48" i="1"/>
  <c r="BA48" i="1"/>
  <c r="AU48" i="1"/>
  <c r="AO48" i="1"/>
  <c r="AI48" i="1"/>
  <c r="AC48" i="1"/>
  <c r="W48" i="1"/>
  <c r="Q48" i="1"/>
  <c r="K48" i="1"/>
  <c r="E48" i="1"/>
  <c r="CK47" i="1"/>
  <c r="BS47" i="1"/>
  <c r="BM47" i="1"/>
  <c r="BG47" i="1"/>
  <c r="BA47" i="1"/>
  <c r="AU47" i="1"/>
  <c r="AO47" i="1"/>
  <c r="AI47" i="1"/>
  <c r="AC47" i="1"/>
  <c r="W47" i="1"/>
  <c r="Q47" i="1"/>
  <c r="K47" i="1"/>
  <c r="E47" i="1"/>
  <c r="CQ32" i="1"/>
  <c r="CK46" i="1"/>
  <c r="BS46" i="1"/>
  <c r="BM46" i="1"/>
  <c r="BG46" i="1"/>
  <c r="BA46" i="1"/>
  <c r="AU46" i="1"/>
  <c r="AO46" i="1"/>
  <c r="AI46" i="1"/>
  <c r="AC46" i="1"/>
  <c r="W46" i="1"/>
  <c r="Q46" i="1"/>
  <c r="K46" i="1"/>
  <c r="E46" i="1"/>
  <c r="BS45" i="1"/>
  <c r="BM45" i="1"/>
  <c r="BG45" i="1"/>
  <c r="BA45" i="1"/>
  <c r="AU45" i="1"/>
  <c r="AO45" i="1"/>
  <c r="AI45" i="1"/>
  <c r="AC45" i="1"/>
  <c r="W45" i="1"/>
  <c r="Q45" i="1"/>
  <c r="K45" i="1"/>
  <c r="E45" i="1"/>
  <c r="BS44" i="1"/>
  <c r="BM44" i="1"/>
  <c r="BG44" i="1"/>
  <c r="BA44" i="1"/>
  <c r="AU44" i="1"/>
  <c r="AO44" i="1"/>
  <c r="AI44" i="1"/>
  <c r="AC44" i="1"/>
  <c r="W44" i="1"/>
  <c r="Q44" i="1"/>
  <c r="K44" i="1"/>
  <c r="E44" i="1"/>
  <c r="BS43" i="1"/>
  <c r="BM43" i="1"/>
  <c r="BG43" i="1"/>
  <c r="BA43" i="1"/>
  <c r="AU43" i="1"/>
  <c r="AO43" i="1"/>
  <c r="AI43" i="1"/>
  <c r="AC43" i="1"/>
  <c r="W43" i="1"/>
  <c r="Q43" i="1"/>
  <c r="K43" i="1"/>
  <c r="E43" i="1"/>
  <c r="BS42" i="1"/>
  <c r="BM42" i="1"/>
  <c r="BG42" i="1"/>
  <c r="BA42" i="1"/>
  <c r="AU42" i="1"/>
  <c r="AO42" i="1"/>
  <c r="AI42" i="1"/>
  <c r="AC42" i="1"/>
  <c r="W42" i="1"/>
  <c r="Q42" i="1"/>
  <c r="K42" i="1"/>
  <c r="E42" i="1"/>
  <c r="BS41" i="1"/>
  <c r="BM41" i="1"/>
  <c r="BG41" i="1"/>
  <c r="BA41" i="1"/>
  <c r="AU41" i="1"/>
  <c r="AO41" i="1"/>
  <c r="AI41" i="1"/>
  <c r="AC41" i="1"/>
  <c r="W41" i="1"/>
  <c r="Q41" i="1"/>
  <c r="K41" i="1"/>
  <c r="E41" i="1"/>
  <c r="BS40" i="1"/>
  <c r="BM40" i="1"/>
  <c r="BG40" i="1"/>
  <c r="BA40" i="1"/>
  <c r="AU40" i="1"/>
  <c r="AO40" i="1"/>
  <c r="AI40" i="1"/>
  <c r="AC40" i="1"/>
  <c r="W40" i="1"/>
  <c r="Q40" i="1"/>
  <c r="K40" i="1"/>
  <c r="E40" i="1"/>
  <c r="BS39" i="1"/>
  <c r="BM39" i="1"/>
  <c r="BG39" i="1"/>
  <c r="BA39" i="1"/>
  <c r="AU39" i="1"/>
  <c r="AO39" i="1"/>
  <c r="AI39" i="1"/>
  <c r="AC39" i="1"/>
  <c r="W39" i="1"/>
  <c r="Q39" i="1"/>
  <c r="K39" i="1"/>
  <c r="E39" i="1"/>
  <c r="BS38" i="1"/>
  <c r="BM38" i="1"/>
  <c r="BG38" i="1"/>
  <c r="BA38" i="1"/>
  <c r="AU38" i="1"/>
  <c r="AO38" i="1"/>
  <c r="AI38" i="1"/>
  <c r="AC38" i="1"/>
  <c r="W38" i="1"/>
  <c r="Q38" i="1"/>
  <c r="K38" i="1"/>
  <c r="E38" i="1"/>
  <c r="BS37" i="1"/>
  <c r="BM37" i="1"/>
  <c r="BG37" i="1"/>
  <c r="BA37" i="1"/>
  <c r="AU37" i="1"/>
  <c r="AO37" i="1"/>
  <c r="AI37" i="1"/>
  <c r="AC37" i="1"/>
  <c r="W37" i="1"/>
  <c r="Q37" i="1"/>
  <c r="K37" i="1"/>
  <c r="E37" i="1"/>
  <c r="BS36" i="1"/>
  <c r="BM36" i="1"/>
  <c r="BG36" i="1"/>
  <c r="BA36" i="1"/>
  <c r="AU36" i="1"/>
  <c r="AO36" i="1"/>
  <c r="AI36" i="1"/>
  <c r="AC36" i="1"/>
  <c r="W36" i="1"/>
  <c r="Q36" i="1"/>
  <c r="K36" i="1"/>
  <c r="E36" i="1"/>
  <c r="BS35" i="1"/>
  <c r="BM35" i="1"/>
  <c r="BG35" i="1"/>
  <c r="BA35" i="1"/>
  <c r="AU35" i="1"/>
  <c r="AO35" i="1"/>
  <c r="AI35" i="1"/>
  <c r="AC35" i="1"/>
  <c r="W35" i="1"/>
  <c r="Q35" i="1"/>
  <c r="K35" i="1"/>
  <c r="E35" i="1"/>
  <c r="BS34" i="1"/>
  <c r="BM34" i="1"/>
  <c r="BG34" i="1"/>
  <c r="BA34" i="1"/>
  <c r="AU34" i="1"/>
  <c r="AO34" i="1"/>
  <c r="AI34" i="1"/>
  <c r="AC34" i="1"/>
  <c r="W34" i="1"/>
  <c r="Q34" i="1"/>
  <c r="K34" i="1"/>
  <c r="E34" i="1"/>
  <c r="BS33" i="1"/>
  <c r="BM33" i="1"/>
  <c r="BG33" i="1"/>
  <c r="BA33" i="1"/>
  <c r="AU33" i="1"/>
  <c r="AO33" i="1"/>
  <c r="AI33" i="1"/>
  <c r="AC33" i="1"/>
  <c r="W33" i="1"/>
  <c r="Q33" i="1"/>
  <c r="K33" i="1"/>
  <c r="E33" i="1"/>
  <c r="CS32" i="1"/>
  <c r="CR32" i="1"/>
  <c r="CP32" i="1"/>
  <c r="CO32" i="1"/>
  <c r="CN32" i="1"/>
  <c r="CM32" i="1"/>
  <c r="CL32" i="1"/>
  <c r="CJ32" i="1"/>
  <c r="CI32" i="1"/>
  <c r="CH32" i="1"/>
  <c r="CG32" i="1"/>
  <c r="CF32" i="1"/>
  <c r="CE32" i="1"/>
  <c r="CD32" i="1"/>
  <c r="CC32" i="1"/>
  <c r="CB32" i="1"/>
  <c r="CA32" i="1"/>
  <c r="BZ32" i="1"/>
  <c r="BY32" i="1"/>
  <c r="BX32" i="1"/>
  <c r="BW32" i="1"/>
  <c r="BV32" i="1"/>
  <c r="BU32" i="1"/>
  <c r="BT32" i="1"/>
  <c r="BR32" i="1"/>
  <c r="BQ32" i="1"/>
  <c r="BP32" i="1"/>
  <c r="BO32" i="1"/>
  <c r="BN32" i="1"/>
  <c r="BL32" i="1"/>
  <c r="BK32" i="1"/>
  <c r="BJ32" i="1"/>
  <c r="BI32" i="1"/>
  <c r="BH32" i="1"/>
  <c r="BF32" i="1"/>
  <c r="BE32" i="1"/>
  <c r="BD32" i="1"/>
  <c r="BC32" i="1"/>
  <c r="BB32" i="1"/>
  <c r="AZ32" i="1"/>
  <c r="AY32" i="1"/>
  <c r="AX32" i="1"/>
  <c r="AW32" i="1"/>
  <c r="AV32" i="1"/>
  <c r="AT32" i="1"/>
  <c r="AS32" i="1"/>
  <c r="AR32" i="1"/>
  <c r="AQ32" i="1"/>
  <c r="AP32" i="1"/>
  <c r="AN32" i="1"/>
  <c r="AM32" i="1"/>
  <c r="AL32" i="1"/>
  <c r="AK32" i="1"/>
  <c r="AJ32" i="1"/>
  <c r="AH32" i="1"/>
  <c r="AG32" i="1"/>
  <c r="AF32" i="1"/>
  <c r="AE32" i="1"/>
  <c r="AD32" i="1"/>
  <c r="AB32" i="1"/>
  <c r="AA32" i="1"/>
  <c r="Z32" i="1"/>
  <c r="Y32" i="1"/>
  <c r="X32" i="1"/>
  <c r="V32" i="1"/>
  <c r="U32" i="1"/>
  <c r="T32" i="1"/>
  <c r="S32" i="1"/>
  <c r="R32" i="1"/>
  <c r="P32" i="1"/>
  <c r="O32" i="1"/>
  <c r="N32" i="1"/>
  <c r="M32" i="1"/>
  <c r="L32" i="1"/>
  <c r="J32" i="1"/>
  <c r="I32" i="1"/>
  <c r="H32" i="1"/>
  <c r="G32" i="1"/>
  <c r="F32" i="1"/>
  <c r="D32" i="1"/>
  <c r="C32" i="1"/>
  <c r="B32" i="1"/>
  <c r="BS31" i="1"/>
  <c r="BM31" i="1"/>
  <c r="BG31" i="1"/>
  <c r="BA31" i="1"/>
  <c r="AU31" i="1"/>
  <c r="AO31" i="1"/>
  <c r="AI31" i="1"/>
  <c r="AC31" i="1"/>
  <c r="W31" i="1"/>
  <c r="Q31" i="1"/>
  <c r="K31" i="1"/>
  <c r="E31" i="1"/>
  <c r="BS30" i="1"/>
  <c r="BM30" i="1"/>
  <c r="BG30" i="1"/>
  <c r="BA30" i="1"/>
  <c r="AU30" i="1"/>
  <c r="AO30" i="1"/>
  <c r="AI30" i="1"/>
  <c r="AC30" i="1"/>
  <c r="W30" i="1"/>
  <c r="Q30" i="1"/>
  <c r="K30" i="1"/>
  <c r="E30" i="1"/>
  <c r="CQ19" i="1"/>
  <c r="BS29" i="1"/>
  <c r="BM29" i="1"/>
  <c r="BG29" i="1"/>
  <c r="BA29" i="1"/>
  <c r="AU29" i="1"/>
  <c r="AO29" i="1"/>
  <c r="AI29" i="1"/>
  <c r="AC29" i="1"/>
  <c r="W29" i="1"/>
  <c r="Q29" i="1"/>
  <c r="K29" i="1"/>
  <c r="E29" i="1"/>
  <c r="BS28" i="1"/>
  <c r="BM28" i="1"/>
  <c r="BG28" i="1"/>
  <c r="BA28" i="1"/>
  <c r="AU28" i="1"/>
  <c r="AO28" i="1"/>
  <c r="AI28" i="1"/>
  <c r="AC28" i="1"/>
  <c r="W28" i="1"/>
  <c r="Q28" i="1"/>
  <c r="K28" i="1"/>
  <c r="E28" i="1"/>
  <c r="BS27" i="1"/>
  <c r="BM27" i="1"/>
  <c r="BG27" i="1"/>
  <c r="BA27" i="1"/>
  <c r="AU27" i="1"/>
  <c r="AO27" i="1"/>
  <c r="AI27" i="1"/>
  <c r="AC27" i="1"/>
  <c r="W27" i="1"/>
  <c r="Q27" i="1"/>
  <c r="K27" i="1"/>
  <c r="E27" i="1"/>
  <c r="BS26" i="1"/>
  <c r="BM26" i="1"/>
  <c r="BG26" i="1"/>
  <c r="BA26" i="1"/>
  <c r="AU26" i="1"/>
  <c r="AO26" i="1"/>
  <c r="AI26" i="1"/>
  <c r="AC26" i="1"/>
  <c r="W26" i="1"/>
  <c r="Q26" i="1"/>
  <c r="K26" i="1"/>
  <c r="E26" i="1"/>
  <c r="BS25" i="1"/>
  <c r="BM25" i="1"/>
  <c r="BG25" i="1"/>
  <c r="BA25" i="1"/>
  <c r="AU25" i="1"/>
  <c r="AO25" i="1"/>
  <c r="AI25" i="1"/>
  <c r="AC25" i="1"/>
  <c r="W25" i="1"/>
  <c r="Q25" i="1"/>
  <c r="K25" i="1"/>
  <c r="E25" i="1"/>
  <c r="BS24" i="1"/>
  <c r="BM24" i="1"/>
  <c r="BG24" i="1"/>
  <c r="BA24" i="1"/>
  <c r="AU24" i="1"/>
  <c r="AO24" i="1"/>
  <c r="AI24" i="1"/>
  <c r="AC24" i="1"/>
  <c r="W24" i="1"/>
  <c r="Q24" i="1"/>
  <c r="K24" i="1"/>
  <c r="E24" i="1"/>
  <c r="BS23" i="1"/>
  <c r="BM23" i="1"/>
  <c r="BG23" i="1"/>
  <c r="BA23" i="1"/>
  <c r="AU23" i="1"/>
  <c r="AO23" i="1"/>
  <c r="AI23" i="1"/>
  <c r="AC23" i="1"/>
  <c r="W23" i="1"/>
  <c r="Q23" i="1"/>
  <c r="K23" i="1"/>
  <c r="E23" i="1"/>
  <c r="BS22" i="1"/>
  <c r="BM22" i="1"/>
  <c r="BG22" i="1"/>
  <c r="BA22" i="1"/>
  <c r="AU22" i="1"/>
  <c r="AO22" i="1"/>
  <c r="AI22" i="1"/>
  <c r="AC22" i="1"/>
  <c r="W22" i="1"/>
  <c r="Q22" i="1"/>
  <c r="K22" i="1"/>
  <c r="E22" i="1"/>
  <c r="BS21" i="1"/>
  <c r="BM21" i="1"/>
  <c r="BG21" i="1"/>
  <c r="BA21" i="1"/>
  <c r="AU21" i="1"/>
  <c r="AO21" i="1"/>
  <c r="AI21" i="1"/>
  <c r="AC21" i="1"/>
  <c r="W21" i="1"/>
  <c r="Q21" i="1"/>
  <c r="K21" i="1"/>
  <c r="E21" i="1"/>
  <c r="BS20" i="1"/>
  <c r="BM20" i="1"/>
  <c r="BG20" i="1"/>
  <c r="BA20" i="1"/>
  <c r="AU20" i="1"/>
  <c r="AO20" i="1"/>
  <c r="AI20" i="1"/>
  <c r="AC20" i="1"/>
  <c r="W20" i="1"/>
  <c r="Q20" i="1"/>
  <c r="K20" i="1"/>
  <c r="E20" i="1"/>
  <c r="CS19" i="1"/>
  <c r="CR19" i="1"/>
  <c r="CP19" i="1"/>
  <c r="CO19" i="1"/>
  <c r="CN19" i="1"/>
  <c r="CM19" i="1"/>
  <c r="CL19" i="1"/>
  <c r="CK19" i="1"/>
  <c r="CJ19" i="1"/>
  <c r="CI19" i="1"/>
  <c r="CH19" i="1"/>
  <c r="CG19" i="1"/>
  <c r="CF19" i="1"/>
  <c r="CE19" i="1"/>
  <c r="CD19" i="1"/>
  <c r="CC19" i="1"/>
  <c r="CB19" i="1"/>
  <c r="CA19" i="1"/>
  <c r="BZ19" i="1"/>
  <c r="BY19" i="1"/>
  <c r="BX19" i="1"/>
  <c r="BW19" i="1"/>
  <c r="BV19" i="1"/>
  <c r="BU19" i="1"/>
  <c r="BT19" i="1"/>
  <c r="BR19" i="1"/>
  <c r="BQ19" i="1"/>
  <c r="BP19" i="1"/>
  <c r="BO19" i="1"/>
  <c r="BN19" i="1"/>
  <c r="BL19" i="1"/>
  <c r="BK19" i="1"/>
  <c r="BJ19" i="1"/>
  <c r="BI19" i="1"/>
  <c r="BH19" i="1"/>
  <c r="BF19" i="1"/>
  <c r="BE19" i="1"/>
  <c r="BD19" i="1"/>
  <c r="BC19" i="1"/>
  <c r="BB19" i="1"/>
  <c r="AZ19" i="1"/>
  <c r="AY19" i="1"/>
  <c r="AX19" i="1"/>
  <c r="AW19" i="1"/>
  <c r="AV19" i="1"/>
  <c r="AT19" i="1"/>
  <c r="AS19" i="1"/>
  <c r="AR19" i="1"/>
  <c r="AQ19" i="1"/>
  <c r="AP19" i="1"/>
  <c r="AN19" i="1"/>
  <c r="AM19" i="1"/>
  <c r="AL19" i="1"/>
  <c r="AK19" i="1"/>
  <c r="AJ19" i="1"/>
  <c r="AH19" i="1"/>
  <c r="AG19" i="1"/>
  <c r="AF19" i="1"/>
  <c r="AE19" i="1"/>
  <c r="AD19" i="1"/>
  <c r="AB19" i="1"/>
  <c r="AA19" i="1"/>
  <c r="Z19" i="1"/>
  <c r="Y19" i="1"/>
  <c r="X19" i="1"/>
  <c r="V19" i="1"/>
  <c r="U19" i="1"/>
  <c r="T19" i="1"/>
  <c r="S19" i="1"/>
  <c r="R19" i="1"/>
  <c r="P19" i="1"/>
  <c r="O19" i="1"/>
  <c r="N19" i="1"/>
  <c r="M19" i="1"/>
  <c r="L19" i="1"/>
  <c r="J19" i="1"/>
  <c r="I19" i="1"/>
  <c r="H19" i="1"/>
  <c r="G19" i="1"/>
  <c r="F19" i="1"/>
  <c r="D19" i="1"/>
  <c r="C19" i="1"/>
  <c r="B19" i="1"/>
  <c r="BS18" i="1"/>
  <c r="BM18" i="1"/>
  <c r="BG18" i="1"/>
  <c r="BA18" i="1"/>
  <c r="AU18" i="1"/>
  <c r="AO18" i="1"/>
  <c r="AI18" i="1"/>
  <c r="AC18" i="1"/>
  <c r="W18" i="1"/>
  <c r="Q18" i="1"/>
  <c r="K18" i="1"/>
  <c r="BS17" i="1"/>
  <c r="BM17" i="1"/>
  <c r="BG17" i="1"/>
  <c r="BA17" i="1"/>
  <c r="AU17" i="1"/>
  <c r="AO17" i="1"/>
  <c r="AI17" i="1"/>
  <c r="AC17" i="1"/>
  <c r="W17" i="1"/>
  <c r="Q17" i="1"/>
  <c r="K17" i="1"/>
  <c r="BS16" i="1"/>
  <c r="BM16" i="1"/>
  <c r="BG16" i="1"/>
  <c r="BA16" i="1"/>
  <c r="AU16" i="1"/>
  <c r="AO16" i="1"/>
  <c r="AI16" i="1"/>
  <c r="AC16" i="1"/>
  <c r="W16" i="1"/>
  <c r="Q16" i="1"/>
  <c r="K16" i="1"/>
  <c r="BS15" i="1"/>
  <c r="BM15" i="1"/>
  <c r="BG15" i="1"/>
  <c r="BA15" i="1"/>
  <c r="AU15" i="1"/>
  <c r="AO15" i="1"/>
  <c r="AI15" i="1"/>
  <c r="AC15" i="1"/>
  <c r="W15" i="1"/>
  <c r="Q15" i="1"/>
  <c r="K15" i="1"/>
  <c r="BS14" i="1"/>
  <c r="BM14" i="1"/>
  <c r="BG14" i="1"/>
  <c r="BA14" i="1"/>
  <c r="AU14" i="1"/>
  <c r="AO14" i="1"/>
  <c r="AI14" i="1"/>
  <c r="AC14" i="1"/>
  <c r="W14" i="1"/>
  <c r="Q14" i="1"/>
  <c r="K14" i="1"/>
  <c r="BS13" i="1"/>
  <c r="BM13" i="1"/>
  <c r="BG13" i="1"/>
  <c r="BA13" i="1"/>
  <c r="AU13" i="1"/>
  <c r="AO13" i="1"/>
  <c r="AI13" i="1"/>
  <c r="AC13" i="1"/>
  <c r="W13" i="1"/>
  <c r="Q13" i="1"/>
  <c r="K13" i="1"/>
  <c r="BS12" i="1"/>
  <c r="BM12" i="1"/>
  <c r="BG12" i="1"/>
  <c r="BA12" i="1"/>
  <c r="AU12" i="1"/>
  <c r="AO12" i="1"/>
  <c r="AI12" i="1"/>
  <c r="AC12" i="1"/>
  <c r="W12" i="1"/>
  <c r="Q12" i="1"/>
  <c r="K12" i="1"/>
  <c r="BS11" i="1"/>
  <c r="BM11" i="1"/>
  <c r="BG11" i="1"/>
  <c r="BA11" i="1"/>
  <c r="AU11" i="1"/>
  <c r="AO11" i="1"/>
  <c r="AI11" i="1"/>
  <c r="AC11" i="1"/>
  <c r="W11" i="1"/>
  <c r="Q11" i="1"/>
  <c r="K11" i="1"/>
  <c r="CS10" i="1"/>
  <c r="CR10" i="1"/>
  <c r="CP10" i="1"/>
  <c r="CO10" i="1"/>
  <c r="CN10" i="1"/>
  <c r="CM10" i="1"/>
  <c r="CL10" i="1"/>
  <c r="CK10" i="1"/>
  <c r="CJ10" i="1"/>
  <c r="CI10" i="1"/>
  <c r="CH10" i="1"/>
  <c r="CG10" i="1"/>
  <c r="CF10" i="1"/>
  <c r="CE10" i="1"/>
  <c r="CD10" i="1"/>
  <c r="CC10" i="1"/>
  <c r="CB10" i="1"/>
  <c r="CA10" i="1"/>
  <c r="BZ10" i="1"/>
  <c r="BY10" i="1"/>
  <c r="BX10" i="1"/>
  <c r="BW10" i="1"/>
  <c r="BV10" i="1"/>
  <c r="BU10" i="1"/>
  <c r="BT10" i="1"/>
  <c r="BR10" i="1"/>
  <c r="BQ10" i="1"/>
  <c r="BP10" i="1"/>
  <c r="BO10" i="1"/>
  <c r="BN10" i="1"/>
  <c r="BL10" i="1"/>
  <c r="BK10" i="1"/>
  <c r="BJ10" i="1"/>
  <c r="BI10" i="1"/>
  <c r="BH10" i="1"/>
  <c r="BF10" i="1"/>
  <c r="BE10" i="1"/>
  <c r="BD10" i="1"/>
  <c r="BC10" i="1"/>
  <c r="BB10" i="1"/>
  <c r="AZ10" i="1"/>
  <c r="AY10" i="1"/>
  <c r="AX10" i="1"/>
  <c r="AW10" i="1"/>
  <c r="AV10" i="1"/>
  <c r="AT10" i="1"/>
  <c r="AS10" i="1"/>
  <c r="AR10" i="1"/>
  <c r="AQ10" i="1"/>
  <c r="AP10" i="1"/>
  <c r="AN10" i="1"/>
  <c r="AM10" i="1"/>
  <c r="AL10" i="1"/>
  <c r="AK10" i="1"/>
  <c r="AJ10" i="1"/>
  <c r="AH10" i="1"/>
  <c r="AG10" i="1"/>
  <c r="AF10" i="1"/>
  <c r="AE10" i="1"/>
  <c r="AD10" i="1"/>
  <c r="AB10" i="1"/>
  <c r="AA10" i="1"/>
  <c r="Z10" i="1"/>
  <c r="Y10" i="1"/>
  <c r="X10" i="1"/>
  <c r="V10" i="1"/>
  <c r="U10" i="1"/>
  <c r="T10" i="1"/>
  <c r="S10" i="1"/>
  <c r="R10" i="1"/>
  <c r="P10" i="1"/>
  <c r="O10" i="1"/>
  <c r="N10" i="1"/>
  <c r="M10" i="1"/>
  <c r="L10" i="1"/>
  <c r="J10" i="1"/>
  <c r="I10" i="1"/>
  <c r="H10" i="1"/>
  <c r="G10" i="1"/>
  <c r="F10" i="1"/>
  <c r="E10" i="1"/>
  <c r="D10" i="1"/>
  <c r="C10" i="1"/>
  <c r="B10" i="1"/>
  <c r="AU129" i="1" l="1"/>
  <c r="Q110" i="1"/>
  <c r="BM110" i="1"/>
  <c r="AC110" i="1"/>
  <c r="BY110" i="1"/>
  <c r="AO110" i="1"/>
  <c r="AC32" i="1"/>
  <c r="E32" i="1"/>
  <c r="BA32" i="1"/>
  <c r="K56" i="1"/>
  <c r="BG56" i="1"/>
  <c r="AI56" i="1"/>
  <c r="BS89" i="1"/>
  <c r="W110" i="1"/>
  <c r="BS110" i="1"/>
  <c r="AU110" i="1"/>
  <c r="W129" i="1"/>
  <c r="BS129" i="1"/>
  <c r="AI10" i="1"/>
  <c r="K10" i="1"/>
  <c r="AU89" i="1"/>
  <c r="CK89" i="1"/>
  <c r="BG10" i="1"/>
  <c r="M16" i="13"/>
  <c r="Q74" i="12"/>
  <c r="G16" i="13"/>
  <c r="M69" i="12"/>
  <c r="Q69" i="12" s="1"/>
  <c r="P16" i="13"/>
  <c r="N90" i="11"/>
  <c r="P90" i="11" s="1"/>
  <c r="M90" i="11"/>
  <c r="N25" i="10"/>
  <c r="M25" i="10"/>
  <c r="N51" i="8"/>
  <c r="P52" i="8"/>
  <c r="P51" i="8" s="1"/>
  <c r="AO10" i="1"/>
  <c r="AC19" i="1"/>
  <c r="E19" i="1"/>
  <c r="BA19" i="1"/>
  <c r="AO32" i="1"/>
  <c r="Q32" i="1"/>
  <c r="BM32" i="1"/>
  <c r="AC89" i="1"/>
  <c r="M63" i="12"/>
  <c r="Q63" i="12" s="1"/>
  <c r="M75" i="12"/>
  <c r="Q75" i="12" s="1"/>
  <c r="H122" i="12"/>
  <c r="Q130" i="12"/>
  <c r="Q141" i="12"/>
  <c r="N36" i="11"/>
  <c r="P36" i="11" s="1"/>
  <c r="M36" i="11"/>
  <c r="N63" i="11"/>
  <c r="P63" i="11" s="1"/>
  <c r="M63" i="11"/>
  <c r="M72" i="11"/>
  <c r="N106" i="11"/>
  <c r="P106" i="11" s="1"/>
  <c r="M106" i="11"/>
  <c r="P40" i="8"/>
  <c r="P44" i="8"/>
  <c r="N42" i="8"/>
  <c r="N27" i="8" s="1"/>
  <c r="N15" i="8" s="1"/>
  <c r="M73" i="9"/>
  <c r="O73" i="9" s="1"/>
  <c r="L73" i="9"/>
  <c r="O59" i="9"/>
  <c r="Q10" i="1"/>
  <c r="K19" i="1"/>
  <c r="BG19" i="1"/>
  <c r="E89" i="1"/>
  <c r="AI110" i="1"/>
  <c r="CK110" i="1"/>
  <c r="K110" i="1"/>
  <c r="BG110" i="1"/>
  <c r="Q129" i="1"/>
  <c r="BM129" i="1"/>
  <c r="M66" i="12"/>
  <c r="Q66" i="12" s="1"/>
  <c r="N81" i="11"/>
  <c r="P81" i="11" s="1"/>
  <c r="M81" i="11"/>
  <c r="M26" i="9"/>
  <c r="O26" i="9" s="1"/>
  <c r="L26" i="9"/>
  <c r="BM10" i="1"/>
  <c r="AI19" i="1"/>
  <c r="AO19" i="1"/>
  <c r="Q19" i="1"/>
  <c r="BM19" i="1"/>
  <c r="AO89" i="1"/>
  <c r="K89" i="1"/>
  <c r="BG89" i="1"/>
  <c r="AI89" i="1"/>
  <c r="AI129" i="1"/>
  <c r="E129" i="1"/>
  <c r="BA129" i="1"/>
  <c r="AC129" i="1"/>
  <c r="M123" i="12"/>
  <c r="N23" i="11"/>
  <c r="P23" i="11" s="1"/>
  <c r="M23" i="11"/>
  <c r="N98" i="11"/>
  <c r="P98" i="11" s="1"/>
  <c r="M98" i="11"/>
  <c r="N38" i="8"/>
  <c r="G45" i="9"/>
  <c r="F16" i="9"/>
  <c r="N41" i="11"/>
  <c r="P41" i="11" s="1"/>
  <c r="M41" i="11"/>
  <c r="N70" i="11"/>
  <c r="P70" i="11" s="1"/>
  <c r="M70" i="11"/>
  <c r="BA10" i="1"/>
  <c r="W19" i="1"/>
  <c r="AO129" i="1"/>
  <c r="K129" i="1"/>
  <c r="BG129" i="1"/>
  <c r="AC10" i="1"/>
  <c r="AC56" i="1"/>
  <c r="E56" i="1"/>
  <c r="BA56" i="1"/>
  <c r="BA89" i="1"/>
  <c r="W89" i="1"/>
  <c r="Q89" i="1"/>
  <c r="BM89" i="1"/>
  <c r="E110" i="1"/>
  <c r="BA110" i="1"/>
  <c r="N27" i="11"/>
  <c r="P27" i="11" s="1"/>
  <c r="N60" i="11"/>
  <c r="P60" i="11" s="1"/>
  <c r="N85" i="11"/>
  <c r="P85" i="11" s="1"/>
  <c r="M85" i="11"/>
  <c r="N99" i="11"/>
  <c r="P99" i="11" s="1"/>
  <c r="N104" i="11"/>
  <c r="P104" i="11" s="1"/>
  <c r="P17" i="10"/>
  <c r="N44" i="10"/>
  <c r="P44" i="10" s="1"/>
  <c r="M44" i="10"/>
  <c r="M60" i="8"/>
  <c r="BS10" i="1"/>
  <c r="AU19" i="1"/>
  <c r="BS56" i="1"/>
  <c r="AU10" i="1"/>
  <c r="W32" i="1"/>
  <c r="BS32" i="1"/>
  <c r="AU32" i="1"/>
  <c r="K32" i="1"/>
  <c r="BG32" i="1"/>
  <c r="CK32" i="1"/>
  <c r="N42" i="13"/>
  <c r="N16" i="13" s="1"/>
  <c r="Q140" i="12"/>
  <c r="Q163" i="12"/>
  <c r="N31" i="11"/>
  <c r="P31" i="11" s="1"/>
  <c r="M31" i="11"/>
  <c r="M38" i="11"/>
  <c r="M66" i="11"/>
  <c r="N71" i="11"/>
  <c r="P71" i="11" s="1"/>
  <c r="N102" i="11"/>
  <c r="P102" i="11" s="1"/>
  <c r="M102" i="11"/>
  <c r="H19" i="8"/>
  <c r="M27" i="8"/>
  <c r="M15" i="8" s="1"/>
  <c r="P42" i="8"/>
  <c r="M69" i="8"/>
  <c r="W10" i="1"/>
  <c r="BS19" i="1"/>
  <c r="AI32" i="1"/>
  <c r="AO56" i="1"/>
  <c r="Q56" i="1"/>
  <c r="BM56" i="1"/>
  <c r="M127" i="12"/>
  <c r="Q127" i="12" s="1"/>
  <c r="M144" i="12"/>
  <c r="Q144" i="12" s="1"/>
  <c r="N42" i="11"/>
  <c r="P42" i="11" s="1"/>
  <c r="N76" i="11"/>
  <c r="P76" i="11" s="1"/>
  <c r="M76" i="11"/>
  <c r="M83" i="11"/>
  <c r="N86" i="11"/>
  <c r="P86" i="11" s="1"/>
  <c r="N21" i="10"/>
  <c r="N32" i="10"/>
  <c r="P32" i="10" s="1"/>
  <c r="N38" i="10"/>
  <c r="P38" i="10" s="1"/>
  <c r="N45" i="10"/>
  <c r="P45" i="10" s="1"/>
  <c r="H27" i="8"/>
  <c r="H15" i="8" s="1"/>
  <c r="N45" i="8"/>
  <c r="M45" i="9"/>
  <c r="N73" i="11"/>
  <c r="P73" i="11" s="1"/>
  <c r="P30" i="10"/>
  <c r="M65" i="11"/>
  <c r="M71" i="11"/>
  <c r="M113" i="11"/>
  <c r="M32" i="10"/>
  <c r="M27" i="10" s="1"/>
  <c r="M40" i="10"/>
  <c r="L29" i="9"/>
  <c r="L41" i="9"/>
  <c r="L49" i="9"/>
  <c r="L52" i="9"/>
  <c r="L60" i="9"/>
  <c r="G76" i="9"/>
  <c r="M42" i="11"/>
  <c r="M49" i="11"/>
  <c r="M59" i="11"/>
  <c r="M21" i="10"/>
  <c r="M20" i="10" s="1"/>
  <c r="M26" i="10"/>
  <c r="M46" i="10"/>
  <c r="H20" i="10"/>
  <c r="H16" i="10" s="1"/>
  <c r="N26" i="10"/>
  <c r="P26" i="10" s="1"/>
  <c r="M34" i="10"/>
  <c r="M42" i="10"/>
  <c r="L19" i="9"/>
  <c r="L40" i="9"/>
  <c r="L45" i="9" s="1"/>
  <c r="L70" i="9"/>
  <c r="M38" i="10"/>
  <c r="M45" i="10"/>
  <c r="L28" i="9"/>
  <c r="L48" i="9"/>
  <c r="L55" i="9" s="1"/>
  <c r="L51" i="9"/>
  <c r="L59" i="9"/>
  <c r="L76" i="9" s="1"/>
  <c r="M48" i="9"/>
  <c r="CQ10" i="1"/>
  <c r="G16" i="9" l="1"/>
  <c r="M24" i="10"/>
  <c r="P27" i="10"/>
  <c r="N20" i="10"/>
  <c r="P21" i="10"/>
  <c r="P20" i="10" s="1"/>
  <c r="P16" i="10" s="1"/>
  <c r="P27" i="8"/>
  <c r="P15" i="8" s="1"/>
  <c r="P38" i="8"/>
  <c r="N24" i="10"/>
  <c r="P25" i="10"/>
  <c r="P24" i="10" s="1"/>
  <c r="Q123" i="12"/>
  <c r="M122" i="12"/>
  <c r="Q122" i="12" s="1"/>
  <c r="O48" i="9"/>
  <c r="O55" i="9" s="1"/>
  <c r="M55" i="9"/>
  <c r="M16" i="9" s="1"/>
  <c r="M16" i="10"/>
  <c r="O76" i="9"/>
  <c r="M73" i="12"/>
  <c r="Q73" i="12" s="1"/>
  <c r="N27" i="10"/>
  <c r="M76" i="9"/>
  <c r="L16" i="9"/>
  <c r="O16" i="9" l="1"/>
  <c r="N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C9" authorId="0" shapeId="0" xr:uid="{00000000-0006-0000-0000-000001000000}">
      <text>
        <r>
          <rPr>
            <b/>
            <sz val="9"/>
            <color indexed="81"/>
            <rFont val="Tahoma"/>
            <family val="2"/>
          </rPr>
          <t>Chris:</t>
        </r>
        <r>
          <rPr>
            <sz val="9"/>
            <color indexed="81"/>
            <rFont val="Tahoma"/>
            <family val="2"/>
          </rPr>
          <t xml:space="preserve">
TOTALLY DAMAGED
</t>
        </r>
      </text>
    </comment>
    <comment ref="D9" authorId="0" shapeId="0" xr:uid="{00000000-0006-0000-0000-000002000000}">
      <text>
        <r>
          <rPr>
            <b/>
            <sz val="9"/>
            <color indexed="81"/>
            <rFont val="Tahoma"/>
            <family val="2"/>
          </rPr>
          <t>Chris:</t>
        </r>
        <r>
          <rPr>
            <sz val="9"/>
            <color indexed="81"/>
            <rFont val="Tahoma"/>
            <family val="2"/>
          </rPr>
          <t xml:space="preserve">
PARTIALLY DAMAGED
</t>
        </r>
      </text>
    </comment>
    <comment ref="I9" authorId="0" shapeId="0" xr:uid="{00000000-0006-0000-0000-000003000000}">
      <text>
        <r>
          <rPr>
            <b/>
            <sz val="9"/>
            <color indexed="81"/>
            <rFont val="Tahoma"/>
            <family val="2"/>
          </rPr>
          <t>Chris:</t>
        </r>
        <r>
          <rPr>
            <sz val="9"/>
            <color indexed="81"/>
            <rFont val="Tahoma"/>
            <family val="2"/>
          </rPr>
          <t xml:space="preserve">
TOTALLY DAMAGED
</t>
        </r>
      </text>
    </comment>
    <comment ref="J9" authorId="0" shapeId="0" xr:uid="{00000000-0006-0000-0000-000004000000}">
      <text>
        <r>
          <rPr>
            <b/>
            <sz val="9"/>
            <color indexed="81"/>
            <rFont val="Tahoma"/>
            <family val="2"/>
          </rPr>
          <t>Chris:</t>
        </r>
        <r>
          <rPr>
            <sz val="9"/>
            <color indexed="81"/>
            <rFont val="Tahoma"/>
            <family val="2"/>
          </rPr>
          <t xml:space="preserve">
PARTIALLY DAMAGED
</t>
        </r>
      </text>
    </comment>
  </commentList>
</comments>
</file>

<file path=xl/sharedStrings.xml><?xml version="1.0" encoding="utf-8"?>
<sst xmlns="http://schemas.openxmlformats.org/spreadsheetml/2006/main" count="1388" uniqueCount="477">
  <si>
    <t>San Vicente</t>
  </si>
  <si>
    <t>Bato</t>
  </si>
  <si>
    <t>Mercedes</t>
  </si>
  <si>
    <t>San Jose</t>
  </si>
  <si>
    <t>San Miguel</t>
  </si>
  <si>
    <t>Rice</t>
  </si>
  <si>
    <t>No. of Farmers Affected</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</si>
  <si>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</si>
  <si>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</si>
  <si>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</si>
  <si>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</si>
  <si>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</si>
  <si>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</si>
  <si>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</si>
  <si>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</si>
  <si>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</si>
  <si>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</si>
  <si>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</si>
  <si>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</si>
  <si>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</si>
  <si>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</si>
  <si>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</si>
  <si>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</si>
  <si>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</si>
  <si>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</si>
  <si>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</si>
  <si>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</si>
  <si>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</si>
  <si>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</si>
  <si>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</si>
  <si>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</si>
  <si>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</si>
  <si>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</si>
  <si>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</si>
  <si>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</si>
  <si>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</si>
  <si>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</si>
  <si>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</si>
  <si>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</si>
  <si>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</si>
  <si>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</si>
  <si>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</si>
  <si>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</si>
  <si>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</si>
  <si>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Silago</t>
  </si>
  <si>
    <t>Sogod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</si>
  <si>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</si>
  <si>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</si>
  <si>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</si>
  <si>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</si>
  <si>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</si>
  <si>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</si>
  <si>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</si>
  <si>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</si>
  <si>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</si>
  <si>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</si>
  <si>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</si>
  <si>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</si>
  <si>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</si>
  <si>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</si>
  <si>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</si>
  <si>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</si>
  <si>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</si>
  <si>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</si>
  <si>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</si>
  <si>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</si>
  <si>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</si>
  <si>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</si>
  <si>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</si>
  <si>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</si>
  <si>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</si>
  <si>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</si>
  <si>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</si>
  <si>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</si>
  <si>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</si>
  <si>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</si>
  <si>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</si>
  <si>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</si>
  <si>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</si>
  <si>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</si>
  <si>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</si>
  <si>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</si>
  <si>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</si>
  <si>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</si>
  <si>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</si>
  <si>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</si>
  <si>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</si>
  <si>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</si>
  <si>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</si>
  <si>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</si>
  <si>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</si>
  <si>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</si>
  <si>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</si>
  <si>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</si>
  <si>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</si>
  <si>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</si>
  <si>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Cost of Prod'n. Loss (P)</t>
  </si>
  <si>
    <t>Area w/ No Chance of Recovery (ha)</t>
  </si>
  <si>
    <t>Area w/ Chance of Recovery (HA)</t>
  </si>
  <si>
    <t>Total Area Affected (has.)</t>
  </si>
  <si>
    <t>Matag-ob</t>
  </si>
  <si>
    <t>Laoang</t>
  </si>
  <si>
    <t>Calbayog</t>
  </si>
  <si>
    <t>Can-avid</t>
  </si>
  <si>
    <t>Jipapad</t>
  </si>
  <si>
    <t>Arteche</t>
  </si>
  <si>
    <t>Mondragon</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</si>
  <si>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</si>
  <si>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</si>
  <si>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</si>
  <si>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</si>
  <si>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</si>
  <si>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</si>
  <si>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</si>
  <si>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</si>
  <si>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</si>
  <si>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</si>
  <si>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</si>
  <si>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</si>
  <si>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</si>
  <si>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</si>
  <si>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</si>
  <si>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</si>
  <si>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</si>
  <si>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</si>
  <si>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</si>
  <si>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</si>
  <si>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</si>
  <si>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</si>
  <si>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</si>
  <si>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</si>
  <si>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</si>
  <si>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</si>
  <si>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</si>
  <si>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</si>
  <si>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</si>
  <si>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</si>
  <si>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</si>
  <si>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</si>
  <si>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</si>
  <si>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</si>
  <si>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</si>
  <si>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</si>
  <si>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</si>
  <si>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</si>
  <si>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</si>
  <si>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</si>
  <si>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</si>
  <si>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</si>
  <si>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</si>
  <si>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</si>
  <si>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</si>
  <si>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</si>
  <si>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</si>
  <si>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</si>
  <si>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</si>
  <si>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</si>
  <si>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</si>
  <si>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</si>
  <si>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</si>
  <si>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</si>
  <si>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</si>
  <si>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</si>
  <si>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</si>
  <si>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</si>
  <si>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</si>
  <si>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</si>
  <si>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</si>
  <si>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</si>
  <si>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</si>
  <si>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</si>
  <si>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</si>
  <si>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</si>
  <si>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</si>
  <si>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</si>
  <si>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</si>
  <si>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</si>
  <si>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</si>
  <si>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</si>
  <si>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</si>
  <si>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</si>
  <si>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</si>
  <si>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</si>
  <si>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</si>
  <si>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</si>
  <si>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</si>
  <si>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</si>
  <si>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</si>
  <si>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</si>
  <si>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</si>
  <si>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</si>
  <si>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</si>
  <si>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</si>
  <si>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</si>
  <si>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</si>
  <si>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</si>
  <si>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</si>
  <si>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</si>
  <si>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</si>
  <si>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</si>
  <si>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</si>
  <si>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</si>
  <si>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</si>
  <si>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</si>
  <si>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</si>
  <si>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</si>
  <si>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</si>
  <si>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</si>
  <si>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</si>
  <si>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</si>
  <si>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</si>
  <si>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</si>
  <si>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</si>
  <si>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</si>
  <si>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</si>
  <si>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</si>
  <si>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</si>
  <si>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</si>
  <si>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</si>
  <si>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</si>
  <si>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</si>
  <si>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</si>
  <si>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</si>
  <si>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</si>
  <si>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</si>
  <si>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</si>
  <si>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</si>
  <si>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</si>
  <si>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</si>
  <si>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</si>
  <si>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</si>
  <si>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</si>
  <si>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</si>
  <si>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</si>
  <si>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</si>
  <si>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</si>
  <si>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</si>
  <si>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</si>
  <si>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</si>
  <si>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</si>
  <si>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</si>
  <si>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</si>
  <si>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</si>
  <si>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</si>
  <si>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</si>
  <si>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</si>
  <si>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</si>
  <si>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</si>
  <si>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</si>
  <si>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</si>
  <si>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</si>
  <si>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</si>
  <si>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</si>
  <si>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</si>
  <si>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</si>
  <si>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</si>
  <si>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</si>
  <si>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</si>
  <si>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</si>
  <si>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</si>
  <si>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</si>
  <si>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</si>
  <si>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</si>
  <si>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</si>
  <si>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</si>
  <si>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</si>
  <si>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</si>
  <si>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</si>
  <si>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</si>
  <si>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Copocan</t>
  </si>
  <si>
    <t>Sto. Niño</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</si>
  <si>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</si>
  <si>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</si>
  <si>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</si>
  <si>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</si>
  <si>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</si>
  <si>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</si>
  <si>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</si>
  <si>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</si>
  <si>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</si>
  <si>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</si>
  <si>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</si>
  <si>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</si>
  <si>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</si>
  <si>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</si>
  <si>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</si>
  <si>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</si>
  <si>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</si>
  <si>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</si>
  <si>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</si>
  <si>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</si>
  <si>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</si>
  <si>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</si>
  <si>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</si>
  <si>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</si>
  <si>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</si>
  <si>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</si>
  <si>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</si>
  <si>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</si>
  <si>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</si>
  <si>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</si>
  <si>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</si>
  <si>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</si>
  <si>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</si>
  <si>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</si>
  <si>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</si>
  <si>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</si>
  <si>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</si>
  <si>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</si>
  <si>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</si>
  <si>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</si>
  <si>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</si>
  <si>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</si>
  <si>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</si>
  <si>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</si>
  <si>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</si>
  <si>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</si>
  <si>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</si>
  <si>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</si>
  <si>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</si>
  <si>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</si>
  <si>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validated</t>
  </si>
  <si>
    <t>Date of Occurrence: December 24-25, 2019</t>
  </si>
  <si>
    <t>Cause of Damage: Heavy Rainfall and Flooding caused by Typhoon Ursula</t>
  </si>
  <si>
    <t>18</t>
  </si>
  <si>
    <t>Gen. Macarthur</t>
  </si>
  <si>
    <t>Production Loss (PhP)</t>
  </si>
  <si>
    <t>Area with no Chance of Recovery (ha)</t>
  </si>
  <si>
    <t>Area with Chance of Recovery (ha)</t>
  </si>
  <si>
    <t>AURORA</t>
  </si>
  <si>
    <t>BATAAN</t>
  </si>
  <si>
    <t>BULACAN</t>
  </si>
  <si>
    <t>NUEVA ECIJA</t>
  </si>
  <si>
    <t>PAMPANGA</t>
  </si>
  <si>
    <t>TARLAC</t>
  </si>
  <si>
    <t>ZAMBALES</t>
  </si>
  <si>
    <t>DILASAG</t>
  </si>
  <si>
    <t>MARIA AURORA</t>
  </si>
  <si>
    <t>DIPACULAO</t>
  </si>
  <si>
    <t>DINGALAN</t>
  </si>
  <si>
    <t>DINALUNGAN</t>
  </si>
  <si>
    <t>CASIGURAN</t>
  </si>
  <si>
    <t>SAN LUIS</t>
  </si>
  <si>
    <t>BALER</t>
  </si>
  <si>
    <t>DINALUPIHAN (1st)</t>
  </si>
  <si>
    <t>HERMOSA (1st)</t>
  </si>
  <si>
    <t>ORANI (1st)</t>
  </si>
  <si>
    <t>SAMAL (1st)</t>
  </si>
  <si>
    <t xml:space="preserve">ABUCAY (1st) </t>
  </si>
  <si>
    <t>MORONG (1st)</t>
  </si>
  <si>
    <t>BALANGA (2nd)</t>
  </si>
  <si>
    <t>PILAR (2nd)</t>
  </si>
  <si>
    <t>ORION (2nd)</t>
  </si>
  <si>
    <t>LIMAY (2nd)</t>
  </si>
  <si>
    <t>MARIVELES (2nd)</t>
  </si>
  <si>
    <t>BAGAC (2nd)</t>
  </si>
  <si>
    <t>BULACAN (1st)</t>
  </si>
  <si>
    <t>PULILAN (1st)</t>
  </si>
  <si>
    <t>PAOMBONG (1st)</t>
  </si>
  <si>
    <t>HAGONOY (1st)</t>
  </si>
  <si>
    <t>MALOLOS (1st)</t>
  </si>
  <si>
    <t>CALUMPIT (1st)</t>
  </si>
  <si>
    <t>BALAGTAS (2nd)</t>
  </si>
  <si>
    <t>PLARIDEL (2nd)</t>
  </si>
  <si>
    <t>PANDI (2nd)</t>
  </si>
  <si>
    <t>GUIGUINTO (2nd)</t>
  </si>
  <si>
    <t>BUSTOS (2nd)</t>
  </si>
  <si>
    <t>BOCAUE (2nd)</t>
  </si>
  <si>
    <t>BALIUAG (2nd)</t>
  </si>
  <si>
    <t>ANGAT (3rd)</t>
  </si>
  <si>
    <t>DOÑA REMEDIOS TRINIDAD (3rd)</t>
  </si>
  <si>
    <t>SAN ILDEFONSO (3rd)</t>
  </si>
  <si>
    <t>NORZAGARAY  (3rd)</t>
  </si>
  <si>
    <t>SAN MIGUEL (3rd)</t>
  </si>
  <si>
    <t>SAN RAFAEL (3rd)</t>
  </si>
  <si>
    <t>MARILAO (4th)</t>
  </si>
  <si>
    <t>MEYCAUAYAN (4th)</t>
  </si>
  <si>
    <t>SAN JOSE DEL MONTE (4th)</t>
  </si>
  <si>
    <t>STA. MARIA (4th)</t>
  </si>
  <si>
    <t>ALIAGA (1st)</t>
  </si>
  <si>
    <t>ZARAGOZA (1st)</t>
  </si>
  <si>
    <t>TALAVERA (1st)</t>
  </si>
  <si>
    <t>STO.DOMINGO (1st)</t>
  </si>
  <si>
    <t>QUEZON (1st)</t>
  </si>
  <si>
    <t>NAMPICUAN (1st)</t>
  </si>
  <si>
    <t>LICAB (1st)</t>
  </si>
  <si>
    <t>GUIMBA (1st)</t>
  </si>
  <si>
    <t>CUYAPO (1st)</t>
  </si>
  <si>
    <t>TALUGTUG (2nd)</t>
  </si>
  <si>
    <t>RIZAL (2nd)</t>
  </si>
  <si>
    <t>PANTABANGAN (2nd)</t>
  </si>
  <si>
    <t>MUÑOZ (2nd)</t>
  </si>
  <si>
    <t>LUPAO (2nd)</t>
  </si>
  <si>
    <t>LLANERA (2nd)</t>
  </si>
  <si>
    <t>CARRANGLAN (2nd)</t>
  </si>
  <si>
    <t>SAN JOSE (2nd)</t>
  </si>
  <si>
    <t>GABALDON (3rd)</t>
  </si>
  <si>
    <t>LAUR (3rd)</t>
  </si>
  <si>
    <t>STA.ROSA (3rd)</t>
  </si>
  <si>
    <t>GEN. NATIVIDAD (3rd)</t>
  </si>
  <si>
    <t>BONGABON (3rd)</t>
  </si>
  <si>
    <t>PALAYAN (3rd)</t>
  </si>
  <si>
    <t>SAN ISIDRO (4th)</t>
  </si>
  <si>
    <t>GEN.TINIO (4th)</t>
  </si>
  <si>
    <t>SAN ANTONIO (4th)</t>
  </si>
  <si>
    <t>CABIAO (4th)</t>
  </si>
  <si>
    <t>GAPAN (4th)</t>
  </si>
  <si>
    <t>PEÑARANDA (4th)</t>
  </si>
  <si>
    <t>JAEN (4th)</t>
  </si>
  <si>
    <t>SAN LEONARDO (4th)</t>
  </si>
  <si>
    <t>ANGELES CITY (1st)</t>
  </si>
  <si>
    <t>MABALACAT (1st)</t>
  </si>
  <si>
    <t>MAGALANG (1st)</t>
  </si>
  <si>
    <t>FLORIDABLANCA (2nd)</t>
  </si>
  <si>
    <t>GUAGUA (2nd)</t>
  </si>
  <si>
    <t>LUBAO (2nd)</t>
  </si>
  <si>
    <t>PORAC (2nd)</t>
  </si>
  <si>
    <t>STA. RITA (2nd)</t>
  </si>
  <si>
    <t>ARAYAT (3rd)</t>
  </si>
  <si>
    <t>BACOLOR (3rd)</t>
  </si>
  <si>
    <t>MEXICO (3rd)</t>
  </si>
  <si>
    <t>STA. ANA (3rd)</t>
  </si>
  <si>
    <t>SAN FERNANDO (3rd)</t>
  </si>
  <si>
    <t>APALIT (4th)</t>
  </si>
  <si>
    <t>MACABEBE (4th)</t>
  </si>
  <si>
    <t>MINALIN (4th)</t>
  </si>
  <si>
    <t>SAN LUIS (4th)</t>
  </si>
  <si>
    <t>SAN SIMON (4th)</t>
  </si>
  <si>
    <t>STO. TOMAS (4th)</t>
  </si>
  <si>
    <t>CANDABA (4th)</t>
  </si>
  <si>
    <t>BAMBAN (3rd)</t>
  </si>
  <si>
    <t>CAPAS (3rd)</t>
  </si>
  <si>
    <t>CONCEPCION (3rd)</t>
  </si>
  <si>
    <t>LA PAZ (3rd)</t>
  </si>
  <si>
    <t>ANAO (1st)</t>
  </si>
  <si>
    <t>STA. IGNACIA (1st)</t>
  </si>
  <si>
    <t>SAN MANUEL (1st)</t>
  </si>
  <si>
    <t>SAN CLEMENTE (1st)</t>
  </si>
  <si>
    <t>RAMOS (1st)</t>
  </si>
  <si>
    <t>PURA (1st)</t>
  </si>
  <si>
    <t>PANIQUI (1st)</t>
  </si>
  <si>
    <t>MONCADA (1st)</t>
  </si>
  <si>
    <t>MAYANTOC (1st)</t>
  </si>
  <si>
    <t>CAMILING (1st)</t>
  </si>
  <si>
    <t>VICTORIA (2nd)</t>
  </si>
  <si>
    <t>TARLAC CITY (2nd)</t>
  </si>
  <si>
    <t>GERONA (2nd)</t>
  </si>
  <si>
    <t>CASTILLEJOS (1st)</t>
  </si>
  <si>
    <t>SAN MARCELINO (1st)</t>
  </si>
  <si>
    <t>SUBIC (1st)</t>
  </si>
  <si>
    <t>SAN ANTONIO (2nd)</t>
  </si>
  <si>
    <t>SAN NARCISO (2nd)</t>
  </si>
  <si>
    <t>SAN FELIPE (2nd)</t>
  </si>
  <si>
    <t>CABANGAN (2nd)</t>
  </si>
  <si>
    <t>BOTOLAN (2nd)</t>
  </si>
  <si>
    <t>IBA (2nd)</t>
  </si>
  <si>
    <t>PALAUIG (2nd)</t>
  </si>
  <si>
    <t>MASINLOC (2nd)</t>
  </si>
  <si>
    <t>CANDELARIA (2nd)</t>
  </si>
  <si>
    <t>STA. CRUZ (2nd)</t>
  </si>
  <si>
    <t>TROPICAL CYCLONE 1 (GLENDA - JULY 2014)</t>
  </si>
  <si>
    <t>TROPICAL CYCLONE 2 (LUIS &amp; MARIO -  SEPTEMBER 2014)</t>
  </si>
  <si>
    <t>CABANATUAN (3rd)</t>
  </si>
  <si>
    <t>TROPICAL CYCLONE 3 (KABAYAN - OCTOBER 2015)</t>
  </si>
  <si>
    <t>TROPICAL CYCLONE 4 (LANDO - OCTOBER 2015)</t>
  </si>
  <si>
    <t>TROPICAL CYCLONE 5 (NONA - DECEMBER 2015)</t>
  </si>
  <si>
    <t>TROPICAL CYCLONE 6 (KAREN &amp; LAWIN - OCTOBER 2016)</t>
  </si>
  <si>
    <t>TROPICAL CYCLONE 7 (DOMENG - MAY 2018)</t>
  </si>
  <si>
    <t>TROPICAL CYCLONE 8 (OMPONG - SEPTEMBER 2018)</t>
  </si>
  <si>
    <t>TROPICAL CYCLONE 9 (ROSITA - 2018)</t>
  </si>
  <si>
    <t>TROPICAL CYCLONE 10 (QUIEL - NOVEMBER 2019)</t>
  </si>
  <si>
    <t>TROPICAL CYCLONE 11 (TISOY - NOVEMBER 2019)</t>
  </si>
  <si>
    <t>TROPICAL CYCLONE 12 (AMBO - MAY 2020)</t>
  </si>
  <si>
    <t>TROPICAL CYCLONE 13 (PEPITO - OCTOBER 2020)</t>
  </si>
  <si>
    <t>TROPICAL CYCLONE 14 (QUINTA - OCTOBER 2020)</t>
  </si>
  <si>
    <t>TROPICAL CYCLONE 15 (ROLLY - NOVEMBER 2020)</t>
  </si>
  <si>
    <t>TROPICAL CYCLONE 16 (ULYSSES -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</si>
</sst>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59"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29">
    <xf numFmtId="0" fontId="0" fillId="0" borderId="0" xfId="0"/>
    <xf numFmtId="0" fontId="0" fillId="0" borderId="0" xfId="0" applyAlignment="1">
      <alignment horizontal="left"/>
    </xf>
    <xf numFmtId="0" fontId="0" fillId="0" borderId="0" xfId="0" applyAlignment="1">
      <alignment wrapText="1"/>
    </xf>
    <xf numFmtId="164" fontId="9" fillId="0" borderId="0" xfId="8" applyFont="1" applyBorder="1"/>
    <xf numFmtId="164" fontId="4" fillId="0" borderId="0" xfId="8" applyFont="1" applyBorder="1" applyAlignment="1">
      <alignment horizontal="left"/>
    </xf>
    <xf numFmtId="164" fontId="10" fillId="0" borderId="0" xfId="8" applyFont="1" applyBorder="1"/>
    <xf numFmtId="164" fontId="10" fillId="0" borderId="13" xfId="8" applyFont="1" applyBorder="1" applyAlignment="1">
      <alignment horizontal="center" vertical="center"/>
    </xf>
    <xf numFmtId="164" fontId="4" fillId="0" borderId="14" xfId="8" applyFont="1" applyBorder="1" applyAlignment="1">
      <alignment horizontal="left"/>
    </xf>
    <xf numFmtId="164" fontId="9" fillId="0" borderId="13" xfId="8" applyFont="1" applyBorder="1" applyAlignment="1">
      <alignment horizontal="center" vertical="center"/>
    </xf>
    <xf numFmtId="164" fontId="11" fillId="3" borderId="1" xfId="8" applyFont="1" applyFill="1" applyBorder="1" applyAlignment="1">
      <alignment vertical="center"/>
    </xf>
    <xf numFmtId="165" fontId="11" fillId="0" borderId="1" xfId="8" applyNumberFormat="1" applyFont="1" applyFill="1" applyBorder="1" applyAlignment="1">
      <alignment horizontal="center" vertical="center" wrapText="1"/>
    </xf>
    <xf numFmtId="3" fontId="14" fillId="3" borderId="1" xfId="11" applyNumberFormat="1" applyFont="1" applyFill="1" applyBorder="1" applyAlignment="1" applyProtection="1">
      <alignment horizontal="center" vertical="center" wrapText="1"/>
      <protection locked="0"/>
    </xf>
    <xf numFmtId="49" fontId="11" fillId="0" borderId="1" xfId="11" applyNumberFormat="1" applyFont="1" applyBorder="1" applyAlignment="1">
      <alignment horizontal="left" vertical="center" wrapText="1"/>
    </xf>
    <xf numFmtId="164" fontId="11" fillId="3" borderId="1" xfId="8" applyFont="1" applyFill="1" applyBorder="1" applyAlignment="1">
      <alignment horizontal="center" vertical="center" wrapText="1"/>
    </xf>
    <xf numFmtId="0" fontId="15" fillId="0" borderId="0" xfId="11" applyFont="1" applyAlignment="1">
      <alignment vertical="center"/>
    </xf>
    <xf numFmtId="0" fontId="15" fillId="0" borderId="0" xfId="11" applyFont="1" applyAlignment="1">
      <alignment horizontal="left" vertical="center"/>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0" fontId="15" fillId="0" borderId="0" xfId="11" applyFont="1" applyAlignment="1">
      <alignment horizontal="center"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49" fontId="11" fillId="3" borderId="1" xfId="11" applyNumberFormat="1" applyFont="1" applyFill="1" applyBorder="1" applyAlignment="1">
      <alignment vertical="center" wrapText="1"/>
    </xf>
    <xf numFmtId="0" fontId="11" fillId="3" borderId="1" xfId="11" applyFont="1" applyFill="1" applyBorder="1" applyAlignment="1">
      <alignment horizontal="center" vertical="center" wrapText="1"/>
    </xf>
    <xf numFmtId="164" fontId="11" fillId="3" borderId="1" xfId="8" applyFont="1" applyFill="1" applyBorder="1" applyAlignment="1">
      <alignment horizontal="right" vertical="center"/>
    </xf>
    <xf numFmtId="39" fontId="11" fillId="0" borderId="1" xfId="8" applyNumberFormat="1" applyFont="1" applyFill="1" applyBorder="1" applyAlignment="1">
      <alignment horizontal="right" vertical="center"/>
    </xf>
    <xf numFmtId="9" fontId="11" fillId="0" borderId="1" xfId="11" applyNumberFormat="1" applyFont="1" applyBorder="1" applyAlignment="1">
      <alignment horizontal="center" vertical="center" wrapText="1"/>
    </xf>
    <xf numFmtId="167" fontId="11" fillId="3" borderId="1" xfId="8" applyNumberFormat="1" applyFont="1" applyFill="1" applyBorder="1" applyAlignment="1">
      <alignment horizontal="center" vertical="center" wrapText="1"/>
    </xf>
    <xf numFmtId="164" fontId="11" fillId="0" borderId="1" xfId="8" applyFont="1" applyFill="1" applyBorder="1" applyAlignment="1" applyProtection="1">
      <alignment horizontal="center" vertical="center"/>
    </xf>
    <xf numFmtId="164" fontId="11" fillId="3" borderId="1" xfId="8" applyFont="1" applyFill="1" applyBorder="1" applyAlignment="1">
      <alignment horizontal="center" vertical="center"/>
    </xf>
    <xf numFmtId="49" fontId="11" fillId="0" borderId="1" xfId="11" applyNumberFormat="1" applyFont="1" applyBorder="1" applyAlignment="1">
      <alignment vertical="center" wrapText="1"/>
    </xf>
    <xf numFmtId="49" fontId="11" fillId="0" borderId="1" xfId="11" applyNumberFormat="1" applyFont="1" applyBorder="1" applyAlignment="1">
      <alignment horizontal="center" vertical="center" wrapText="1"/>
    </xf>
    <xf numFmtId="49" fontId="11" fillId="3" borderId="1" xfId="11" applyNumberFormat="1" applyFont="1" applyFill="1" applyBorder="1" applyAlignment="1">
      <alignment horizontal="left" vertical="center" wrapText="1"/>
    </xf>
    <xf numFmtId="0" fontId="16" fillId="0" borderId="0" xfId="11" applyFont="1" applyAlignment="1">
      <alignment vertical="center"/>
    </xf>
    <xf numFmtId="0" fontId="16" fillId="0" borderId="0" xfId="11" applyFont="1" applyAlignment="1">
      <alignment horizontal="left" vertical="center"/>
    </xf>
    <xf numFmtId="167" fontId="11" fillId="0" borderId="1" xfId="8" applyNumberFormat="1" applyFont="1" applyFill="1" applyBorder="1" applyAlignment="1">
      <alignment horizontal="center" vertical="center" wrapText="1"/>
    </xf>
    <xf numFmtId="164" fontId="11" fillId="0" borderId="1" xfId="8" applyFont="1" applyFill="1" applyBorder="1" applyAlignment="1">
      <alignment horizontal="center" vertical="center"/>
    </xf>
    <xf numFmtId="164" fontId="11" fillId="0" borderId="1" xfId="8" applyFont="1" applyFill="1" applyBorder="1" applyAlignment="1">
      <alignment horizontal="center" vertical="center" wrapText="1"/>
    </xf>
    <xf numFmtId="164" fontId="11" fillId="0" borderId="1" xfId="8" applyFont="1" applyFill="1" applyBorder="1" applyAlignment="1">
      <alignment vertical="center" wrapText="1"/>
    </xf>
    <xf numFmtId="3" fontId="14" fillId="0" borderId="1" xfId="11" applyNumberFormat="1" applyFont="1" applyBorder="1" applyAlignment="1">
      <alignment horizontal="center" vertical="center" wrapText="1"/>
    </xf>
    <xf numFmtId="49" fontId="11" fillId="0" borderId="18" xfId="11" applyNumberFormat="1" applyFont="1" applyBorder="1" applyAlignment="1">
      <alignment horizontal="left" vertical="center" wrapText="1"/>
    </xf>
    <xf numFmtId="3" fontId="14" fillId="3" borderId="1" xfId="11"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xf>
    <xf numFmtId="49" fontId="16" fillId="0" borderId="0" xfId="11" applyNumberFormat="1" applyFont="1" applyAlignment="1">
      <alignment horizontal="center" vertical="center"/>
    </xf>
    <xf numFmtId="49" fontId="17" fillId="0" borderId="0" xfId="11" applyNumberFormat="1" applyFont="1" applyAlignment="1">
      <alignment horizontal="center" vertical="center"/>
    </xf>
    <xf numFmtId="0" fontId="16" fillId="0" borderId="0" xfId="11" applyFont="1" applyAlignment="1">
      <alignment horizontal="center" vertical="center"/>
    </xf>
    <xf numFmtId="49" fontId="18" fillId="3" borderId="1" xfId="11" applyNumberFormat="1" applyFont="1" applyFill="1" applyBorder="1" applyAlignment="1">
      <alignment vertical="center" wrapText="1"/>
    </xf>
    <xf numFmtId="164" fontId="18" fillId="3" borderId="1" xfId="8" applyFont="1" applyFill="1" applyBorder="1" applyAlignment="1">
      <alignment vertical="center"/>
    </xf>
    <xf numFmtId="0" fontId="18" fillId="3" borderId="1" xfId="11" applyFont="1" applyFill="1" applyBorder="1" applyAlignment="1">
      <alignment horizontal="center" vertical="center" wrapText="1"/>
    </xf>
    <xf numFmtId="164" fontId="18" fillId="3" borderId="1" xfId="8" applyFont="1" applyFill="1" applyBorder="1" applyAlignment="1">
      <alignment horizontal="right" vertical="center"/>
    </xf>
    <xf numFmtId="39" fontId="18" fillId="0" borderId="1" xfId="8" applyNumberFormat="1" applyFont="1" applyFill="1" applyBorder="1" applyAlignment="1">
      <alignment horizontal="right" vertical="center"/>
    </xf>
    <xf numFmtId="9" fontId="18" fillId="0" borderId="1" xfId="10" applyFont="1" applyFill="1" applyBorder="1" applyAlignment="1">
      <alignment horizontal="center" vertical="center" wrapText="1"/>
    </xf>
    <xf numFmtId="167" fontId="18" fillId="3" borderId="1" xfId="8" applyNumberFormat="1" applyFont="1" applyFill="1" applyBorder="1" applyAlignment="1">
      <alignment horizontal="center" vertical="center" wrapText="1"/>
    </xf>
    <xf numFmtId="164" fontId="18" fillId="3" borderId="1" xfId="8" applyFont="1" applyFill="1" applyBorder="1" applyAlignment="1" applyProtection="1">
      <alignment vertical="center"/>
    </xf>
    <xf numFmtId="164" fontId="18" fillId="3" borderId="1" xfId="8" applyFont="1" applyFill="1" applyBorder="1" applyAlignment="1">
      <alignment horizontal="center" vertical="center"/>
    </xf>
    <xf numFmtId="164" fontId="18" fillId="3" borderId="1" xfId="8" applyFont="1" applyFill="1" applyBorder="1" applyAlignment="1">
      <alignment horizontal="center" vertical="center" wrapText="1"/>
    </xf>
    <xf numFmtId="49" fontId="18" fillId="0" borderId="1" xfId="11" applyNumberFormat="1" applyFont="1" applyBorder="1" applyAlignment="1">
      <alignment horizontal="left" vertical="center" wrapText="1"/>
    </xf>
    <xf numFmtId="165" fontId="18" fillId="0" borderId="1" xfId="8" applyNumberFormat="1" applyFont="1" applyBorder="1" applyAlignment="1">
      <alignment horizontal="center" vertical="center" wrapText="1"/>
    </xf>
    <xf numFmtId="165" fontId="18" fillId="0" borderId="1" xfId="8" applyNumberFormat="1" applyFont="1" applyFill="1" applyBorder="1" applyAlignment="1">
      <alignment horizontal="center" vertical="center" wrapText="1"/>
    </xf>
    <xf numFmtId="49" fontId="18" fillId="0" borderId="1" xfId="11" applyNumberFormat="1" applyFont="1" applyBorder="1" applyAlignment="1">
      <alignment horizontal="center" vertical="center" wrapText="1"/>
    </xf>
    <xf numFmtId="49" fontId="9" fillId="0" borderId="0" xfId="11" applyNumberFormat="1" applyFont="1" applyAlignment="1">
      <alignment horizontal="center" vertical="center"/>
    </xf>
    <xf numFmtId="49" fontId="20" fillId="0" borderId="0" xfId="11" applyNumberFormat="1" applyFont="1" applyAlignment="1">
      <alignment horizontal="center" vertical="center"/>
    </xf>
    <xf numFmtId="0" fontId="9" fillId="0" borderId="0" xfId="11" applyFont="1" applyAlignment="1">
      <alignment horizontal="center" vertical="center"/>
    </xf>
    <xf numFmtId="49" fontId="15" fillId="0" borderId="0" xfId="11" applyNumberFormat="1" applyFont="1" applyAlignment="1">
      <alignment horizontal="center" vertical="center"/>
    </xf>
    <xf numFmtId="49" fontId="21" fillId="0" borderId="0" xfId="11" applyNumberFormat="1" applyFont="1" applyAlignment="1">
      <alignment horizontal="center" vertical="center"/>
    </xf>
    <xf numFmtId="49" fontId="22" fillId="4" borderId="1" xfId="11" applyNumberFormat="1" applyFont="1" applyFill="1" applyBorder="1" applyAlignment="1">
      <alignment vertical="center" wrapText="1"/>
    </xf>
    <xf numFmtId="164" fontId="22" fillId="4" borderId="1" xfId="8" applyFont="1" applyFill="1" applyBorder="1" applyAlignment="1">
      <alignment vertical="center"/>
    </xf>
    <xf numFmtId="164" fontId="22" fillId="4" borderId="1" xfId="8" applyFont="1" applyFill="1" applyBorder="1" applyAlignment="1">
      <alignment horizontal="center" vertical="center" wrapText="1"/>
    </xf>
    <xf numFmtId="164" fontId="22" fillId="4" borderId="1" xfId="8" applyFont="1" applyFill="1" applyBorder="1" applyAlignment="1">
      <alignment horizontal="right" vertical="center"/>
    </xf>
    <xf numFmtId="164" fontId="22" fillId="4" borderId="1" xfId="8" applyFont="1" applyFill="1" applyBorder="1" applyAlignment="1" applyProtection="1">
      <alignment vertical="center"/>
    </xf>
    <xf numFmtId="49" fontId="22" fillId="4" borderId="1" xfId="11" applyNumberFormat="1" applyFont="1" applyFill="1" applyBorder="1" applyAlignment="1">
      <alignment horizontal="left" vertical="center" wrapText="1"/>
    </xf>
    <xf numFmtId="165" fontId="22" fillId="4" borderId="1" xfId="8" applyNumberFormat="1" applyFont="1" applyFill="1" applyBorder="1" applyAlignment="1">
      <alignment horizontal="center" vertical="center" wrapText="1"/>
    </xf>
    <xf numFmtId="49" fontId="22" fillId="4" borderId="1" xfId="11" applyNumberFormat="1" applyFont="1" applyFill="1" applyBorder="1" applyAlignment="1">
      <alignment horizontal="center" vertical="center" wrapText="1"/>
    </xf>
    <xf numFmtId="49" fontId="13" fillId="3" borderId="1" xfId="11" applyNumberFormat="1" applyFont="1" applyFill="1" applyBorder="1" applyAlignment="1">
      <alignment vertical="center" wrapText="1"/>
    </xf>
    <xf numFmtId="164" fontId="13" fillId="3" borderId="1" xfId="8" applyFont="1" applyFill="1" applyBorder="1" applyAlignment="1">
      <alignment vertical="center"/>
    </xf>
    <xf numFmtId="0" fontId="13" fillId="3" borderId="1" xfId="11" applyFont="1" applyFill="1" applyBorder="1" applyAlignment="1">
      <alignment horizontal="center" vertical="center" wrapText="1"/>
    </xf>
    <xf numFmtId="164" fontId="13" fillId="3" borderId="1" xfId="8" applyFont="1" applyFill="1" applyBorder="1" applyAlignment="1">
      <alignment horizontal="right" vertical="center"/>
    </xf>
    <xf numFmtId="39" fontId="13" fillId="0" borderId="1" xfId="8" applyNumberFormat="1" applyFont="1" applyFill="1" applyBorder="1" applyAlignment="1">
      <alignment horizontal="right" vertical="center"/>
    </xf>
    <xf numFmtId="9" fontId="13" fillId="0" borderId="1" xfId="11" applyNumberFormat="1" applyFont="1" applyBorder="1" applyAlignment="1">
      <alignment horizontal="center" vertical="center" wrapText="1"/>
    </xf>
    <xf numFmtId="167" fontId="13" fillId="0" borderId="1" xfId="8" applyNumberFormat="1" applyFont="1" applyFill="1" applyBorder="1" applyAlignment="1">
      <alignment horizontal="center" vertical="center" wrapText="1"/>
    </xf>
    <xf numFmtId="164" fontId="13" fillId="0" borderId="1" xfId="8" applyFont="1" applyFill="1" applyBorder="1" applyAlignment="1" applyProtection="1">
      <alignment horizontal="center" vertical="center"/>
    </xf>
    <xf numFmtId="164" fontId="13" fillId="0" borderId="1" xfId="8" applyFont="1" applyFill="1" applyBorder="1" applyAlignment="1">
      <alignment horizontal="center" vertical="center"/>
    </xf>
    <xf numFmtId="164" fontId="13" fillId="0" borderId="1" xfId="8" applyFont="1" applyFill="1" applyBorder="1" applyAlignment="1">
      <alignment horizontal="center" vertical="center" wrapText="1"/>
    </xf>
    <xf numFmtId="164" fontId="13" fillId="0" borderId="1" xfId="8" applyFont="1" applyFill="1" applyBorder="1" applyAlignment="1">
      <alignment horizontal="left" vertical="center" wrapText="1"/>
    </xf>
    <xf numFmtId="165" fontId="13" fillId="0" borderId="1" xfId="8" applyNumberFormat="1" applyFont="1" applyFill="1" applyBorder="1" applyAlignment="1">
      <alignment horizontal="center" vertical="center" wrapText="1"/>
    </xf>
    <xf numFmtId="49" fontId="13" fillId="0" borderId="1" xfId="11" applyNumberFormat="1" applyFont="1" applyBorder="1" applyAlignment="1">
      <alignment horizontal="center" vertical="center" wrapText="1"/>
    </xf>
    <xf numFmtId="49" fontId="13" fillId="0" borderId="1" xfId="11" applyNumberFormat="1" applyFont="1" applyBorder="1" applyAlignment="1">
      <alignment horizontal="left" vertical="center" wrapText="1"/>
    </xf>
    <xf numFmtId="164" fontId="11" fillId="0" borderId="1" xfId="8" applyFont="1" applyFill="1" applyBorder="1" applyAlignment="1">
      <alignment horizontal="left" vertical="center" wrapText="1"/>
    </xf>
    <xf numFmtId="164" fontId="23" fillId="3" borderId="1" xfId="8" applyFont="1" applyFill="1" applyBorder="1" applyAlignment="1">
      <alignment vertical="center"/>
    </xf>
    <xf numFmtId="0" fontId="23" fillId="3" borderId="1" xfId="11" applyFont="1" applyFill="1" applyBorder="1" applyAlignment="1">
      <alignment horizontal="center" vertical="center" wrapText="1"/>
    </xf>
    <xf numFmtId="164" fontId="23" fillId="3" borderId="1" xfId="8" applyFont="1" applyFill="1" applyBorder="1" applyAlignment="1">
      <alignment horizontal="right" vertical="center"/>
    </xf>
    <xf numFmtId="39" fontId="23" fillId="0" borderId="1" xfId="8" applyNumberFormat="1" applyFont="1" applyFill="1" applyBorder="1" applyAlignment="1">
      <alignment horizontal="right" vertical="center"/>
    </xf>
    <xf numFmtId="9" fontId="23" fillId="0" borderId="1" xfId="11" applyNumberFormat="1" applyFont="1" applyBorder="1" applyAlignment="1">
      <alignment horizontal="center" vertical="center" wrapText="1"/>
    </xf>
    <xf numFmtId="164" fontId="11" fillId="0" borderId="1" xfId="8" applyFont="1" applyFill="1" applyBorder="1" applyAlignment="1" applyProtection="1">
      <alignment vertical="center"/>
    </xf>
    <xf numFmtId="0" fontId="14" fillId="0" borderId="1" xfId="0" applyFont="1" applyBorder="1" applyAlignment="1">
      <alignment vertical="center"/>
    </xf>
    <xf numFmtId="165" fontId="11" fillId="3" borderId="1" xfId="8" applyNumberFormat="1" applyFont="1" applyFill="1" applyBorder="1" applyAlignment="1">
      <alignment horizontal="center" vertical="center" wrapText="1"/>
    </xf>
    <xf numFmtId="49" fontId="15" fillId="5" borderId="0" xfId="11" applyNumberFormat="1" applyFont="1" applyFill="1" applyAlignment="1">
      <alignment horizontal="center" vertical="center"/>
    </xf>
    <xf numFmtId="49" fontId="21" fillId="5" borderId="0" xfId="11" applyNumberFormat="1" applyFont="1" applyFill="1" applyAlignment="1">
      <alignment horizontal="center" vertical="center"/>
    </xf>
    <xf numFmtId="0" fontId="15" fillId="5" borderId="0" xfId="11" applyFont="1" applyFill="1" applyAlignment="1">
      <alignment horizontal="center"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0" fontId="11" fillId="5" borderId="1" xfId="11" applyFont="1" applyFill="1" applyBorder="1" applyAlignment="1">
      <alignment horizontal="center" vertical="center" wrapText="1"/>
    </xf>
    <xf numFmtId="164" fontId="11" fillId="5" borderId="1" xfId="8" applyFont="1" applyFill="1" applyBorder="1" applyAlignment="1">
      <alignment horizontal="right" vertical="center"/>
    </xf>
    <xf numFmtId="39" fontId="11" fillId="5" borderId="1" xfId="8" applyNumberFormat="1" applyFont="1" applyFill="1" applyBorder="1" applyAlignment="1">
      <alignment horizontal="right" vertical="center"/>
    </xf>
    <xf numFmtId="9" fontId="11" fillId="5" borderId="1" xfId="11" applyNumberFormat="1" applyFont="1" applyFill="1" applyBorder="1" applyAlignment="1">
      <alignment horizontal="center" vertical="center" wrapText="1"/>
    </xf>
    <xf numFmtId="167" fontId="11" fillId="5" borderId="1" xfId="8" applyNumberFormat="1" applyFont="1" applyFill="1" applyBorder="1" applyAlignment="1">
      <alignment horizontal="center" vertical="center" wrapText="1"/>
    </xf>
    <xf numFmtId="164" fontId="11" fillId="5" borderId="1" xfId="8" applyFont="1" applyFill="1" applyBorder="1" applyAlignment="1" applyProtection="1">
      <alignment vertical="center"/>
    </xf>
    <xf numFmtId="164" fontId="11" fillId="5" borderId="1" xfId="8" applyFont="1" applyFill="1" applyBorder="1" applyAlignment="1">
      <alignment horizontal="center" vertical="center"/>
    </xf>
    <xf numFmtId="164" fontId="11" fillId="5" borderId="1" xfId="8" applyFont="1" applyFill="1" applyBorder="1" applyAlignment="1">
      <alignment horizontal="center" vertical="center" wrapText="1"/>
    </xf>
    <xf numFmtId="0" fontId="14" fillId="5" borderId="1" xfId="0" applyFont="1" applyFill="1" applyBorder="1" applyAlignment="1">
      <alignment vertical="center"/>
    </xf>
    <xf numFmtId="165" fontId="11" fillId="5" borderId="1" xfId="8" applyNumberFormat="1" applyFont="1" applyFill="1" applyBorder="1" applyAlignment="1">
      <alignment horizontal="center" vertical="center" wrapText="1"/>
    </xf>
    <xf numFmtId="49" fontId="11" fillId="5" borderId="1" xfId="11" applyNumberFormat="1" applyFont="1" applyFill="1" applyBorder="1" applyAlignment="1">
      <alignment horizontal="center" vertical="center" wrapText="1"/>
    </xf>
    <xf numFmtId="49" fontId="11" fillId="5" borderId="1" xfId="11" applyNumberFormat="1" applyFont="1" applyFill="1" applyBorder="1" applyAlignment="1">
      <alignment horizontal="left" vertical="center" wrapText="1"/>
    </xf>
    <xf numFmtId="164" fontId="11" fillId="3" borderId="1" xfId="8" applyFont="1" applyFill="1" applyBorder="1" applyAlignment="1" applyProtection="1">
      <alignment vertical="center"/>
    </xf>
    <xf numFmtId="49" fontId="12" fillId="5" borderId="1" xfId="11" applyNumberFormat="1" applyFont="1" applyFill="1" applyBorder="1" applyAlignment="1">
      <alignment vertical="center" wrapText="1"/>
    </xf>
    <xf numFmtId="164" fontId="12" fillId="5" borderId="1" xfId="8" applyFont="1" applyFill="1" applyBorder="1" applyAlignment="1">
      <alignment vertical="center"/>
    </xf>
    <xf numFmtId="49" fontId="15" fillId="3" borderId="0" xfId="11" applyNumberFormat="1" applyFont="1" applyFill="1" applyAlignment="1">
      <alignment horizontal="center" vertical="center"/>
    </xf>
    <xf numFmtId="49" fontId="21" fillId="3" borderId="0" xfId="11" applyNumberFormat="1" applyFont="1" applyFill="1" applyAlignment="1">
      <alignment horizontal="center" vertical="center"/>
    </xf>
    <xf numFmtId="0" fontId="15" fillId="3" borderId="0" xfId="11" applyFont="1" applyFill="1" applyAlignment="1">
      <alignment horizontal="center" vertical="center"/>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164" fontId="12" fillId="3" borderId="1" xfId="8" applyFont="1" applyFill="1" applyBorder="1" applyAlignment="1">
      <alignment horizontal="center" vertical="center" wrapText="1"/>
    </xf>
    <xf numFmtId="164" fontId="12" fillId="3" borderId="1" xfId="8" applyFont="1" applyFill="1" applyBorder="1" applyAlignment="1">
      <alignment horizontal="right" vertical="center"/>
    </xf>
    <xf numFmtId="164" fontId="12" fillId="3" borderId="1" xfId="8" applyFont="1" applyFill="1" applyBorder="1" applyAlignment="1" applyProtection="1">
      <alignment vertical="center"/>
    </xf>
    <xf numFmtId="49" fontId="12" fillId="3" borderId="1" xfId="11" applyNumberFormat="1" applyFont="1" applyFill="1" applyBorder="1" applyAlignment="1">
      <alignment horizontal="left" vertical="center" wrapText="1"/>
    </xf>
    <xf numFmtId="165" fontId="12" fillId="3" borderId="1" xfId="8" applyNumberFormat="1" applyFont="1" applyFill="1" applyBorder="1" applyAlignment="1">
      <alignment horizontal="center" vertical="center" wrapText="1"/>
    </xf>
    <xf numFmtId="49" fontId="12" fillId="3" borderId="1" xfId="11" applyNumberFormat="1" applyFont="1" applyFill="1" applyBorder="1" applyAlignment="1">
      <alignment horizontal="center" vertical="center" wrapText="1"/>
    </xf>
    <xf numFmtId="49" fontId="12" fillId="4" borderId="1" xfId="11" applyNumberFormat="1" applyFont="1" applyFill="1" applyBorder="1" applyAlignment="1">
      <alignment vertical="center" wrapText="1"/>
    </xf>
    <xf numFmtId="164" fontId="12" fillId="4" borderId="1" xfId="8" applyFont="1" applyFill="1" applyBorder="1" applyAlignment="1">
      <alignment vertical="center"/>
    </xf>
    <xf numFmtId="164" fontId="12" fillId="4" borderId="1" xfId="8" applyFont="1" applyFill="1" applyBorder="1" applyAlignment="1">
      <alignment horizontal="center" vertical="center" wrapText="1"/>
    </xf>
    <xf numFmtId="164" fontId="12" fillId="4" borderId="1" xfId="8" applyFont="1" applyFill="1" applyBorder="1" applyAlignment="1">
      <alignment horizontal="right" vertical="center"/>
    </xf>
    <xf numFmtId="164" fontId="12" fillId="4" borderId="1" xfId="8" applyFont="1" applyFill="1" applyBorder="1" applyAlignment="1" applyProtection="1">
      <alignment vertical="center"/>
    </xf>
    <xf numFmtId="49" fontId="12" fillId="4" borderId="1" xfId="11" applyNumberFormat="1" applyFont="1" applyFill="1" applyBorder="1" applyAlignment="1">
      <alignment horizontal="left" vertical="center" wrapText="1"/>
    </xf>
    <xf numFmtId="165" fontId="12" fillId="4" borderId="1" xfId="8" applyNumberFormat="1" applyFont="1" applyFill="1" applyBorder="1" applyAlignment="1">
      <alignment horizontal="center" vertical="center" wrapText="1"/>
    </xf>
    <xf numFmtId="49" fontId="12" fillId="4" borderId="1" xfId="11" applyNumberFormat="1" applyFont="1" applyFill="1" applyBorder="1" applyAlignment="1">
      <alignment horizontal="center" vertical="center" wrapText="1"/>
    </xf>
    <xf numFmtId="49" fontId="25" fillId="3" borderId="0" xfId="11" applyNumberFormat="1" applyFont="1" applyFill="1" applyAlignment="1">
      <alignment horizontal="center" vertical="center"/>
    </xf>
    <xf numFmtId="49" fontId="26" fillId="3" borderId="0" xfId="11" applyNumberFormat="1" applyFont="1" applyFill="1" applyAlignment="1">
      <alignment horizontal="center" vertical="center"/>
    </xf>
    <xf numFmtId="0" fontId="25" fillId="3" borderId="0" xfId="11" applyFont="1" applyFill="1" applyAlignment="1">
      <alignment horizontal="center" vertical="center"/>
    </xf>
    <xf numFmtId="164" fontId="13" fillId="3" borderId="1" xfId="8" applyFont="1" applyFill="1" applyBorder="1" applyAlignment="1">
      <alignment horizontal="center" vertical="center" wrapText="1"/>
    </xf>
    <xf numFmtId="49" fontId="13" fillId="3" borderId="1" xfId="11" applyNumberFormat="1" applyFont="1" applyFill="1" applyBorder="1" applyAlignment="1">
      <alignment horizontal="left" vertical="center" wrapText="1"/>
    </xf>
    <xf numFmtId="168" fontId="13"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8" fontId="13" fillId="0" borderId="1" xfId="8" applyNumberFormat="1" applyFont="1" applyFill="1" applyBorder="1" applyAlignment="1">
      <alignment horizontal="center" vertical="center" wrapText="1"/>
    </xf>
    <xf numFmtId="49" fontId="25" fillId="0" borderId="0" xfId="11" applyNumberFormat="1" applyFont="1" applyAlignment="1">
      <alignment horizontal="center" vertical="center"/>
    </xf>
    <xf numFmtId="49" fontId="26" fillId="0" borderId="0" xfId="11" applyNumberFormat="1" applyFont="1" applyAlignment="1">
      <alignment horizontal="center" vertical="center"/>
    </xf>
    <xf numFmtId="0" fontId="25" fillId="0" borderId="0" xfId="11" applyFont="1" applyAlignment="1">
      <alignment horizontal="center" vertical="center"/>
    </xf>
    <xf numFmtId="49" fontId="12" fillId="2" borderId="1" xfId="11" applyNumberFormat="1" applyFont="1" applyFill="1" applyBorder="1" applyAlignment="1">
      <alignment vertical="center" wrapText="1"/>
    </xf>
    <xf numFmtId="164" fontId="12" fillId="2" borderId="1" xfId="8" applyFont="1" applyFill="1" applyBorder="1" applyAlignment="1">
      <alignment vertical="center"/>
    </xf>
    <xf numFmtId="164" fontId="12" fillId="2" borderId="1" xfId="8" applyFont="1" applyFill="1" applyBorder="1" applyAlignment="1">
      <alignment horizontal="center" vertical="center" wrapText="1"/>
    </xf>
    <xf numFmtId="164" fontId="12" fillId="2" borderId="1" xfId="8" applyFont="1" applyFill="1" applyBorder="1" applyAlignment="1">
      <alignment horizontal="right" vertical="center"/>
    </xf>
    <xf numFmtId="164" fontId="12" fillId="2" borderId="1" xfId="8" applyFont="1" applyFill="1" applyBorder="1" applyAlignment="1" applyProtection="1">
      <alignment vertical="center"/>
    </xf>
    <xf numFmtId="49" fontId="12" fillId="2" borderId="1" xfId="11" applyNumberFormat="1" applyFont="1" applyFill="1" applyBorder="1" applyAlignment="1">
      <alignment horizontal="left" vertical="center" wrapText="1"/>
    </xf>
    <xf numFmtId="165" fontId="12" fillId="2" borderId="1" xfId="8" applyNumberFormat="1" applyFont="1" applyFill="1" applyBorder="1" applyAlignment="1">
      <alignment horizontal="center" vertical="center" wrapText="1"/>
    </xf>
    <xf numFmtId="49" fontId="12" fillId="2" borderId="1" xfId="11" applyNumberFormat="1" applyFont="1" applyFill="1" applyBorder="1" applyAlignment="1">
      <alignment horizontal="center" vertical="center" wrapText="1"/>
    </xf>
    <xf numFmtId="49" fontId="15" fillId="0" borderId="19" xfId="11" applyNumberFormat="1" applyFont="1" applyBorder="1" applyAlignment="1">
      <alignment horizontal="center" vertical="center" wrapText="1"/>
    </xf>
    <xf numFmtId="164" fontId="13" fillId="0" borderId="20" xfId="8" applyFont="1" applyBorder="1" applyAlignment="1">
      <alignment horizontal="center" vertical="center" wrapText="1"/>
    </xf>
    <xf numFmtId="49" fontId="13" fillId="0" borderId="20" xfId="11" applyNumberFormat="1" applyFont="1" applyBorder="1" applyAlignment="1">
      <alignment horizontal="center" vertical="center" wrapText="1"/>
    </xf>
    <xf numFmtId="167" fontId="13" fillId="0" borderId="20" xfId="8" applyNumberFormat="1" applyFont="1" applyBorder="1" applyAlignment="1">
      <alignment horizontal="center" vertical="center" wrapText="1"/>
    </xf>
    <xf numFmtId="49" fontId="13" fillId="0" borderId="20" xfId="11" applyNumberFormat="1" applyFont="1" applyBorder="1" applyAlignment="1">
      <alignment horizontal="left" vertical="center" wrapText="1"/>
    </xf>
    <xf numFmtId="165" fontId="13" fillId="0" borderId="20" xfId="8" applyNumberFormat="1" applyFont="1" applyBorder="1" applyAlignment="1">
      <alignment horizontal="center" vertical="center" wrapText="1"/>
    </xf>
    <xf numFmtId="49" fontId="13" fillId="0" borderId="21" xfId="11" applyNumberFormat="1" applyFont="1" applyBorder="1" applyAlignment="1">
      <alignment horizontal="center" vertical="center" wrapText="1"/>
    </xf>
    <xf numFmtId="49" fontId="13" fillId="0" borderId="22" xfId="11" applyNumberFormat="1" applyFont="1" applyBorder="1" applyAlignment="1">
      <alignment horizontal="center" vertical="center" wrapText="1"/>
    </xf>
    <xf numFmtId="164" fontId="22" fillId="0" borderId="25" xfId="8" applyFont="1" applyBorder="1" applyAlignment="1">
      <alignment horizontal="center" vertical="center" wrapText="1"/>
    </xf>
    <xf numFmtId="166" fontId="22" fillId="0" borderId="25" xfId="1" applyNumberFormat="1" applyFont="1" applyBorder="1" applyAlignment="1">
      <alignment horizontal="center" vertical="center" wrapText="1"/>
    </xf>
    <xf numFmtId="167" fontId="22" fillId="0" borderId="24" xfId="8" applyNumberFormat="1" applyFont="1" applyBorder="1" applyAlignment="1">
      <alignment horizontal="center" vertical="center" wrapText="1"/>
    </xf>
    <xf numFmtId="0" fontId="22" fillId="0" borderId="24" xfId="11" applyFont="1" applyBorder="1" applyAlignment="1">
      <alignment horizontal="center" vertical="center" wrapText="1"/>
    </xf>
    <xf numFmtId="164" fontId="22" fillId="0" borderId="24" xfId="8" applyFont="1" applyBorder="1" applyAlignment="1">
      <alignment horizontal="center" vertical="center" wrapText="1"/>
    </xf>
    <xf numFmtId="43" fontId="15" fillId="0" borderId="0" xfId="11" applyNumberFormat="1" applyFont="1" applyAlignment="1">
      <alignment horizontal="left" vertical="center"/>
    </xf>
    <xf numFmtId="166" fontId="22" fillId="0" borderId="34" xfId="1" applyNumberFormat="1" applyFont="1" applyBorder="1" applyAlignment="1">
      <alignment horizontal="center" vertical="center" wrapText="1"/>
    </xf>
    <xf numFmtId="164" fontId="15" fillId="0" borderId="0" xfId="11" applyNumberFormat="1" applyFont="1" applyAlignment="1">
      <alignment horizontal="left" vertical="center"/>
    </xf>
    <xf numFmtId="0" fontId="25" fillId="0" borderId="4" xfId="11" applyFont="1" applyBorder="1" applyAlignment="1">
      <alignment horizontal="center" vertical="center"/>
    </xf>
    <xf numFmtId="164" fontId="22" fillId="0" borderId="40" xfId="8" applyFont="1" applyBorder="1" applyAlignment="1">
      <alignment vertical="center"/>
    </xf>
    <xf numFmtId="0" fontId="22" fillId="0" borderId="40" xfId="11" applyFont="1" applyBorder="1" applyAlignment="1">
      <alignment horizontal="center" vertical="center"/>
    </xf>
    <xf numFmtId="164" fontId="13" fillId="0" borderId="40" xfId="8" applyFont="1" applyBorder="1" applyAlignment="1">
      <alignment horizontal="center" vertical="center"/>
    </xf>
    <xf numFmtId="164" fontId="22" fillId="0" borderId="40" xfId="8" applyFont="1" applyBorder="1" applyAlignment="1">
      <alignment horizontal="left" vertical="center" indent="5"/>
    </xf>
    <xf numFmtId="167" fontId="22" fillId="0" borderId="40" xfId="8" applyNumberFormat="1" applyFont="1" applyBorder="1" applyAlignment="1">
      <alignment horizontal="center" vertical="center"/>
    </xf>
    <xf numFmtId="166" fontId="13" fillId="0" borderId="40" xfId="1" applyNumberFormat="1" applyFont="1" applyBorder="1" applyAlignment="1">
      <alignment vertical="center"/>
    </xf>
    <xf numFmtId="164" fontId="22" fillId="0" borderId="41" xfId="8" applyFont="1" applyBorder="1" applyAlignment="1">
      <alignment horizontal="left" vertical="center" indent="3"/>
    </xf>
    <xf numFmtId="164" fontId="22" fillId="0" borderId="40" xfId="8" applyFont="1" applyBorder="1" applyAlignment="1">
      <alignment horizontal="center" vertical="center"/>
    </xf>
    <xf numFmtId="0" fontId="22" fillId="0" borderId="40" xfId="11" applyFont="1" applyBorder="1" applyAlignment="1">
      <alignment horizontal="left" vertical="center"/>
    </xf>
    <xf numFmtId="165" fontId="22" fillId="0" borderId="40" xfId="8" applyNumberFormat="1" applyFont="1" applyBorder="1" applyAlignment="1">
      <alignment horizontal="center" vertical="center"/>
    </xf>
    <xf numFmtId="0" fontId="22" fillId="0" borderId="40" xfId="11" applyFont="1" applyBorder="1" applyAlignment="1">
      <alignment horizontal="left" vertical="center" indent="5"/>
    </xf>
    <xf numFmtId="0" fontId="22" fillId="0" borderId="5" xfId="11" applyFont="1" applyBorder="1" applyAlignment="1">
      <alignment horizontal="left" vertical="center" indent="5"/>
    </xf>
    <xf numFmtId="0" fontId="25" fillId="0" borderId="9" xfId="11" applyFont="1" applyBorder="1" applyAlignment="1">
      <alignment horizontal="center" vertical="center"/>
    </xf>
    <xf numFmtId="164" fontId="22" fillId="0" borderId="0" xfId="8" applyFont="1" applyBorder="1" applyAlignment="1">
      <alignment vertical="center"/>
    </xf>
    <xf numFmtId="0" fontId="22" fillId="0" borderId="0" xfId="11" applyFont="1" applyAlignment="1">
      <alignment horizontal="center" vertical="center"/>
    </xf>
    <xf numFmtId="164" fontId="13" fillId="0" borderId="0" xfId="8" applyFont="1" applyBorder="1" applyAlignment="1">
      <alignment horizontal="center" vertical="center"/>
    </xf>
    <xf numFmtId="164" fontId="22" fillId="0" borderId="0" xfId="8" applyFont="1" applyBorder="1" applyAlignment="1">
      <alignment horizontal="left" vertical="center" indent="5"/>
    </xf>
    <xf numFmtId="167" fontId="22" fillId="0" borderId="0" xfId="8" applyNumberFormat="1" applyFont="1" applyBorder="1" applyAlignment="1">
      <alignment horizontal="center" vertical="center"/>
    </xf>
    <xf numFmtId="166" fontId="13" fillId="0" borderId="0" xfId="1" applyNumberFormat="1" applyFont="1" applyBorder="1" applyAlignment="1">
      <alignment vertical="center"/>
    </xf>
    <xf numFmtId="164" fontId="22" fillId="0" borderId="13" xfId="8" applyFont="1" applyBorder="1" applyAlignment="1">
      <alignment horizontal="left" vertical="center" indent="3"/>
    </xf>
    <xf numFmtId="164" fontId="22" fillId="0" borderId="14" xfId="8" applyFont="1" applyBorder="1" applyAlignment="1">
      <alignment horizontal="center" vertical="center"/>
    </xf>
    <xf numFmtId="164" fontId="22" fillId="0" borderId="0" xfId="8" applyFont="1" applyBorder="1" applyAlignment="1">
      <alignment horizontal="center" vertical="center"/>
    </xf>
    <xf numFmtId="0" fontId="22" fillId="0" borderId="0" xfId="11" applyFont="1" applyAlignment="1">
      <alignment horizontal="left" vertical="center"/>
    </xf>
    <xf numFmtId="165" fontId="22" fillId="0" borderId="0" xfId="8" applyNumberFormat="1" applyFont="1" applyBorder="1" applyAlignment="1">
      <alignment horizontal="center" vertical="center"/>
    </xf>
    <xf numFmtId="0" fontId="22" fillId="0" borderId="0" xfId="11" applyFont="1" applyAlignment="1">
      <alignment horizontal="left" vertical="center" indent="5"/>
    </xf>
    <xf numFmtId="0" fontId="22" fillId="0" borderId="8" xfId="11" applyFont="1" applyBorder="1" applyAlignment="1">
      <alignment horizontal="left" vertical="center" indent="5"/>
    </xf>
    <xf numFmtId="0" fontId="24" fillId="0" borderId="0" xfId="11" applyFont="1" applyAlignment="1">
      <alignment horizontal="center"/>
    </xf>
    <xf numFmtId="164" fontId="22" fillId="0" borderId="0" xfId="8" applyFont="1" applyBorder="1" applyAlignment="1">
      <alignment horizontal="center"/>
    </xf>
    <xf numFmtId="164" fontId="22" fillId="0" borderId="0" xfId="8" applyFont="1" applyBorder="1" applyAlignment="1">
      <alignment horizontal="left" indent="1"/>
    </xf>
    <xf numFmtId="167" fontId="22" fillId="0" borderId="0" xfId="8" applyNumberFormat="1" applyFont="1" applyBorder="1" applyAlignment="1">
      <alignment horizontal="center"/>
    </xf>
    <xf numFmtId="0" fontId="22" fillId="0" borderId="0" xfId="11" applyFont="1"/>
    <xf numFmtId="164" fontId="22" fillId="0" borderId="13" xfId="8" applyFont="1" applyBorder="1" applyAlignment="1">
      <alignment horizontal="center"/>
    </xf>
    <xf numFmtId="0" fontId="27" fillId="0" borderId="0" xfId="11" applyFont="1" applyAlignment="1">
      <alignment horizontal="left" vertical="center"/>
    </xf>
    <xf numFmtId="0" fontId="25" fillId="0" borderId="3" xfId="11" applyFont="1" applyBorder="1" applyAlignment="1">
      <alignment horizontal="center" vertical="center"/>
    </xf>
    <xf numFmtId="164" fontId="22" fillId="0" borderId="37" xfId="8" applyFont="1" applyBorder="1" applyAlignment="1">
      <alignment vertical="center"/>
    </xf>
    <xf numFmtId="0" fontId="22" fillId="0" borderId="37" xfId="11" applyFont="1" applyBorder="1" applyAlignment="1">
      <alignment horizontal="center" vertical="center"/>
    </xf>
    <xf numFmtId="164" fontId="22" fillId="0" borderId="37" xfId="8" applyFont="1" applyBorder="1" applyAlignment="1">
      <alignment horizontal="center" vertical="center"/>
    </xf>
    <xf numFmtId="164" fontId="22" fillId="0" borderId="37" xfId="8" applyFont="1" applyBorder="1" applyAlignment="1">
      <alignment horizontal="left" indent="1"/>
    </xf>
    <xf numFmtId="166" fontId="13" fillId="0" borderId="37" xfId="1" applyNumberFormat="1" applyFont="1" applyBorder="1" applyAlignment="1">
      <alignment vertical="center"/>
    </xf>
    <xf numFmtId="167" fontId="22" fillId="0" borderId="37" xfId="8" applyNumberFormat="1" applyFont="1" applyBorder="1" applyAlignment="1">
      <alignment horizontal="center" vertical="center"/>
    </xf>
    <xf numFmtId="0" fontId="22" fillId="0" borderId="37" xfId="11" applyFont="1" applyBorder="1" applyAlignment="1">
      <alignment vertical="center"/>
    </xf>
    <xf numFmtId="164" fontId="22" fillId="0" borderId="36" xfId="8" applyFont="1" applyBorder="1" applyAlignment="1">
      <alignment horizontal="center"/>
    </xf>
    <xf numFmtId="0" fontId="22" fillId="0" borderId="37" xfId="11" applyFont="1" applyBorder="1" applyAlignment="1">
      <alignment horizontal="left" vertical="center"/>
    </xf>
    <xf numFmtId="165" fontId="22" fillId="0" borderId="37" xfId="8" applyNumberFormat="1" applyFont="1" applyBorder="1" applyAlignment="1">
      <alignment horizontal="center" vertical="center"/>
    </xf>
    <xf numFmtId="0" fontId="22" fillId="0" borderId="37" xfId="11" applyFont="1" applyBorder="1" applyAlignment="1">
      <alignment horizontal="left" vertical="center" indent="2"/>
    </xf>
    <xf numFmtId="0" fontId="22" fillId="0" borderId="2" xfId="11" applyFont="1" applyBorder="1" applyAlignment="1">
      <alignment horizontal="left" vertical="center" indent="2"/>
    </xf>
    <xf numFmtId="164" fontId="22" fillId="0" borderId="0" xfId="8" applyFont="1" applyAlignment="1">
      <alignment vertical="center"/>
    </xf>
    <xf numFmtId="164" fontId="22" fillId="0" borderId="0" xfId="8" applyFont="1" applyAlignment="1">
      <alignment horizontal="center" vertical="center"/>
    </xf>
    <xf numFmtId="167" fontId="22" fillId="0" borderId="0" xfId="8" applyNumberFormat="1" applyFont="1" applyAlignment="1">
      <alignment horizontal="center" vertical="center"/>
    </xf>
    <xf numFmtId="0" fontId="22" fillId="0" borderId="0" xfId="11" applyFont="1" applyAlignment="1">
      <alignment vertical="center"/>
    </xf>
    <xf numFmtId="165" fontId="22" fillId="0" borderId="0" xfId="8" applyNumberFormat="1" applyFont="1" applyAlignment="1">
      <alignment horizontal="center" vertical="center"/>
    </xf>
    <xf numFmtId="49" fontId="22" fillId="0" borderId="1" xfId="11" applyNumberFormat="1" applyFont="1" applyBorder="1" applyAlignment="1">
      <alignment horizontal="left" vertical="center" wrapText="1"/>
    </xf>
    <xf numFmtId="49" fontId="11" fillId="2" borderId="1" xfId="11" applyNumberFormat="1" applyFont="1" applyFill="1" applyBorder="1" applyAlignment="1">
      <alignment horizontal="left" vertical="center" wrapText="1"/>
    </xf>
    <xf numFmtId="49" fontId="11" fillId="2" borderId="1" xfId="11" applyNumberFormat="1" applyFont="1" applyFill="1" applyBorder="1" applyAlignment="1">
      <alignment horizontal="center" vertical="center" wrapText="1"/>
    </xf>
    <xf numFmtId="165" fontId="11" fillId="2" borderId="1" xfId="8" applyNumberFormat="1" applyFont="1" applyFill="1" applyBorder="1" applyAlignment="1">
      <alignment horizontal="center" vertical="center" wrapText="1"/>
    </xf>
    <xf numFmtId="164" fontId="11" fillId="2" borderId="1" xfId="8" applyFont="1" applyFill="1" applyBorder="1" applyAlignment="1">
      <alignment horizontal="center" vertical="center" wrapText="1"/>
    </xf>
    <xf numFmtId="164" fontId="11" fillId="2" borderId="1" xfId="8" applyFont="1" applyFill="1" applyBorder="1" applyAlignment="1" applyProtection="1">
      <alignment vertical="center"/>
    </xf>
    <xf numFmtId="164" fontId="11" fillId="2" borderId="1" xfId="8" applyFont="1" applyFill="1" applyBorder="1" applyAlignment="1">
      <alignment horizontal="right" vertical="center"/>
    </xf>
    <xf numFmtId="49" fontId="11" fillId="4" borderId="1" xfId="11" applyNumberFormat="1" applyFont="1" applyFill="1" applyBorder="1" applyAlignment="1">
      <alignment horizontal="left" vertical="center" wrapText="1"/>
    </xf>
    <xf numFmtId="49" fontId="11" fillId="4" borderId="1" xfId="11" applyNumberFormat="1" applyFont="1" applyFill="1" applyBorder="1" applyAlignment="1">
      <alignment horizontal="center" vertical="center" wrapText="1"/>
    </xf>
    <xf numFmtId="165" fontId="11" fillId="4" borderId="1" xfId="8" applyNumberFormat="1" applyFont="1" applyFill="1" applyBorder="1" applyAlignment="1">
      <alignment horizontal="center" vertical="center" wrapText="1"/>
    </xf>
    <xf numFmtId="164" fontId="11" fillId="4" borderId="1" xfId="8" applyFont="1" applyFill="1" applyBorder="1" applyAlignment="1">
      <alignment horizontal="center" vertical="center" wrapText="1"/>
    </xf>
    <xf numFmtId="164" fontId="11" fillId="4" borderId="1" xfId="8" applyFont="1" applyFill="1" applyBorder="1" applyAlignment="1" applyProtection="1">
      <alignment vertical="center"/>
    </xf>
    <xf numFmtId="164" fontId="11" fillId="4" borderId="1" xfId="8" applyFont="1" applyFill="1" applyBorder="1" applyAlignment="1">
      <alignment horizontal="right" vertical="center"/>
    </xf>
    <xf numFmtId="49" fontId="11" fillId="3" borderId="1" xfId="11" applyNumberFormat="1" applyFont="1" applyFill="1" applyBorder="1" applyAlignment="1">
      <alignment horizontal="center" vertical="center" wrapText="1"/>
    </xf>
    <xf numFmtId="164" fontId="11" fillId="3" borderId="1" xfId="8" applyFont="1" applyFill="1" applyBorder="1" applyAlignment="1" applyProtection="1">
      <alignment horizontal="center" vertical="center" wrapText="1"/>
      <protection locked="0"/>
    </xf>
    <xf numFmtId="165" fontId="29" fillId="6" borderId="1" xfId="0" applyNumberFormat="1" applyFont="1" applyFill="1" applyBorder="1" applyAlignment="1">
      <alignment horizontal="center" vertical="center" wrapText="1"/>
    </xf>
    <xf numFmtId="164" fontId="11" fillId="5" borderId="1" xfId="8" applyFont="1" applyFill="1" applyBorder="1" applyAlignment="1" applyProtection="1">
      <alignment horizontal="center" vertical="center" wrapText="1"/>
      <protection locked="0"/>
    </xf>
    <xf numFmtId="164" fontId="13" fillId="3" borderId="1" xfId="8" applyFont="1" applyFill="1" applyBorder="1" applyAlignment="1" applyProtection="1">
      <alignment horizontal="center" vertical="center" wrapText="1"/>
      <protection locked="0"/>
    </xf>
    <xf numFmtId="49" fontId="13" fillId="4" borderId="1" xfId="11" applyNumberFormat="1" applyFont="1" applyFill="1" applyBorder="1" applyAlignment="1">
      <alignment horizontal="left" vertical="center" wrapText="1"/>
    </xf>
    <xf numFmtId="49" fontId="13" fillId="4" borderId="1" xfId="11" applyNumberFormat="1" applyFont="1" applyFill="1" applyBorder="1" applyAlignment="1">
      <alignment horizontal="center" vertical="center" wrapText="1"/>
    </xf>
    <xf numFmtId="165" fontId="13" fillId="4" borderId="1" xfId="8" applyNumberFormat="1" applyFont="1" applyFill="1" applyBorder="1" applyAlignment="1">
      <alignment horizontal="center" vertical="center" wrapText="1"/>
    </xf>
    <xf numFmtId="164" fontId="13" fillId="4" borderId="1" xfId="8" applyFont="1" applyFill="1" applyBorder="1" applyAlignment="1">
      <alignment horizontal="center" vertical="center" wrapText="1"/>
    </xf>
    <xf numFmtId="164" fontId="13" fillId="4" borderId="1" xfId="8" applyFont="1" applyFill="1" applyBorder="1" applyAlignment="1" applyProtection="1">
      <alignment vertical="center"/>
    </xf>
    <xf numFmtId="164" fontId="13" fillId="4" borderId="1" xfId="8" applyFont="1" applyFill="1" applyBorder="1" applyAlignment="1">
      <alignment horizontal="right" vertical="center"/>
    </xf>
    <xf numFmtId="164" fontId="13" fillId="4" borderId="1" xfId="8" applyFont="1" applyFill="1" applyBorder="1" applyAlignment="1" applyProtection="1">
      <alignment horizontal="center" vertical="center" wrapText="1"/>
      <protection locked="0"/>
    </xf>
    <xf numFmtId="164" fontId="13" fillId="4" borderId="1" xfId="8" applyFont="1" applyFill="1" applyBorder="1" applyAlignment="1">
      <alignment vertical="center"/>
    </xf>
    <xf numFmtId="164" fontId="23" fillId="3" borderId="1" xfId="8" applyFont="1" applyFill="1" applyBorder="1" applyAlignment="1" applyProtection="1">
      <alignment horizontal="center" vertical="center" wrapText="1"/>
      <protection locked="0"/>
    </xf>
    <xf numFmtId="164" fontId="18" fillId="3" borderId="1" xfId="8" applyFont="1" applyFill="1" applyBorder="1" applyAlignment="1" applyProtection="1">
      <alignment horizontal="center" vertical="center" wrapText="1"/>
      <protection locked="0"/>
    </xf>
    <xf numFmtId="166" fontId="30" fillId="0" borderId="0" xfId="1" applyNumberFormat="1" applyFont="1" applyAlignment="1">
      <alignment vertical="center"/>
    </xf>
    <xf numFmtId="0" fontId="30" fillId="0" borderId="0" xfId="11" applyFont="1" applyAlignment="1">
      <alignment vertical="center"/>
    </xf>
    <xf numFmtId="3" fontId="15" fillId="0" borderId="0" xfId="11" applyNumberFormat="1" applyFont="1" applyAlignment="1">
      <alignment vertical="center"/>
    </xf>
    <xf numFmtId="3" fontId="30" fillId="0" borderId="0" xfId="11" applyNumberFormat="1" applyFont="1" applyAlignment="1">
      <alignment vertical="center"/>
    </xf>
    <xf numFmtId="0" fontId="30" fillId="0" borderId="0" xfId="11" applyFont="1" applyAlignment="1">
      <alignment horizontal="left" vertical="center" indent="1"/>
    </xf>
    <xf numFmtId="3" fontId="30" fillId="0" borderId="0" xfId="11" applyNumberFormat="1" applyFont="1" applyAlignment="1">
      <alignment horizontal="left" vertical="center" indent="1"/>
    </xf>
    <xf numFmtId="164" fontId="31" fillId="0" borderId="42" xfId="8" applyFont="1" applyFill="1" applyBorder="1" applyProtection="1"/>
    <xf numFmtId="164" fontId="30" fillId="0" borderId="0" xfId="1" applyFont="1" applyAlignment="1">
      <alignment vertical="center"/>
    </xf>
    <xf numFmtId="3" fontId="15" fillId="0" borderId="0" xfId="1" applyNumberFormat="1" applyFont="1" applyAlignment="1">
      <alignment vertical="center"/>
    </xf>
    <xf numFmtId="3" fontId="30" fillId="0" borderId="0" xfId="1" applyNumberFormat="1" applyFont="1" applyAlignment="1">
      <alignment vertical="center"/>
    </xf>
    <xf numFmtId="166" fontId="25" fillId="0" borderId="0" xfId="1" applyNumberFormat="1" applyFont="1" applyAlignment="1">
      <alignment vertical="center"/>
    </xf>
    <xf numFmtId="166" fontId="25" fillId="0" borderId="0" xfId="1" applyNumberFormat="1" applyFont="1" applyAlignment="1">
      <alignment horizontal="left" vertical="center" wrapText="1"/>
    </xf>
    <xf numFmtId="166" fontId="32" fillId="0" borderId="0" xfId="1" applyNumberFormat="1" applyFont="1" applyAlignment="1">
      <alignment horizontal="left" vertical="center" wrapText="1"/>
    </xf>
    <xf numFmtId="49" fontId="13" fillId="0" borderId="0" xfId="11" applyNumberFormat="1" applyFont="1" applyAlignment="1">
      <alignment vertical="center" wrapText="1"/>
    </xf>
    <xf numFmtId="4" fontId="13" fillId="0" borderId="0" xfId="8" applyNumberFormat="1" applyFont="1" applyBorder="1" applyAlignment="1">
      <alignment horizontal="center" vertical="center" wrapText="1"/>
    </xf>
    <xf numFmtId="0" fontId="33" fillId="0" borderId="0" xfId="11" applyFont="1" applyAlignment="1">
      <alignment horizontal="center" vertical="center" wrapText="1"/>
    </xf>
    <xf numFmtId="164" fontId="33" fillId="0" borderId="0" xfId="8" applyFont="1" applyBorder="1" applyAlignment="1">
      <alignment horizontal="center" vertical="center"/>
    </xf>
    <xf numFmtId="166" fontId="33" fillId="0" borderId="0" xfId="8" applyNumberFormat="1" applyFont="1" applyBorder="1" applyAlignment="1">
      <alignment vertical="center"/>
    </xf>
    <xf numFmtId="2" fontId="33" fillId="0" borderId="0" xfId="11" applyNumberFormat="1" applyFont="1" applyAlignment="1">
      <alignment horizontal="center" vertical="center" wrapText="1"/>
    </xf>
    <xf numFmtId="2" fontId="13" fillId="0" borderId="0" xfId="8" applyNumberFormat="1" applyFont="1" applyBorder="1" applyAlignment="1">
      <alignment horizontal="center" wrapText="1"/>
    </xf>
    <xf numFmtId="3" fontId="13" fillId="0" borderId="0" xfId="8" applyNumberFormat="1" applyFont="1" applyBorder="1" applyAlignment="1">
      <alignment vertical="center"/>
    </xf>
    <xf numFmtId="3" fontId="33" fillId="0" borderId="0" xfId="8" applyNumberFormat="1" applyFont="1" applyBorder="1" applyAlignment="1">
      <alignment vertical="center"/>
    </xf>
    <xf numFmtId="3" fontId="33" fillId="0" borderId="0" xfId="11" applyNumberFormat="1" applyFont="1" applyAlignment="1">
      <alignment horizontal="center" vertical="center" wrapText="1"/>
    </xf>
    <xf numFmtId="49" fontId="33" fillId="0" borderId="0" xfId="11" applyNumberFormat="1" applyFont="1" applyAlignment="1">
      <alignment horizontal="left" vertical="center" wrapText="1"/>
    </xf>
    <xf numFmtId="49" fontId="22" fillId="0" borderId="0" xfId="11" applyNumberFormat="1" applyFont="1" applyAlignment="1">
      <alignment horizontal="left" vertical="center" wrapText="1"/>
    </xf>
    <xf numFmtId="166" fontId="22" fillId="0" borderId="0" xfId="1" applyNumberFormat="1" applyFont="1" applyBorder="1" applyAlignment="1">
      <alignment vertical="center"/>
    </xf>
    <xf numFmtId="166" fontId="33" fillId="0" borderId="0" xfId="1" applyNumberFormat="1" applyFont="1" applyAlignment="1">
      <alignment vertical="center"/>
    </xf>
    <xf numFmtId="0" fontId="33" fillId="0" borderId="0" xfId="11" applyFont="1" applyAlignment="1">
      <alignment vertical="center"/>
    </xf>
    <xf numFmtId="0" fontId="13" fillId="0" borderId="0" xfId="11" applyFont="1" applyAlignment="1">
      <alignment vertical="center"/>
    </xf>
    <xf numFmtId="0" fontId="1" fillId="0" borderId="0" xfId="0" applyFont="1"/>
    <xf numFmtId="166" fontId="34" fillId="0" borderId="0" xfId="1" applyNumberFormat="1" applyFont="1" applyAlignment="1">
      <alignment vertical="center"/>
    </xf>
    <xf numFmtId="3" fontId="1" fillId="0" borderId="0" xfId="0" applyNumberFormat="1" applyFont="1"/>
    <xf numFmtId="0" fontId="33" fillId="0" borderId="0" xfId="11" applyFont="1" applyAlignment="1">
      <alignment horizontal="left" vertical="center" indent="1"/>
    </xf>
    <xf numFmtId="4" fontId="22" fillId="0" borderId="0" xfId="8" applyNumberFormat="1" applyFont="1" applyFill="1" applyBorder="1" applyAlignment="1">
      <alignment horizontal="center" vertical="center"/>
    </xf>
    <xf numFmtId="0" fontId="35" fillId="0" borderId="0" xfId="11" applyFont="1" applyAlignment="1">
      <alignment horizontal="center" vertical="center"/>
    </xf>
    <xf numFmtId="164" fontId="35" fillId="0" borderId="0" xfId="8" applyFont="1" applyFill="1" applyBorder="1" applyAlignment="1">
      <alignment horizontal="center" vertical="center"/>
    </xf>
    <xf numFmtId="164" fontId="35" fillId="0" borderId="0" xfId="1" applyFont="1" applyFill="1" applyBorder="1" applyAlignment="1">
      <alignment horizontal="center" vertical="center"/>
    </xf>
    <xf numFmtId="3" fontId="22" fillId="0" borderId="0" xfId="11" applyNumberFormat="1" applyFont="1" applyAlignment="1">
      <alignment horizontal="center" vertical="center"/>
    </xf>
    <xf numFmtId="3" fontId="35" fillId="0" borderId="0" xfId="11" applyNumberFormat="1" applyFont="1" applyAlignment="1">
      <alignment horizontal="center" vertical="center"/>
    </xf>
    <xf numFmtId="49" fontId="36" fillId="0" borderId="0" xfId="11" applyNumberFormat="1" applyFont="1" applyAlignment="1">
      <alignment vertical="center"/>
    </xf>
    <xf numFmtId="49" fontId="37" fillId="0" borderId="0" xfId="11" applyNumberFormat="1" applyFont="1" applyAlignment="1">
      <alignment vertical="center"/>
    </xf>
    <xf numFmtId="4" fontId="13" fillId="0" borderId="0" xfId="8" applyNumberFormat="1" applyFont="1" applyFill="1" applyBorder="1" applyAlignment="1">
      <alignment horizontal="center" vertical="center" wrapText="1"/>
    </xf>
    <xf numFmtId="164" fontId="33" fillId="0" borderId="0" xfId="8" applyFont="1" applyFill="1" applyBorder="1" applyAlignment="1">
      <alignment horizontal="center" vertical="center"/>
    </xf>
    <xf numFmtId="166" fontId="33" fillId="0" borderId="0" xfId="8" applyNumberFormat="1" applyFont="1" applyFill="1" applyBorder="1" applyAlignment="1">
      <alignment vertical="center"/>
    </xf>
    <xf numFmtId="2" fontId="13" fillId="0" borderId="0" xfId="8" applyNumberFormat="1" applyFont="1" applyFill="1" applyBorder="1" applyAlignment="1">
      <alignment horizontal="center" wrapText="1"/>
    </xf>
    <xf numFmtId="3" fontId="13" fillId="0" borderId="0" xfId="8" applyNumberFormat="1" applyFont="1" applyFill="1" applyBorder="1" applyAlignment="1">
      <alignment vertical="center"/>
    </xf>
    <xf numFmtId="3" fontId="33" fillId="0" borderId="0" xfId="8" applyNumberFormat="1" applyFont="1" applyFill="1" applyBorder="1" applyAlignment="1">
      <alignment vertical="center"/>
    </xf>
    <xf numFmtId="49" fontId="13" fillId="0" borderId="37" xfId="11" applyNumberFormat="1" applyFont="1" applyBorder="1" applyAlignment="1">
      <alignment vertical="center" wrapText="1"/>
    </xf>
    <xf numFmtId="4" fontId="13" fillId="0" borderId="37" xfId="8" applyNumberFormat="1" applyFont="1" applyFill="1" applyBorder="1" applyAlignment="1">
      <alignment horizontal="center" vertical="center" wrapText="1"/>
    </xf>
    <xf numFmtId="0" fontId="33" fillId="0" borderId="37" xfId="11" applyFont="1" applyBorder="1" applyAlignment="1">
      <alignment horizontal="center" vertical="center" wrapText="1"/>
    </xf>
    <xf numFmtId="164" fontId="33" fillId="0" borderId="37" xfId="8" applyFont="1" applyFill="1" applyBorder="1" applyAlignment="1">
      <alignment horizontal="center" vertical="center"/>
    </xf>
    <xf numFmtId="166" fontId="33" fillId="0" borderId="37" xfId="8" applyNumberFormat="1" applyFont="1" applyFill="1" applyBorder="1" applyAlignment="1">
      <alignment vertical="center"/>
    </xf>
    <xf numFmtId="2" fontId="33" fillId="0" borderId="37" xfId="11" applyNumberFormat="1" applyFont="1" applyBorder="1" applyAlignment="1">
      <alignment horizontal="center" vertical="center" wrapText="1"/>
    </xf>
    <xf numFmtId="2" fontId="13" fillId="0" borderId="37" xfId="8" applyNumberFormat="1" applyFont="1" applyFill="1" applyBorder="1" applyAlignment="1">
      <alignment horizontal="center" wrapText="1"/>
    </xf>
    <xf numFmtId="3" fontId="13" fillId="0" borderId="37" xfId="8" applyNumberFormat="1" applyFont="1" applyFill="1" applyBorder="1" applyAlignment="1">
      <alignment vertical="center"/>
    </xf>
    <xf numFmtId="3" fontId="33" fillId="0" borderId="37" xfId="8" applyNumberFormat="1" applyFont="1" applyFill="1" applyBorder="1" applyAlignment="1">
      <alignment vertical="center"/>
    </xf>
    <xf numFmtId="3" fontId="33" fillId="0" borderId="37" xfId="11" applyNumberFormat="1" applyFont="1" applyBorder="1" applyAlignment="1">
      <alignment horizontal="center" vertical="center" wrapText="1"/>
    </xf>
    <xf numFmtId="49" fontId="33" fillId="0" borderId="37" xfId="11" applyNumberFormat="1" applyFont="1" applyBorder="1" applyAlignment="1">
      <alignment horizontal="left" vertical="center" wrapText="1"/>
    </xf>
    <xf numFmtId="49" fontId="36" fillId="0" borderId="37" xfId="11" applyNumberFormat="1" applyFont="1" applyBorder="1" applyAlignment="1">
      <alignment vertical="center"/>
    </xf>
    <xf numFmtId="49" fontId="13" fillId="0" borderId="0" xfId="11" applyNumberFormat="1" applyFont="1" applyAlignment="1">
      <alignment horizontal="left" vertical="center"/>
    </xf>
    <xf numFmtId="49" fontId="21" fillId="0" borderId="0" xfId="11" applyNumberFormat="1" applyFont="1" applyAlignment="1">
      <alignment vertical="center"/>
    </xf>
    <xf numFmtId="3" fontId="35" fillId="0" borderId="0" xfId="11" applyNumberFormat="1" applyFont="1" applyAlignment="1" applyProtection="1">
      <alignment horizontal="center" vertical="center" wrapText="1"/>
      <protection locked="0"/>
    </xf>
    <xf numFmtId="9" fontId="33" fillId="0" borderId="0" xfId="11" applyNumberFormat="1" applyFont="1" applyAlignment="1">
      <alignment horizontal="center" vertical="center" wrapText="1"/>
    </xf>
    <xf numFmtId="2" fontId="21" fillId="0" borderId="0" xfId="8" applyNumberFormat="1" applyFont="1" applyFill="1" applyBorder="1" applyAlignment="1">
      <alignment horizontal="center" vertical="center" wrapText="1"/>
    </xf>
    <xf numFmtId="169" fontId="35" fillId="0" borderId="0" xfId="11" applyNumberFormat="1" applyFont="1" applyAlignment="1">
      <alignment horizontal="center" vertical="center" wrapText="1"/>
    </xf>
    <xf numFmtId="49" fontId="21" fillId="3" borderId="11" xfId="11" applyNumberFormat="1" applyFont="1" applyFill="1" applyBorder="1" applyAlignment="1">
      <alignment vertical="center"/>
    </xf>
    <xf numFmtId="3" fontId="35" fillId="0" borderId="11" xfId="11" applyNumberFormat="1" applyFont="1" applyBorder="1" applyAlignment="1" applyProtection="1">
      <alignment horizontal="center" vertical="center" wrapText="1"/>
      <protection locked="0"/>
    </xf>
    <xf numFmtId="0" fontId="33" fillId="0" borderId="11" xfId="11" applyFont="1" applyBorder="1" applyAlignment="1">
      <alignment horizontal="center" vertical="center" wrapText="1"/>
    </xf>
    <xf numFmtId="9" fontId="33" fillId="0" borderId="11" xfId="11" applyNumberFormat="1" applyFont="1" applyBorder="1" applyAlignment="1">
      <alignment horizontal="center" vertical="center" wrapText="1"/>
    </xf>
    <xf numFmtId="2" fontId="33" fillId="0" borderId="11" xfId="11" applyNumberFormat="1" applyFont="1" applyBorder="1" applyAlignment="1">
      <alignment horizontal="center" vertical="center" wrapText="1"/>
    </xf>
    <xf numFmtId="2" fontId="21" fillId="0" borderId="11" xfId="8" applyNumberFormat="1" applyFont="1" applyBorder="1" applyAlignment="1">
      <alignment horizontal="center" vertical="center" wrapText="1"/>
    </xf>
    <xf numFmtId="169" fontId="35" fillId="0" borderId="11" xfId="11" applyNumberFormat="1" applyFont="1" applyBorder="1" applyAlignment="1">
      <alignment horizontal="center" vertical="center" wrapText="1"/>
    </xf>
    <xf numFmtId="49" fontId="22" fillId="0" borderId="11" xfId="11" applyNumberFormat="1" applyFont="1" applyBorder="1" applyAlignment="1">
      <alignment horizontal="left" vertical="center" wrapText="1"/>
    </xf>
    <xf numFmtId="49" fontId="21" fillId="0" borderId="10" xfId="11" applyNumberFormat="1" applyFont="1" applyBorder="1" applyAlignment="1">
      <alignment vertical="center"/>
    </xf>
    <xf numFmtId="3" fontId="33" fillId="8" borderId="10" xfId="8" applyNumberFormat="1" applyFont="1" applyFill="1" applyBorder="1" applyAlignment="1">
      <alignment horizontal="right" vertical="center"/>
    </xf>
    <xf numFmtId="164" fontId="33" fillId="8" borderId="10" xfId="11" applyNumberFormat="1" applyFont="1" applyFill="1" applyBorder="1" applyAlignment="1">
      <alignment horizontal="center" vertical="center" wrapText="1"/>
    </xf>
    <xf numFmtId="4" fontId="33" fillId="0" borderId="10" xfId="8" applyNumberFormat="1" applyFont="1" applyFill="1" applyBorder="1" applyAlignment="1">
      <alignment horizontal="right" vertical="center"/>
    </xf>
    <xf numFmtId="39" fontId="33" fillId="0" borderId="10" xfId="8" applyNumberFormat="1" applyFont="1" applyFill="1" applyBorder="1" applyAlignment="1">
      <alignment horizontal="right" vertical="center"/>
    </xf>
    <xf numFmtId="9" fontId="33" fillId="0" borderId="10" xfId="11" applyNumberFormat="1" applyFont="1" applyBorder="1" applyAlignment="1">
      <alignment horizontal="center" vertical="center" wrapText="1"/>
    </xf>
    <xf numFmtId="2" fontId="33" fillId="0" borderId="10" xfId="11" applyNumberFormat="1" applyFont="1" applyBorder="1" applyAlignment="1">
      <alignment horizontal="center" vertical="center" wrapText="1"/>
    </xf>
    <xf numFmtId="164" fontId="15" fillId="0" borderId="10" xfId="8" applyFont="1" applyFill="1" applyBorder="1" applyProtection="1"/>
    <xf numFmtId="3" fontId="33" fillId="0" borderId="10" xfId="8" applyNumberFormat="1" applyFont="1" applyFill="1" applyBorder="1" applyAlignment="1">
      <alignment horizontal="center" vertical="center"/>
    </xf>
    <xf numFmtId="3" fontId="33" fillId="0" borderId="10" xfId="11" applyNumberFormat="1" applyFont="1" applyBorder="1" applyAlignment="1">
      <alignment horizontal="center" vertical="center" wrapText="1"/>
    </xf>
    <xf numFmtId="49" fontId="33" fillId="0" borderId="10" xfId="11" applyNumberFormat="1" applyFont="1" applyBorder="1" applyAlignment="1">
      <alignment horizontal="left" vertical="center" wrapText="1"/>
    </xf>
    <xf numFmtId="3" fontId="33" fillId="0" borderId="10" xfId="11" applyNumberFormat="1" applyFont="1" applyBorder="1" applyAlignment="1" applyProtection="1">
      <alignment horizontal="center" vertical="center" wrapText="1"/>
      <protection locked="0"/>
    </xf>
    <xf numFmtId="49" fontId="13" fillId="0" borderId="10" xfId="11" applyNumberFormat="1" applyFont="1" applyBorder="1" applyAlignment="1">
      <alignment horizontal="left" vertical="center" wrapText="1"/>
    </xf>
    <xf numFmtId="49" fontId="21" fillId="3" borderId="10" xfId="11" applyNumberFormat="1" applyFont="1" applyFill="1" applyBorder="1" applyAlignment="1">
      <alignment vertical="center"/>
    </xf>
    <xf numFmtId="4" fontId="33" fillId="0" borderId="10" xfId="8" applyNumberFormat="1" applyFont="1" applyBorder="1" applyAlignment="1">
      <alignment horizontal="right" vertical="center"/>
    </xf>
    <xf numFmtId="39" fontId="33" fillId="0" borderId="10" xfId="8" applyNumberFormat="1" applyFont="1" applyBorder="1" applyAlignment="1">
      <alignment horizontal="right" vertical="center"/>
    </xf>
    <xf numFmtId="3" fontId="33" fillId="0" borderId="10" xfId="8" applyNumberFormat="1" applyFont="1" applyBorder="1" applyAlignment="1">
      <alignment horizontal="center" vertical="center"/>
    </xf>
    <xf numFmtId="49" fontId="15" fillId="8" borderId="0" xfId="11" applyNumberFormat="1" applyFont="1" applyFill="1" applyAlignment="1">
      <alignment horizontal="center" vertical="center"/>
    </xf>
    <xf numFmtId="49" fontId="13" fillId="8" borderId="0" xfId="11" applyNumberFormat="1" applyFont="1" applyFill="1" applyAlignment="1">
      <alignment horizontal="left" vertical="center"/>
    </xf>
    <xf numFmtId="49" fontId="21" fillId="8" borderId="10" xfId="11" applyNumberFormat="1" applyFont="1" applyFill="1" applyBorder="1" applyAlignment="1">
      <alignment vertical="center"/>
    </xf>
    <xf numFmtId="4" fontId="33" fillId="8" borderId="10" xfId="8" applyNumberFormat="1" applyFont="1" applyFill="1" applyBorder="1" applyAlignment="1">
      <alignment horizontal="right" vertical="center"/>
    </xf>
    <xf numFmtId="39" fontId="33" fillId="8" borderId="10" xfId="8" applyNumberFormat="1" applyFont="1" applyFill="1" applyBorder="1" applyAlignment="1">
      <alignment horizontal="right" vertical="center"/>
    </xf>
    <xf numFmtId="9" fontId="33" fillId="8" borderId="10" xfId="11" applyNumberFormat="1" applyFont="1" applyFill="1" applyBorder="1" applyAlignment="1">
      <alignment horizontal="center" vertical="center" wrapText="1"/>
    </xf>
    <xf numFmtId="2" fontId="33" fillId="8" borderId="10" xfId="11" applyNumberFormat="1" applyFont="1" applyFill="1" applyBorder="1" applyAlignment="1">
      <alignment horizontal="center" vertical="center" wrapText="1"/>
    </xf>
    <xf numFmtId="164" fontId="15" fillId="8" borderId="10" xfId="8" applyFont="1" applyFill="1" applyBorder="1" applyProtection="1"/>
    <xf numFmtId="3" fontId="33" fillId="8" borderId="10" xfId="8" applyNumberFormat="1" applyFont="1" applyFill="1" applyBorder="1" applyAlignment="1">
      <alignment horizontal="center" vertical="center"/>
    </xf>
    <xf numFmtId="3" fontId="33" fillId="8" borderId="10" xfId="11" applyNumberFormat="1" applyFont="1" applyFill="1" applyBorder="1" applyAlignment="1">
      <alignment horizontal="center" vertical="center" wrapText="1"/>
    </xf>
    <xf numFmtId="49" fontId="33" fillId="8" borderId="10" xfId="11" applyNumberFormat="1" applyFont="1" applyFill="1" applyBorder="1" applyAlignment="1">
      <alignment horizontal="left" vertical="center" wrapText="1"/>
    </xf>
    <xf numFmtId="3" fontId="33" fillId="8" borderId="10" xfId="11" applyNumberFormat="1" applyFont="1" applyFill="1" applyBorder="1" applyAlignment="1" applyProtection="1">
      <alignment horizontal="center" vertical="center" wrapText="1"/>
      <protection locked="0"/>
    </xf>
    <xf numFmtId="49" fontId="13" fillId="8" borderId="10" xfId="11" applyNumberFormat="1" applyFont="1" applyFill="1" applyBorder="1" applyAlignment="1">
      <alignment horizontal="left" vertical="center" wrapText="1"/>
    </xf>
    <xf numFmtId="4" fontId="21" fillId="8" borderId="10" xfId="8" applyNumberFormat="1" applyFont="1" applyFill="1" applyBorder="1" applyAlignment="1">
      <alignment horizontal="right" vertical="center"/>
    </xf>
    <xf numFmtId="0" fontId="33" fillId="8" borderId="10" xfId="11" applyFont="1" applyFill="1" applyBorder="1" applyAlignment="1">
      <alignment horizontal="center" vertical="center" wrapText="1"/>
    </xf>
    <xf numFmtId="2" fontId="21" fillId="8" borderId="10" xfId="8" applyNumberFormat="1" applyFont="1" applyFill="1" applyBorder="1" applyAlignment="1">
      <alignment horizontal="center" vertical="center" wrapText="1"/>
    </xf>
    <xf numFmtId="3" fontId="21" fillId="8" borderId="10" xfId="8" applyNumberFormat="1" applyFont="1" applyFill="1" applyBorder="1" applyAlignment="1">
      <alignment horizontal="center" vertical="center"/>
    </xf>
    <xf numFmtId="49" fontId="22" fillId="8" borderId="10" xfId="11" applyNumberFormat="1" applyFont="1" applyFill="1" applyBorder="1" applyAlignment="1">
      <alignment horizontal="left" vertical="center"/>
    </xf>
    <xf numFmtId="49" fontId="21" fillId="9" borderId="10" xfId="11" applyNumberFormat="1" applyFont="1" applyFill="1" applyBorder="1" applyAlignment="1">
      <alignment vertical="center"/>
    </xf>
    <xf numFmtId="4" fontId="21" fillId="9" borderId="10" xfId="8" applyNumberFormat="1" applyFont="1" applyFill="1" applyBorder="1" applyAlignment="1">
      <alignment horizontal="right" vertical="center"/>
    </xf>
    <xf numFmtId="0" fontId="33" fillId="9" borderId="10" xfId="11" applyFont="1" applyFill="1" applyBorder="1" applyAlignment="1">
      <alignment horizontal="center" vertical="center" wrapText="1"/>
    </xf>
    <xf numFmtId="4" fontId="33" fillId="9" borderId="10" xfId="8" applyNumberFormat="1" applyFont="1" applyFill="1" applyBorder="1" applyAlignment="1">
      <alignment horizontal="right" vertical="center"/>
    </xf>
    <xf numFmtId="39" fontId="33" fillId="9" borderId="10" xfId="8" applyNumberFormat="1" applyFont="1" applyFill="1" applyBorder="1" applyAlignment="1">
      <alignment horizontal="right" vertical="center"/>
    </xf>
    <xf numFmtId="9" fontId="33" fillId="9" borderId="10" xfId="11" applyNumberFormat="1" applyFont="1" applyFill="1" applyBorder="1" applyAlignment="1">
      <alignment horizontal="center" vertical="center" wrapText="1"/>
    </xf>
    <xf numFmtId="2" fontId="33" fillId="9" borderId="10" xfId="11" applyNumberFormat="1" applyFont="1" applyFill="1" applyBorder="1" applyAlignment="1">
      <alignment horizontal="center" vertical="center" wrapText="1"/>
    </xf>
    <xf numFmtId="2" fontId="21" fillId="9" borderId="10" xfId="8" applyNumberFormat="1" applyFont="1" applyFill="1" applyBorder="1" applyAlignment="1">
      <alignment horizontal="center" vertical="center" wrapText="1"/>
    </xf>
    <xf numFmtId="3" fontId="21" fillId="9" borderId="10" xfId="8" applyNumberFormat="1" applyFont="1" applyFill="1" applyBorder="1" applyAlignment="1">
      <alignment horizontal="center" vertical="center"/>
    </xf>
    <xf numFmtId="3" fontId="33" fillId="9" borderId="10" xfId="8" applyNumberFormat="1" applyFont="1" applyFill="1" applyBorder="1" applyAlignment="1">
      <alignment horizontal="center" vertical="center"/>
    </xf>
    <xf numFmtId="3" fontId="33" fillId="9" borderId="10" xfId="11" applyNumberFormat="1" applyFont="1" applyFill="1" applyBorder="1" applyAlignment="1">
      <alignment horizontal="center" vertical="center" wrapText="1"/>
    </xf>
    <xf numFmtId="49" fontId="33" fillId="9" borderId="10" xfId="11" applyNumberFormat="1" applyFont="1" applyFill="1" applyBorder="1" applyAlignment="1">
      <alignment horizontal="left" vertical="center" wrapText="1"/>
    </xf>
    <xf numFmtId="3" fontId="33" fillId="9" borderId="10" xfId="11" applyNumberFormat="1" applyFont="1" applyFill="1" applyBorder="1" applyAlignment="1" applyProtection="1">
      <alignment horizontal="center" vertical="center" wrapText="1"/>
      <protection locked="0"/>
    </xf>
    <xf numFmtId="49" fontId="22" fillId="9" borderId="10" xfId="11" applyNumberFormat="1" applyFont="1" applyFill="1" applyBorder="1" applyAlignment="1">
      <alignment horizontal="left" vertical="center"/>
    </xf>
    <xf numFmtId="4" fontId="21" fillId="0" borderId="10" xfId="8" applyNumberFormat="1" applyFont="1" applyBorder="1" applyAlignment="1">
      <alignment horizontal="right" vertical="center"/>
    </xf>
    <xf numFmtId="0" fontId="33" fillId="0" borderId="10" xfId="11" applyFont="1" applyBorder="1" applyAlignment="1">
      <alignment horizontal="center" vertical="center" wrapText="1"/>
    </xf>
    <xf numFmtId="2" fontId="21" fillId="0" borderId="10" xfId="8" applyNumberFormat="1" applyFont="1" applyBorder="1" applyAlignment="1">
      <alignment horizontal="center" vertical="center" wrapText="1"/>
    </xf>
    <xf numFmtId="3" fontId="21" fillId="0" borderId="10" xfId="8" applyNumberFormat="1" applyFont="1" applyBorder="1" applyAlignment="1">
      <alignment horizontal="center" vertical="center"/>
    </xf>
    <xf numFmtId="49" fontId="22" fillId="0" borderId="10" xfId="11" applyNumberFormat="1" applyFont="1" applyBorder="1" applyAlignment="1">
      <alignment horizontal="left" vertical="center" wrapText="1"/>
    </xf>
    <xf numFmtId="3" fontId="35" fillId="0" borderId="10" xfId="8" applyNumberFormat="1" applyFont="1" applyBorder="1" applyAlignment="1" applyProtection="1">
      <alignment horizontal="right" vertical="center" wrapText="1"/>
      <protection locked="0"/>
    </xf>
    <xf numFmtId="3" fontId="35" fillId="0" borderId="10" xfId="8" applyNumberFormat="1" applyFont="1" applyBorder="1" applyAlignment="1" applyProtection="1">
      <alignment horizontal="center" vertical="center" wrapText="1"/>
      <protection locked="0"/>
    </xf>
    <xf numFmtId="166" fontId="35" fillId="0" borderId="10" xfId="8" applyNumberFormat="1" applyFont="1" applyBorder="1" applyAlignment="1" applyProtection="1">
      <alignment horizontal="center" vertical="center" wrapText="1"/>
      <protection locked="0"/>
    </xf>
    <xf numFmtId="0" fontId="33" fillId="0" borderId="10" xfId="11" applyFont="1" applyBorder="1" applyAlignment="1">
      <alignment horizontal="right" vertical="center" wrapText="1"/>
    </xf>
    <xf numFmtId="3" fontId="33" fillId="0" borderId="10" xfId="8" applyNumberFormat="1" applyFont="1" applyBorder="1" applyAlignment="1">
      <alignment horizontal="right" vertical="center"/>
    </xf>
    <xf numFmtId="164" fontId="33" fillId="0" borderId="10" xfId="11" applyNumberFormat="1" applyFont="1" applyBorder="1" applyAlignment="1">
      <alignment horizontal="center" vertical="center" wrapText="1"/>
    </xf>
    <xf numFmtId="3" fontId="33" fillId="0" borderId="10" xfId="8" applyNumberFormat="1" applyFont="1" applyFill="1" applyBorder="1" applyAlignment="1">
      <alignment horizontal="right" vertical="center"/>
    </xf>
    <xf numFmtId="49" fontId="22" fillId="9" borderId="10" xfId="11" applyNumberFormat="1" applyFont="1" applyFill="1" applyBorder="1" applyAlignment="1">
      <alignment horizontal="left" vertical="center" wrapText="1"/>
    </xf>
    <xf numFmtId="4" fontId="26" fillId="0" borderId="10" xfId="8" applyNumberFormat="1" applyFont="1" applyFill="1" applyBorder="1" applyAlignment="1">
      <alignment horizontal="right" vertical="center"/>
    </xf>
    <xf numFmtId="0" fontId="35" fillId="0" borderId="10" xfId="11" applyFont="1" applyBorder="1" applyAlignment="1">
      <alignment horizontal="center" vertical="center" wrapText="1"/>
    </xf>
    <xf numFmtId="4" fontId="35" fillId="0" borderId="10" xfId="8" applyNumberFormat="1" applyFont="1" applyFill="1" applyBorder="1" applyAlignment="1">
      <alignment horizontal="right" vertical="center"/>
    </xf>
    <xf numFmtId="39" fontId="35" fillId="0" borderId="10" xfId="8" applyNumberFormat="1" applyFont="1" applyFill="1" applyBorder="1" applyAlignment="1">
      <alignment horizontal="right" vertical="center"/>
    </xf>
    <xf numFmtId="9" fontId="35" fillId="0" borderId="10" xfId="11" applyNumberFormat="1" applyFont="1" applyBorder="1" applyAlignment="1">
      <alignment horizontal="center" vertical="center" wrapText="1"/>
    </xf>
    <xf numFmtId="2" fontId="35" fillId="0" borderId="10" xfId="11" applyNumberFormat="1" applyFont="1" applyBorder="1" applyAlignment="1">
      <alignment horizontal="center" vertical="center" wrapText="1"/>
    </xf>
    <xf numFmtId="2" fontId="26" fillId="0" borderId="10" xfId="8" applyNumberFormat="1" applyFont="1" applyFill="1" applyBorder="1" applyAlignment="1">
      <alignment horizontal="center" vertical="center" wrapText="1"/>
    </xf>
    <xf numFmtId="3" fontId="26" fillId="0" borderId="10" xfId="8" applyNumberFormat="1" applyFont="1" applyFill="1" applyBorder="1" applyAlignment="1">
      <alignment horizontal="center" vertical="center"/>
    </xf>
    <xf numFmtId="3" fontId="35" fillId="0" borderId="10" xfId="8" applyNumberFormat="1" applyFont="1" applyFill="1" applyBorder="1" applyAlignment="1">
      <alignment horizontal="center" vertical="center"/>
    </xf>
    <xf numFmtId="3" fontId="35" fillId="0" borderId="10" xfId="11" applyNumberFormat="1" applyFont="1" applyBorder="1" applyAlignment="1">
      <alignment horizontal="center" vertical="center" wrapText="1"/>
    </xf>
    <xf numFmtId="49" fontId="35" fillId="0" borderId="10" xfId="11" applyNumberFormat="1" applyFont="1" applyBorder="1" applyAlignment="1">
      <alignment horizontal="left" vertical="center" wrapText="1"/>
    </xf>
    <xf numFmtId="3" fontId="35" fillId="0" borderId="10" xfId="11" applyNumberFormat="1" applyFont="1" applyBorder="1" applyAlignment="1" applyProtection="1">
      <alignment horizontal="center" vertical="center" wrapText="1"/>
      <protection locked="0"/>
    </xf>
    <xf numFmtId="4" fontId="26" fillId="9" borderId="10" xfId="8" applyNumberFormat="1" applyFont="1" applyFill="1" applyBorder="1" applyAlignment="1">
      <alignment horizontal="right" vertical="center"/>
    </xf>
    <xf numFmtId="0" fontId="35" fillId="9" borderId="10" xfId="11" applyFont="1" applyFill="1" applyBorder="1" applyAlignment="1">
      <alignment horizontal="center" vertical="center" wrapText="1"/>
    </xf>
    <xf numFmtId="4" fontId="35" fillId="9" borderId="10" xfId="8" applyNumberFormat="1" applyFont="1" applyFill="1" applyBorder="1" applyAlignment="1">
      <alignment horizontal="right" vertical="center"/>
    </xf>
    <xf numFmtId="39" fontId="35" fillId="9" borderId="10" xfId="8" applyNumberFormat="1" applyFont="1" applyFill="1" applyBorder="1" applyAlignment="1">
      <alignment horizontal="right" vertical="center"/>
    </xf>
    <xf numFmtId="9" fontId="35" fillId="9" borderId="10" xfId="11" applyNumberFormat="1" applyFont="1" applyFill="1" applyBorder="1" applyAlignment="1">
      <alignment horizontal="center" vertical="center" wrapText="1"/>
    </xf>
    <xf numFmtId="2" fontId="35" fillId="9" borderId="10" xfId="11" applyNumberFormat="1" applyFont="1" applyFill="1" applyBorder="1" applyAlignment="1">
      <alignment horizontal="center" vertical="center" wrapText="1"/>
    </xf>
    <xf numFmtId="2" fontId="26" fillId="9" borderId="10" xfId="8" applyNumberFormat="1" applyFont="1" applyFill="1" applyBorder="1" applyAlignment="1">
      <alignment horizontal="center" vertical="center" wrapText="1"/>
    </xf>
    <xf numFmtId="3" fontId="26" fillId="9" borderId="10" xfId="8" applyNumberFormat="1" applyFont="1" applyFill="1" applyBorder="1" applyAlignment="1">
      <alignment horizontal="center" vertical="center"/>
    </xf>
    <xf numFmtId="3" fontId="35" fillId="9" borderId="10" xfId="8" applyNumberFormat="1" applyFont="1" applyFill="1" applyBorder="1" applyAlignment="1">
      <alignment horizontal="center" vertical="center"/>
    </xf>
    <xf numFmtId="3" fontId="35" fillId="9" borderId="10" xfId="11" applyNumberFormat="1" applyFont="1" applyFill="1" applyBorder="1" applyAlignment="1">
      <alignment horizontal="center" vertical="center" wrapText="1"/>
    </xf>
    <xf numFmtId="49" fontId="35" fillId="9" borderId="10" xfId="11" applyNumberFormat="1" applyFont="1" applyFill="1" applyBorder="1" applyAlignment="1">
      <alignment horizontal="left" vertical="center" wrapText="1"/>
    </xf>
    <xf numFmtId="3" fontId="35" fillId="9" borderId="10" xfId="11" applyNumberFormat="1" applyFont="1" applyFill="1" applyBorder="1" applyAlignment="1" applyProtection="1">
      <alignment horizontal="center" vertical="center" wrapText="1"/>
      <protection locked="0"/>
    </xf>
    <xf numFmtId="49" fontId="13" fillId="0" borderId="10" xfId="11" applyNumberFormat="1" applyFont="1" applyBorder="1" applyAlignment="1">
      <alignment vertical="center"/>
    </xf>
    <xf numFmtId="49" fontId="38" fillId="0" borderId="10" xfId="11" applyNumberFormat="1" applyFont="1" applyBorder="1" applyAlignment="1">
      <alignment vertical="center"/>
    </xf>
    <xf numFmtId="49" fontId="21" fillId="9" borderId="10" xfId="11" applyNumberFormat="1" applyFont="1" applyFill="1" applyBorder="1" applyAlignment="1">
      <alignment vertical="center" wrapText="1"/>
    </xf>
    <xf numFmtId="4" fontId="26" fillId="9" borderId="10" xfId="11" applyNumberFormat="1" applyFont="1" applyFill="1" applyBorder="1" applyAlignment="1">
      <alignment horizontal="right" vertical="center" wrapText="1"/>
    </xf>
    <xf numFmtId="0" fontId="35" fillId="9" borderId="10" xfId="8" applyNumberFormat="1" applyFont="1" applyFill="1" applyBorder="1" applyAlignment="1">
      <alignment horizontal="center" wrapText="1"/>
    </xf>
    <xf numFmtId="2" fontId="35" fillId="9" borderId="10" xfId="8" applyNumberFormat="1" applyFont="1" applyFill="1" applyBorder="1" applyAlignment="1">
      <alignment horizontal="center" vertical="center" wrapText="1"/>
    </xf>
    <xf numFmtId="164" fontId="35" fillId="9" borderId="10" xfId="8" applyFont="1" applyFill="1" applyBorder="1" applyAlignment="1">
      <alignment horizontal="right" vertical="center" wrapText="1"/>
    </xf>
    <xf numFmtId="0" fontId="26" fillId="9" borderId="10" xfId="11" applyFont="1" applyFill="1" applyBorder="1" applyAlignment="1">
      <alignment horizontal="center" vertical="center" wrapText="1"/>
    </xf>
    <xf numFmtId="3" fontId="26" fillId="9" borderId="10" xfId="11" applyNumberFormat="1" applyFont="1" applyFill="1" applyBorder="1" applyAlignment="1">
      <alignment horizontal="center" vertical="center" wrapText="1"/>
    </xf>
    <xf numFmtId="49" fontId="39" fillId="10" borderId="43" xfId="11" applyNumberFormat="1" applyFont="1" applyFill="1" applyBorder="1" applyAlignment="1">
      <alignment vertical="center"/>
    </xf>
    <xf numFmtId="3" fontId="35" fillId="10" borderId="43" xfId="11" applyNumberFormat="1" applyFont="1" applyFill="1" applyBorder="1" applyAlignment="1">
      <alignment horizontal="right" vertical="center" wrapText="1"/>
    </xf>
    <xf numFmtId="49" fontId="35" fillId="10" borderId="43" xfId="11" applyNumberFormat="1" applyFont="1" applyFill="1" applyBorder="1" applyAlignment="1">
      <alignment horizontal="right" vertical="center" wrapText="1"/>
    </xf>
    <xf numFmtId="49" fontId="33"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right" vertical="center" wrapText="1"/>
    </xf>
    <xf numFmtId="49" fontId="22" fillId="10" borderId="43" xfId="11" applyNumberFormat="1" applyFont="1" applyFill="1" applyBorder="1" applyAlignment="1">
      <alignment horizontal="left" vertical="center" wrapText="1"/>
    </xf>
    <xf numFmtId="49" fontId="21" fillId="0" borderId="0" xfId="11" applyNumberFormat="1" applyFont="1" applyAlignment="1">
      <alignment horizontal="left" vertical="center"/>
    </xf>
    <xf numFmtId="49" fontId="15" fillId="0" borderId="38" xfId="11" applyNumberFormat="1" applyFont="1" applyBorder="1" applyAlignment="1">
      <alignment horizontal="center" vertical="center" wrapText="1"/>
    </xf>
    <xf numFmtId="49" fontId="13" fillId="0" borderId="38" xfId="11" applyNumberFormat="1" applyFont="1" applyBorder="1" applyAlignment="1">
      <alignment horizontal="center" vertical="center" wrapText="1"/>
    </xf>
    <xf numFmtId="49" fontId="33" fillId="0" borderId="38" xfId="11" applyNumberFormat="1" applyFont="1" applyBorder="1" applyAlignment="1">
      <alignment horizontal="center" vertical="center" wrapText="1"/>
    </xf>
    <xf numFmtId="3" fontId="13" fillId="0" borderId="38" xfId="11" applyNumberFormat="1" applyFont="1" applyBorder="1" applyAlignment="1">
      <alignment horizontal="center" vertical="center" wrapText="1"/>
    </xf>
    <xf numFmtId="3" fontId="33" fillId="0" borderId="38" xfId="11" applyNumberFormat="1" applyFont="1" applyBorder="1" applyAlignment="1">
      <alignment horizontal="center" vertical="center" wrapText="1"/>
    </xf>
    <xf numFmtId="166" fontId="35" fillId="0" borderId="25" xfId="1" applyNumberFormat="1" applyFont="1" applyBorder="1" applyAlignment="1">
      <alignment horizontal="center" wrapText="1"/>
    </xf>
    <xf numFmtId="166" fontId="35" fillId="0" borderId="25" xfId="1" applyNumberFormat="1" applyFont="1" applyBorder="1" applyAlignment="1">
      <alignment horizontal="center" vertical="center" wrapText="1"/>
    </xf>
    <xf numFmtId="0" fontId="35" fillId="0" borderId="24" xfId="11" applyFont="1" applyBorder="1" applyAlignment="1">
      <alignment horizontal="center" vertical="center" wrapText="1"/>
    </xf>
    <xf numFmtId="3" fontId="22" fillId="0" borderId="24" xfId="11" applyNumberFormat="1" applyFont="1" applyBorder="1" applyAlignment="1">
      <alignment horizontal="center" vertical="center" wrapText="1"/>
    </xf>
    <xf numFmtId="3" fontId="35" fillId="0" borderId="24" xfId="11" applyNumberFormat="1" applyFont="1" applyBorder="1" applyAlignment="1">
      <alignment horizontal="center" vertical="center" wrapText="1"/>
    </xf>
    <xf numFmtId="166" fontId="33" fillId="0" borderId="0" xfId="1" applyNumberFormat="1" applyFont="1" applyBorder="1" applyAlignment="1">
      <alignment vertical="center"/>
    </xf>
    <xf numFmtId="0" fontId="35" fillId="0" borderId="13" xfId="11" applyFont="1" applyBorder="1" applyAlignment="1">
      <alignment horizontal="left" vertical="center" indent="5"/>
    </xf>
    <xf numFmtId="0" fontId="35" fillId="0" borderId="14" xfId="11" applyFont="1" applyBorder="1" applyAlignment="1">
      <alignment horizontal="center" vertical="center"/>
    </xf>
    <xf numFmtId="2" fontId="35" fillId="0" borderId="0" xfId="11" applyNumberFormat="1" applyFont="1" applyAlignment="1">
      <alignment horizontal="center" vertical="center"/>
    </xf>
    <xf numFmtId="0" fontId="35" fillId="0" borderId="0" xfId="11" applyFont="1" applyAlignment="1">
      <alignment horizontal="left" indent="3"/>
    </xf>
    <xf numFmtId="0" fontId="35" fillId="0" borderId="13" xfId="11" applyFont="1" applyBorder="1" applyAlignment="1">
      <alignment horizontal="left" indent="1"/>
    </xf>
    <xf numFmtId="0" fontId="35" fillId="0" borderId="37" xfId="11" applyFont="1" applyBorder="1" applyAlignment="1">
      <alignment horizontal="center" vertical="center"/>
    </xf>
    <xf numFmtId="0" fontId="35" fillId="0" borderId="36" xfId="11" applyFont="1" applyBorder="1" applyAlignment="1">
      <alignment horizontal="left" indent="1"/>
    </xf>
    <xf numFmtId="166" fontId="33" fillId="0" borderId="21" xfId="1" applyNumberFormat="1" applyFont="1" applyBorder="1" applyAlignment="1">
      <alignment vertical="center"/>
    </xf>
    <xf numFmtId="3" fontId="22" fillId="0" borderId="37" xfId="11" applyNumberFormat="1" applyFont="1" applyBorder="1" applyAlignment="1">
      <alignment horizontal="center" vertical="center"/>
    </xf>
    <xf numFmtId="3" fontId="35" fillId="0" borderId="37" xfId="11" applyNumberFormat="1" applyFont="1" applyBorder="1" applyAlignment="1">
      <alignment horizontal="center" vertical="center"/>
    </xf>
    <xf numFmtId="49" fontId="22" fillId="11" borderId="10" xfId="11" applyNumberFormat="1" applyFont="1" applyFill="1" applyBorder="1" applyAlignment="1">
      <alignment horizontal="left" vertical="center" wrapText="1"/>
    </xf>
    <xf numFmtId="3" fontId="33" fillId="11" borderId="10" xfId="11" applyNumberFormat="1" applyFont="1" applyFill="1" applyBorder="1" applyAlignment="1" applyProtection="1">
      <alignment horizontal="center" vertical="center" wrapText="1"/>
      <protection locked="0"/>
    </xf>
    <xf numFmtId="3" fontId="33" fillId="11" borderId="10" xfId="11" applyNumberFormat="1" applyFont="1" applyFill="1" applyBorder="1" applyAlignment="1">
      <alignment horizontal="center" vertical="center" wrapText="1"/>
    </xf>
    <xf numFmtId="49" fontId="33" fillId="11" borderId="10" xfId="11" applyNumberFormat="1" applyFont="1" applyFill="1" applyBorder="1" applyAlignment="1">
      <alignment horizontal="left" vertical="center" wrapText="1"/>
    </xf>
    <xf numFmtId="3" fontId="33" fillId="11" borderId="10" xfId="8" applyNumberFormat="1" applyFont="1" applyFill="1" applyBorder="1" applyAlignment="1">
      <alignment horizontal="center" vertical="center"/>
    </xf>
    <xf numFmtId="3" fontId="21" fillId="11" borderId="10" xfId="8" applyNumberFormat="1" applyFont="1" applyFill="1" applyBorder="1" applyAlignment="1">
      <alignment horizontal="center" vertical="center"/>
    </xf>
    <xf numFmtId="2" fontId="21" fillId="11" borderId="10" xfId="8" applyNumberFormat="1" applyFont="1" applyFill="1" applyBorder="1" applyAlignment="1">
      <alignment horizontal="center" vertical="center" wrapText="1"/>
    </xf>
    <xf numFmtId="2" fontId="33" fillId="11" borderId="10" xfId="11" applyNumberFormat="1" applyFont="1" applyFill="1" applyBorder="1" applyAlignment="1">
      <alignment horizontal="center" vertical="center" wrapText="1"/>
    </xf>
    <xf numFmtId="9" fontId="33" fillId="11" borderId="10" xfId="11" applyNumberFormat="1" applyFont="1" applyFill="1" applyBorder="1" applyAlignment="1">
      <alignment horizontal="center" vertical="center" wrapText="1"/>
    </xf>
    <xf numFmtId="39" fontId="33" fillId="11" borderId="10" xfId="8" applyNumberFormat="1" applyFont="1" applyFill="1" applyBorder="1" applyAlignment="1">
      <alignment horizontal="right" vertical="center"/>
    </xf>
    <xf numFmtId="4" fontId="33" fillId="11" borderId="10" xfId="8" applyNumberFormat="1" applyFont="1" applyFill="1" applyBorder="1" applyAlignment="1">
      <alignment horizontal="right" vertical="center"/>
    </xf>
    <xf numFmtId="0" fontId="33" fillId="11" borderId="10" xfId="11" applyFont="1" applyFill="1" applyBorder="1" applyAlignment="1">
      <alignment horizontal="center" vertical="center" wrapText="1"/>
    </xf>
    <xf numFmtId="4" fontId="21" fillId="11" borderId="10" xfId="8" applyNumberFormat="1" applyFont="1" applyFill="1" applyBorder="1" applyAlignment="1">
      <alignment horizontal="right" vertical="center"/>
    </xf>
    <xf numFmtId="49" fontId="21" fillId="11" borderId="10" xfId="11" applyNumberFormat="1" applyFont="1" applyFill="1" applyBorder="1" applyAlignment="1">
      <alignment vertical="center"/>
    </xf>
    <xf numFmtId="49" fontId="15" fillId="11" borderId="0" xfId="11" applyNumberFormat="1" applyFont="1" applyFill="1" applyAlignment="1">
      <alignment horizontal="center" vertical="center"/>
    </xf>
    <xf numFmtId="49" fontId="13" fillId="11" borderId="0" xfId="11" applyNumberFormat="1" applyFont="1" applyFill="1" applyAlignment="1">
      <alignment horizontal="left" vertical="center"/>
    </xf>
    <xf numFmtId="49" fontId="13" fillId="11" borderId="10" xfId="11" applyNumberFormat="1" applyFont="1" applyFill="1" applyBorder="1" applyAlignment="1">
      <alignment horizontal="left" vertical="center" wrapText="1"/>
    </xf>
    <xf numFmtId="164" fontId="15" fillId="11" borderId="10" xfId="8" applyFont="1" applyFill="1" applyBorder="1" applyProtection="1"/>
    <xf numFmtId="164" fontId="33" fillId="11" borderId="10" xfId="11" applyNumberFormat="1" applyFont="1" applyFill="1" applyBorder="1" applyAlignment="1">
      <alignment horizontal="center" vertical="center" wrapText="1"/>
    </xf>
    <xf numFmtId="3" fontId="33" fillId="11" borderId="10" xfId="8" applyNumberFormat="1" applyFont="1" applyFill="1" applyBorder="1" applyAlignment="1">
      <alignment horizontal="right" vertical="center"/>
    </xf>
    <xf numFmtId="166" fontId="30" fillId="0" borderId="0" xfId="8" applyNumberFormat="1" applyFont="1" applyFill="1" applyAlignment="1">
      <alignment horizontal="left" vertical="center"/>
    </xf>
    <xf numFmtId="166" fontId="30"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0" fontId="43" fillId="0" borderId="0" xfId="11" applyFont="1" applyAlignment="1">
      <alignment vertical="center"/>
    </xf>
    <xf numFmtId="166" fontId="43" fillId="0" borderId="0" xfId="8" applyNumberFormat="1" applyFont="1" applyFill="1" applyAlignment="1">
      <alignment horizontal="left" vertical="center"/>
    </xf>
    <xf numFmtId="166" fontId="43" fillId="0" borderId="0" xfId="8" applyNumberFormat="1" applyFont="1" applyFill="1" applyAlignment="1">
      <alignment horizontal="left" vertical="center" indent="1"/>
    </xf>
    <xf numFmtId="49" fontId="30" fillId="0" borderId="0" xfId="11" applyNumberFormat="1" applyFont="1" applyAlignment="1">
      <alignment horizontal="center" vertical="center"/>
    </xf>
    <xf numFmtId="49" fontId="33" fillId="0" borderId="0" xfId="11" applyNumberFormat="1" applyFont="1" applyAlignment="1">
      <alignment horizontal="left" vertical="center"/>
    </xf>
    <xf numFmtId="166" fontId="33" fillId="0" borderId="10" xfId="8" applyNumberFormat="1" applyFont="1" applyFill="1" applyBorder="1" applyAlignment="1">
      <alignment horizontal="left" vertical="center" wrapText="1"/>
    </xf>
    <xf numFmtId="166" fontId="33" fillId="0" borderId="10" xfId="8" applyNumberFormat="1" applyFont="1" applyFill="1" applyBorder="1" applyAlignment="1">
      <alignment horizontal="left" vertical="center"/>
    </xf>
    <xf numFmtId="9" fontId="33" fillId="0" borderId="10" xfId="10" applyFont="1" applyFill="1" applyBorder="1" applyAlignment="1">
      <alignment horizontal="center" vertical="center" wrapText="1"/>
    </xf>
    <xf numFmtId="164" fontId="33" fillId="0" borderId="10" xfId="8" applyFont="1" applyFill="1" applyBorder="1" applyAlignment="1">
      <alignment horizontal="left" vertical="center" wrapText="1"/>
    </xf>
    <xf numFmtId="164" fontId="30" fillId="0" borderId="10" xfId="8" applyFont="1" applyFill="1" applyBorder="1" applyAlignment="1" applyProtection="1">
      <alignment horizontal="left" vertical="center"/>
    </xf>
    <xf numFmtId="166" fontId="33" fillId="0" borderId="10" xfId="8" applyNumberFormat="1" applyFont="1" applyFill="1" applyBorder="1" applyAlignment="1" applyProtection="1">
      <alignment horizontal="left" vertical="center" wrapText="1"/>
      <protection locked="0"/>
    </xf>
    <xf numFmtId="166" fontId="32" fillId="0" borderId="0" xfId="8" applyNumberFormat="1" applyFont="1" applyFill="1" applyAlignment="1">
      <alignment horizontal="center" vertical="center"/>
    </xf>
    <xf numFmtId="166" fontId="35" fillId="0" borderId="0" xfId="8" applyNumberFormat="1" applyFont="1" applyFill="1" applyAlignment="1">
      <alignment horizontal="left" vertical="center"/>
    </xf>
    <xf numFmtId="166" fontId="35" fillId="0" borderId="10" xfId="8" applyNumberFormat="1" applyFont="1" applyFill="1" applyBorder="1" applyAlignment="1">
      <alignment horizontal="left" vertical="center"/>
    </xf>
    <xf numFmtId="166" fontId="35" fillId="0" borderId="10" xfId="8" applyNumberFormat="1" applyFont="1" applyFill="1" applyBorder="1" applyAlignment="1" applyProtection="1">
      <alignment horizontal="left" vertical="center" wrapText="1"/>
      <protection locked="0"/>
    </xf>
    <xf numFmtId="166" fontId="35" fillId="0" borderId="10" xfId="8" applyNumberFormat="1" applyFont="1" applyFill="1" applyBorder="1" applyAlignment="1">
      <alignment horizontal="left" vertical="center" wrapText="1"/>
    </xf>
    <xf numFmtId="9" fontId="35" fillId="0" borderId="10" xfId="10" applyFont="1" applyFill="1" applyBorder="1" applyAlignment="1">
      <alignment horizontal="center" vertical="center" wrapText="1"/>
    </xf>
    <xf numFmtId="164" fontId="35" fillId="0" borderId="10" xfId="8" applyFont="1" applyFill="1" applyBorder="1" applyAlignment="1">
      <alignment horizontal="left" vertical="center" wrapText="1"/>
    </xf>
    <xf numFmtId="49" fontId="44" fillId="0" borderId="0" xfId="11" applyNumberFormat="1" applyFont="1" applyAlignment="1">
      <alignment horizontal="center" vertical="center"/>
    </xf>
    <xf numFmtId="49" fontId="45" fillId="0" borderId="0" xfId="11" applyNumberFormat="1" applyFont="1" applyAlignment="1">
      <alignment horizontal="left" vertical="center"/>
    </xf>
    <xf numFmtId="166" fontId="44" fillId="0" borderId="43" xfId="8" applyNumberFormat="1" applyFont="1" applyFill="1" applyBorder="1" applyAlignment="1">
      <alignment horizontal="left" vertical="center"/>
    </xf>
    <xf numFmtId="166" fontId="46" fillId="0" borderId="43" xfId="8" applyNumberFormat="1" applyFont="1" applyFill="1" applyBorder="1" applyAlignment="1">
      <alignment horizontal="left" vertical="center" wrapText="1"/>
    </xf>
    <xf numFmtId="166" fontId="45" fillId="0" borderId="43"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166" fontId="33" fillId="0" borderId="38" xfId="8" applyNumberFormat="1" applyFont="1" applyFill="1" applyBorder="1" applyAlignment="1">
      <alignment horizontal="left" vertical="center" wrapText="1"/>
    </xf>
    <xf numFmtId="0" fontId="30" fillId="0" borderId="0" xfId="11" applyFont="1" applyAlignment="1">
      <alignment horizontal="center" vertical="center"/>
    </xf>
    <xf numFmtId="166" fontId="35" fillId="0" borderId="25" xfId="8" applyNumberFormat="1" applyFont="1" applyFill="1" applyBorder="1" applyAlignment="1">
      <alignment horizontal="center" vertical="center" wrapText="1"/>
    </xf>
    <xf numFmtId="166" fontId="35" fillId="0" borderId="25" xfId="8" applyNumberFormat="1" applyFont="1" applyFill="1" applyBorder="1" applyAlignment="1">
      <alignment horizontal="center" wrapText="1"/>
    </xf>
    <xf numFmtId="166" fontId="35" fillId="0" borderId="24" xfId="8" applyNumberFormat="1" applyFont="1" applyFill="1" applyBorder="1" applyAlignment="1">
      <alignment horizontal="center" vertical="center" wrapText="1"/>
    </xf>
    <xf numFmtId="166" fontId="32" fillId="0" borderId="9" xfId="8" applyNumberFormat="1" applyFont="1" applyFill="1" applyBorder="1" applyAlignment="1">
      <alignment horizontal="left" vertical="center"/>
    </xf>
    <xf numFmtId="166" fontId="35" fillId="0" borderId="0" xfId="8" applyNumberFormat="1" applyFont="1" applyFill="1" applyBorder="1" applyAlignment="1">
      <alignment horizontal="left" vertical="center"/>
    </xf>
    <xf numFmtId="166" fontId="33" fillId="0" borderId="0" xfId="8" applyNumberFormat="1" applyFont="1" applyFill="1" applyBorder="1" applyAlignment="1">
      <alignment horizontal="left" vertical="center"/>
    </xf>
    <xf numFmtId="166" fontId="35" fillId="0" borderId="13" xfId="8" applyNumberFormat="1" applyFont="1" applyFill="1" applyBorder="1" applyAlignment="1">
      <alignment horizontal="left" vertical="center" indent="5"/>
    </xf>
    <xf numFmtId="166" fontId="35" fillId="0" borderId="14" xfId="8" applyNumberFormat="1" applyFont="1" applyFill="1" applyBorder="1" applyAlignment="1">
      <alignment horizontal="left" vertical="center"/>
    </xf>
    <xf numFmtId="166" fontId="35" fillId="0" borderId="0" xfId="8" applyNumberFormat="1" applyFont="1" applyFill="1" applyBorder="1" applyAlignment="1">
      <alignment horizontal="left" vertical="center" indent="1"/>
    </xf>
    <xf numFmtId="166" fontId="35" fillId="0" borderId="8" xfId="8" applyNumberFormat="1" applyFont="1" applyFill="1" applyBorder="1" applyAlignment="1">
      <alignment horizontal="left" vertical="center" indent="5"/>
    </xf>
    <xf numFmtId="166" fontId="35" fillId="0" borderId="0" xfId="8" applyNumberFormat="1" applyFont="1" applyFill="1" applyBorder="1" applyAlignment="1">
      <alignment horizontal="left" indent="3"/>
    </xf>
    <xf numFmtId="166" fontId="35" fillId="0" borderId="13" xfId="8" applyNumberFormat="1" applyFont="1" applyFill="1" applyBorder="1" applyAlignment="1">
      <alignment horizontal="left" indent="1"/>
    </xf>
    <xf numFmtId="166" fontId="33" fillId="0" borderId="0" xfId="8" applyNumberFormat="1" applyFont="1" applyFill="1" applyAlignment="1">
      <alignment horizontal="left" vertical="center"/>
    </xf>
    <xf numFmtId="166" fontId="32" fillId="0" borderId="3" xfId="8" applyNumberFormat="1" applyFont="1" applyFill="1" applyBorder="1" applyAlignment="1">
      <alignment horizontal="left" vertical="center"/>
    </xf>
    <xf numFmtId="166" fontId="35" fillId="0" borderId="37" xfId="8" applyNumberFormat="1" applyFont="1" applyFill="1" applyBorder="1" applyAlignment="1">
      <alignment horizontal="left" vertical="center"/>
    </xf>
    <xf numFmtId="166" fontId="35" fillId="0" borderId="36" xfId="8" applyNumberFormat="1" applyFont="1" applyFill="1" applyBorder="1" applyAlignment="1">
      <alignment horizontal="left" indent="1"/>
    </xf>
    <xf numFmtId="166" fontId="33" fillId="0" borderId="21" xfId="8" applyNumberFormat="1" applyFont="1" applyFill="1" applyBorder="1" applyAlignment="1">
      <alignment horizontal="left" vertical="center"/>
    </xf>
    <xf numFmtId="166" fontId="35" fillId="0" borderId="37" xfId="8" applyNumberFormat="1" applyFont="1" applyFill="1" applyBorder="1" applyAlignment="1">
      <alignment horizontal="left" vertical="center" indent="1"/>
    </xf>
    <xf numFmtId="166" fontId="35" fillId="0" borderId="2" xfId="8" applyNumberFormat="1" applyFont="1" applyFill="1" applyBorder="1" applyAlignment="1">
      <alignment horizontal="left" vertical="center" indent="2"/>
    </xf>
    <xf numFmtId="166" fontId="33" fillId="11" borderId="10" xfId="8" applyNumberFormat="1" applyFont="1" applyFill="1" applyBorder="1" applyAlignment="1">
      <alignment horizontal="left" vertical="center" wrapText="1"/>
    </xf>
    <xf numFmtId="166" fontId="33" fillId="11" borderId="10" xfId="8" applyNumberFormat="1" applyFont="1" applyFill="1" applyBorder="1" applyAlignment="1" applyProtection="1">
      <alignment horizontal="left" vertical="center" wrapText="1"/>
      <protection locked="0"/>
    </xf>
    <xf numFmtId="166" fontId="33" fillId="11" borderId="10" xfId="8" applyNumberFormat="1" applyFont="1" applyFill="1" applyBorder="1" applyAlignment="1">
      <alignment horizontal="left" vertical="center"/>
    </xf>
    <xf numFmtId="164" fontId="30" fillId="11" borderId="10" xfId="8" applyFont="1" applyFill="1" applyBorder="1" applyAlignment="1" applyProtection="1">
      <alignment horizontal="left" vertical="center"/>
    </xf>
    <xf numFmtId="164" fontId="33" fillId="11" borderId="10" xfId="8" applyFont="1" applyFill="1" applyBorder="1" applyAlignment="1">
      <alignment horizontal="left" vertical="center" wrapText="1"/>
    </xf>
    <xf numFmtId="9" fontId="33" fillId="11" borderId="10" xfId="10" applyFont="1" applyFill="1" applyBorder="1" applyAlignment="1">
      <alignment horizontal="center" vertical="center" wrapText="1"/>
    </xf>
    <xf numFmtId="49" fontId="30" fillId="11" borderId="0" xfId="11" applyNumberFormat="1" applyFont="1" applyFill="1" applyAlignment="1">
      <alignment horizontal="center" vertical="center"/>
    </xf>
    <xf numFmtId="49" fontId="33" fillId="11" borderId="0" xfId="11" applyNumberFormat="1" applyFont="1" applyFill="1" applyAlignment="1">
      <alignment horizontal="left" vertical="center"/>
    </xf>
    <xf numFmtId="49" fontId="13"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3" fontId="35" fillId="0" borderId="0" xfId="8" applyNumberFormat="1" applyFont="1" applyBorder="1" applyAlignment="1" applyProtection="1">
      <alignment horizontal="right" vertical="center" wrapText="1"/>
      <protection locked="0"/>
    </xf>
    <xf numFmtId="0" fontId="33" fillId="0" borderId="0" xfId="11" applyFont="1" applyAlignment="1">
      <alignment horizontal="right" vertical="center" wrapText="1"/>
    </xf>
    <xf numFmtId="3" fontId="35" fillId="0" borderId="0" xfId="8" applyNumberFormat="1" applyFont="1" applyBorder="1" applyAlignment="1" applyProtection="1">
      <alignment horizontal="center" vertical="center" wrapText="1"/>
      <protection locked="0"/>
    </xf>
    <xf numFmtId="2" fontId="21" fillId="0" borderId="0" xfId="8" applyNumberFormat="1" applyFont="1" applyBorder="1" applyAlignment="1">
      <alignment horizontal="center" vertical="center" wrapText="1"/>
    </xf>
    <xf numFmtId="166" fontId="35" fillId="0" borderId="0" xfId="8" applyNumberFormat="1" applyFont="1" applyBorder="1" applyAlignment="1" applyProtection="1">
      <alignment horizontal="center" vertical="center" wrapText="1"/>
      <protection locked="0"/>
    </xf>
    <xf numFmtId="49" fontId="13" fillId="0" borderId="10" xfId="11" applyNumberFormat="1" applyFont="1" applyBorder="1" applyAlignment="1">
      <alignment vertical="center" wrapText="1"/>
    </xf>
    <xf numFmtId="49" fontId="21" fillId="0" borderId="10" xfId="11" applyNumberFormat="1" applyFont="1" applyBorder="1" applyAlignment="1">
      <alignment horizontal="left" vertical="center" wrapText="1"/>
    </xf>
    <xf numFmtId="164" fontId="15" fillId="0" borderId="10" xfId="8" applyFont="1" applyFill="1" applyBorder="1" applyAlignment="1" applyProtection="1">
      <alignment vertical="center"/>
    </xf>
    <xf numFmtId="49" fontId="21" fillId="9" borderId="10" xfId="11" applyNumberFormat="1" applyFont="1" applyFill="1" applyBorder="1" applyAlignment="1">
      <alignment horizontal="left" vertical="center" wrapText="1"/>
    </xf>
    <xf numFmtId="49" fontId="33" fillId="0" borderId="10" xfId="11" applyNumberFormat="1" applyFont="1" applyBorder="1" applyAlignment="1">
      <alignment vertical="center" wrapText="1"/>
    </xf>
    <xf numFmtId="49" fontId="50" fillId="9" borderId="10" xfId="11" applyNumberFormat="1" applyFont="1" applyFill="1" applyBorder="1" applyAlignment="1">
      <alignment horizontal="left" vertical="center" wrapText="1"/>
    </xf>
    <xf numFmtId="49" fontId="27" fillId="0" borderId="0" xfId="11" applyNumberFormat="1" applyFont="1" applyAlignment="1">
      <alignment horizontal="center" vertical="center"/>
    </xf>
    <xf numFmtId="49" fontId="51" fillId="0" borderId="0" xfId="11" applyNumberFormat="1" applyFont="1" applyAlignment="1">
      <alignment horizontal="left" vertical="center"/>
    </xf>
    <xf numFmtId="49" fontId="52" fillId="10" borderId="43" xfId="11" applyNumberFormat="1" applyFont="1" applyFill="1" applyBorder="1" applyAlignment="1">
      <alignment vertical="center"/>
    </xf>
    <xf numFmtId="166" fontId="46" fillId="10" borderId="43" xfId="8" applyNumberFormat="1" applyFont="1" applyFill="1" applyBorder="1" applyAlignment="1">
      <alignment horizontal="right" vertical="center" wrapText="1"/>
    </xf>
    <xf numFmtId="49" fontId="53" fillId="10" borderId="43" xfId="11" applyNumberFormat="1" applyFont="1" applyFill="1" applyBorder="1" applyAlignment="1">
      <alignment horizontal="left" vertical="center" wrapText="1"/>
    </xf>
    <xf numFmtId="49" fontId="28" fillId="10" borderId="43" xfId="11" applyNumberFormat="1" applyFont="1" applyFill="1" applyBorder="1" applyAlignment="1">
      <alignment horizontal="left" vertical="center" wrapText="1"/>
    </xf>
    <xf numFmtId="0" fontId="22" fillId="0" borderId="0" xfId="11" applyFont="1" applyAlignment="1">
      <alignment horizontal="left" vertical="center" indent="1"/>
    </xf>
    <xf numFmtId="0" fontId="22" fillId="0" borderId="37" xfId="11" applyFont="1" applyBorder="1" applyAlignment="1">
      <alignment horizontal="left" vertical="center" indent="1"/>
    </xf>
    <xf numFmtId="49" fontId="13" fillId="11" borderId="10" xfId="11" applyNumberFormat="1" applyFont="1" applyFill="1" applyBorder="1" applyAlignment="1">
      <alignment vertical="center" wrapText="1"/>
    </xf>
    <xf numFmtId="49" fontId="21" fillId="11" borderId="10" xfId="11" applyNumberFormat="1" applyFont="1" applyFill="1" applyBorder="1" applyAlignment="1">
      <alignment horizontal="left" vertical="center" wrapText="1"/>
    </xf>
    <xf numFmtId="164" fontId="15" fillId="11" borderId="10" xfId="8" applyFont="1" applyFill="1" applyBorder="1" applyAlignment="1" applyProtection="1">
      <alignment vertical="center"/>
    </xf>
    <xf numFmtId="49" fontId="13" fillId="11" borderId="10" xfId="11" applyNumberFormat="1" applyFont="1" applyFill="1" applyBorder="1" applyAlignment="1">
      <alignment vertical="center"/>
    </xf>
    <xf numFmtId="3" fontId="15" fillId="0" borderId="0" xfId="11" applyNumberFormat="1" applyFont="1" applyAlignment="1">
      <alignment horizontal="left" vertical="center" indent="1"/>
    </xf>
    <xf numFmtId="49" fontId="13" fillId="0" borderId="0" xfId="11" applyNumberFormat="1" applyFont="1" applyAlignment="1">
      <alignment horizontal="center" vertical="center"/>
    </xf>
    <xf numFmtId="49" fontId="13" fillId="0" borderId="1" xfId="11" applyNumberFormat="1" applyFont="1" applyBorder="1" applyAlignment="1">
      <alignment horizontal="center" vertical="center"/>
    </xf>
    <xf numFmtId="164" fontId="13" fillId="0" borderId="1" xfId="8" applyFont="1" applyFill="1" applyBorder="1" applyAlignment="1">
      <alignment vertical="center"/>
    </xf>
    <xf numFmtId="164" fontId="13" fillId="0" borderId="1" xfId="8" applyFont="1" applyFill="1" applyBorder="1" applyAlignment="1" applyProtection="1">
      <alignment horizontal="right" vertical="center" wrapText="1"/>
      <protection locked="0"/>
    </xf>
    <xf numFmtId="164" fontId="13" fillId="0" borderId="1" xfId="8" applyFont="1" applyFill="1" applyBorder="1" applyAlignment="1">
      <alignment vertical="center" wrapText="1"/>
    </xf>
    <xf numFmtId="9" fontId="13" fillId="3" borderId="1" xfId="10" applyFont="1" applyFill="1" applyBorder="1" applyAlignment="1">
      <alignment vertical="center" wrapText="1"/>
    </xf>
    <xf numFmtId="164" fontId="13" fillId="0" borderId="1" xfId="8" applyFont="1" applyFill="1" applyBorder="1" applyAlignment="1">
      <alignment horizontal="right" vertical="center"/>
    </xf>
    <xf numFmtId="9" fontId="13" fillId="0" borderId="1" xfId="11" applyNumberFormat="1" applyFont="1" applyBorder="1" applyAlignment="1">
      <alignment vertical="center" wrapText="1"/>
    </xf>
    <xf numFmtId="2" fontId="13" fillId="0" borderId="1" xfId="11" applyNumberFormat="1" applyFont="1" applyBorder="1" applyAlignment="1">
      <alignment vertical="center" wrapText="1"/>
    </xf>
    <xf numFmtId="164" fontId="13" fillId="0" borderId="1" xfId="8" applyFont="1" applyFill="1" applyBorder="1" applyAlignment="1" applyProtection="1">
      <alignment vertical="center"/>
    </xf>
    <xf numFmtId="49" fontId="33" fillId="0" borderId="0" xfId="11" applyNumberFormat="1" applyFont="1" applyAlignment="1">
      <alignment horizontal="center" vertical="center"/>
    </xf>
    <xf numFmtId="0" fontId="33" fillId="0" borderId="0" xfId="11" applyFont="1" applyAlignment="1">
      <alignment horizontal="center" vertical="center"/>
    </xf>
    <xf numFmtId="49" fontId="13" fillId="0" borderId="1" xfId="11" applyNumberFormat="1" applyFont="1" applyBorder="1" applyAlignment="1">
      <alignment vertical="center" wrapText="1"/>
    </xf>
    <xf numFmtId="164" fontId="13" fillId="0" borderId="1" xfId="11" applyNumberFormat="1" applyFont="1" applyBorder="1" applyAlignment="1">
      <alignment horizontal="center" vertical="center" wrapText="1"/>
    </xf>
    <xf numFmtId="166" fontId="13" fillId="0" borderId="1" xfId="8" applyNumberFormat="1" applyFont="1" applyFill="1" applyBorder="1" applyAlignment="1">
      <alignment horizontal="center" vertical="center" wrapText="1"/>
    </xf>
    <xf numFmtId="3" fontId="13" fillId="0" borderId="1" xfId="11" applyNumberFormat="1" applyFont="1" applyBorder="1" applyAlignment="1" applyProtection="1">
      <alignment vertical="center" wrapText="1"/>
      <protection locked="0"/>
    </xf>
    <xf numFmtId="49" fontId="33" fillId="0" borderId="1" xfId="11" applyNumberFormat="1" applyFont="1" applyBorder="1" applyAlignment="1">
      <alignment vertical="center" wrapText="1"/>
    </xf>
    <xf numFmtId="0" fontId="13" fillId="0" borderId="0" xfId="11" applyFont="1" applyAlignment="1">
      <alignment horizontal="center" vertical="center"/>
    </xf>
    <xf numFmtId="39" fontId="13" fillId="0" borderId="1" xfId="0" applyNumberFormat="1" applyFont="1" applyBorder="1" applyAlignment="1">
      <alignment horizontal="right" vertical="center"/>
    </xf>
    <xf numFmtId="0" fontId="21" fillId="0" borderId="0" xfId="11" applyFont="1" applyAlignment="1">
      <alignment horizontal="center" vertical="center"/>
    </xf>
    <xf numFmtId="166" fontId="13" fillId="0" borderId="1" xfId="11" applyNumberFormat="1" applyFont="1" applyBorder="1" applyAlignment="1">
      <alignment horizontal="center" vertical="center" wrapText="1"/>
    </xf>
    <xf numFmtId="49" fontId="54" fillId="3" borderId="0" xfId="11" applyNumberFormat="1" applyFont="1" applyFill="1" applyAlignment="1">
      <alignment horizontal="center" vertical="center"/>
    </xf>
    <xf numFmtId="49" fontId="54" fillId="12" borderId="1" xfId="11" applyNumberFormat="1" applyFont="1" applyFill="1" applyBorder="1" applyAlignment="1">
      <alignment horizontal="center" vertical="center"/>
    </xf>
    <xf numFmtId="164" fontId="54" fillId="12" borderId="1" xfId="8" applyFont="1" applyFill="1" applyBorder="1" applyAlignment="1">
      <alignment vertical="center"/>
    </xf>
    <xf numFmtId="164" fontId="54" fillId="12" borderId="1" xfId="8" applyFont="1" applyFill="1" applyBorder="1" applyAlignment="1">
      <alignment horizontal="center" vertical="center" wrapText="1"/>
    </xf>
    <xf numFmtId="9" fontId="54" fillId="12" borderId="1" xfId="8" applyNumberFormat="1" applyFont="1" applyFill="1" applyBorder="1" applyAlignment="1">
      <alignment vertical="center" wrapText="1"/>
    </xf>
    <xf numFmtId="164" fontId="54" fillId="12" borderId="1" xfId="8" applyFont="1" applyFill="1" applyBorder="1" applyAlignment="1">
      <alignment vertical="center" wrapText="1"/>
    </xf>
    <xf numFmtId="49" fontId="54" fillId="12" borderId="1" xfId="11" applyNumberFormat="1" applyFont="1" applyFill="1" applyBorder="1" applyAlignment="1">
      <alignment horizontal="left" vertical="center" wrapText="1"/>
    </xf>
    <xf numFmtId="164" fontId="13" fillId="0" borderId="1" xfId="0" applyNumberFormat="1" applyFont="1" applyBorder="1" applyAlignment="1">
      <alignment horizontal="right" vertical="center"/>
    </xf>
    <xf numFmtId="3" fontId="13" fillId="0" borderId="1" xfId="11" applyNumberFormat="1" applyFont="1" applyBorder="1" applyAlignment="1">
      <alignment horizontal="center" vertical="center" wrapText="1"/>
    </xf>
    <xf numFmtId="4" fontId="13" fillId="0" borderId="1" xfId="8" applyNumberFormat="1" applyFont="1" applyFill="1" applyBorder="1" applyAlignment="1">
      <alignment horizontal="right" vertical="center"/>
    </xf>
    <xf numFmtId="166" fontId="13" fillId="0" borderId="1" xfId="8" applyNumberFormat="1" applyFont="1" applyFill="1" applyBorder="1" applyAlignment="1">
      <alignment horizontal="center" vertical="center"/>
    </xf>
    <xf numFmtId="166" fontId="13" fillId="0" borderId="1" xfId="11" applyNumberFormat="1" applyFont="1" applyBorder="1" applyAlignment="1">
      <alignment horizontal="left" vertical="center" wrapText="1"/>
    </xf>
    <xf numFmtId="49" fontId="33" fillId="0" borderId="1" xfId="11" applyNumberFormat="1" applyFont="1" applyBorder="1" applyAlignment="1">
      <alignment horizontal="left" vertical="center" wrapText="1"/>
    </xf>
    <xf numFmtId="166" fontId="13" fillId="0" borderId="1" xfId="8" applyNumberFormat="1" applyFont="1" applyFill="1" applyBorder="1" applyAlignment="1">
      <alignment horizontal="left" vertical="center" wrapText="1"/>
    </xf>
    <xf numFmtId="2" fontId="13" fillId="0" borderId="1" xfId="11" applyNumberFormat="1" applyFont="1" applyBorder="1" applyAlignment="1">
      <alignment horizontal="center" vertical="center" wrapText="1"/>
    </xf>
    <xf numFmtId="49" fontId="15" fillId="0" borderId="0" xfId="11" applyNumberFormat="1" applyFont="1" applyAlignment="1">
      <alignment horizontal="left" vertical="center"/>
    </xf>
    <xf numFmtId="164" fontId="15" fillId="0" borderId="1" xfId="8" applyFont="1" applyFill="1" applyBorder="1" applyAlignment="1">
      <alignment vertical="center"/>
    </xf>
    <xf numFmtId="164" fontId="15" fillId="0" borderId="1" xfId="8" applyFont="1" applyFill="1" applyBorder="1" applyAlignment="1" applyProtection="1">
      <alignment vertical="center"/>
    </xf>
    <xf numFmtId="49" fontId="15" fillId="0" borderId="1" xfId="11" applyNumberFormat="1" applyFont="1" applyBorder="1" applyAlignment="1">
      <alignment horizontal="center" vertical="center"/>
    </xf>
    <xf numFmtId="166" fontId="13" fillId="0" borderId="1" xfId="8" applyNumberFormat="1" applyFont="1" applyFill="1" applyBorder="1" applyAlignment="1">
      <alignment vertical="center" wrapText="1"/>
    </xf>
    <xf numFmtId="49" fontId="39" fillId="0" borderId="0" xfId="11" applyNumberFormat="1" applyFont="1" applyAlignment="1">
      <alignment horizontal="center" vertical="center"/>
    </xf>
    <xf numFmtId="49" fontId="39" fillId="0" borderId="0" xfId="11" applyNumberFormat="1" applyFont="1" applyAlignment="1">
      <alignment horizontal="left" vertical="center"/>
    </xf>
    <xf numFmtId="0" fontId="39" fillId="0" borderId="0" xfId="11" applyFont="1" applyAlignment="1">
      <alignment horizontal="center" vertical="center"/>
    </xf>
    <xf numFmtId="43" fontId="55" fillId="0" borderId="0" xfId="11" applyNumberFormat="1" applyFont="1" applyAlignment="1">
      <alignment horizontal="center" vertical="center"/>
    </xf>
    <xf numFmtId="166" fontId="54" fillId="12" borderId="1" xfId="8" applyNumberFormat="1" applyFont="1" applyFill="1" applyBorder="1" applyAlignment="1">
      <alignment vertical="center" wrapText="1"/>
    </xf>
    <xf numFmtId="49" fontId="13" fillId="3" borderId="0" xfId="11" applyNumberFormat="1" applyFont="1" applyFill="1" applyAlignment="1">
      <alignment horizontal="center" vertical="center"/>
    </xf>
    <xf numFmtId="49" fontId="13" fillId="3" borderId="1" xfId="11" applyNumberFormat="1" applyFont="1" applyFill="1" applyBorder="1" applyAlignment="1">
      <alignment horizontal="center" vertical="center"/>
    </xf>
    <xf numFmtId="164" fontId="13" fillId="3" borderId="1" xfId="8" applyFont="1" applyFill="1" applyBorder="1" applyAlignment="1" applyProtection="1">
      <alignment horizontal="right" vertical="center" wrapText="1"/>
      <protection locked="0"/>
    </xf>
    <xf numFmtId="164" fontId="13" fillId="0" borderId="1" xfId="8" applyFont="1" applyBorder="1" applyAlignment="1">
      <alignment vertical="center"/>
    </xf>
    <xf numFmtId="164" fontId="13" fillId="3" borderId="1" xfId="8" applyFont="1" applyFill="1" applyBorder="1" applyAlignment="1">
      <alignment vertical="center" wrapText="1"/>
    </xf>
    <xf numFmtId="0" fontId="13" fillId="0" borderId="1" xfId="11" applyFont="1" applyBorder="1" applyAlignment="1">
      <alignment horizontal="right" vertical="center" wrapText="1"/>
    </xf>
    <xf numFmtId="3" fontId="13" fillId="0" borderId="1" xfId="8" applyNumberFormat="1" applyFont="1" applyFill="1" applyBorder="1" applyAlignment="1" applyProtection="1">
      <alignment horizontal="right" vertical="center" wrapText="1"/>
      <protection locked="0"/>
    </xf>
    <xf numFmtId="164" fontId="33" fillId="0" borderId="1" xfId="8" applyFont="1" applyFill="1" applyBorder="1" applyAlignment="1">
      <alignment horizontal="right" vertical="center"/>
    </xf>
    <xf numFmtId="164" fontId="22" fillId="0" borderId="1" xfId="8" applyFont="1" applyFill="1" applyBorder="1" applyAlignment="1">
      <alignment vertical="center" wrapText="1"/>
    </xf>
    <xf numFmtId="49" fontId="13" fillId="0" borderId="1" xfId="11" applyNumberFormat="1" applyFont="1" applyBorder="1" applyAlignment="1">
      <alignment vertical="center"/>
    </xf>
    <xf numFmtId="2" fontId="13" fillId="0" borderId="1" xfId="8" applyNumberFormat="1" applyFont="1" applyFill="1" applyBorder="1" applyAlignment="1">
      <alignment vertical="center" wrapText="1"/>
    </xf>
    <xf numFmtId="166" fontId="22"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center" vertical="center" wrapText="1"/>
      <protection locked="0"/>
    </xf>
    <xf numFmtId="3" fontId="22" fillId="0" borderId="1" xfId="8" applyNumberFormat="1" applyFont="1" applyFill="1" applyBorder="1" applyAlignment="1" applyProtection="1">
      <alignment horizontal="right" vertical="center" wrapText="1"/>
      <protection locked="0"/>
    </xf>
    <xf numFmtId="3" fontId="13" fillId="0" borderId="1" xfId="8" applyNumberFormat="1" applyFont="1" applyFill="1" applyBorder="1" applyAlignment="1" applyProtection="1">
      <alignment vertical="center" wrapText="1"/>
      <protection locked="0"/>
    </xf>
    <xf numFmtId="164" fontId="22" fillId="0" borderId="1" xfId="8" applyFont="1" applyFill="1" applyBorder="1" applyAlignment="1" applyProtection="1">
      <alignment horizontal="right" vertical="center" wrapText="1"/>
      <protection locked="0"/>
    </xf>
    <xf numFmtId="43" fontId="13" fillId="0" borderId="0" xfId="11" applyNumberFormat="1" applyFont="1" applyAlignment="1">
      <alignment horizontal="center" vertical="center"/>
    </xf>
    <xf numFmtId="2" fontId="13" fillId="0" borderId="1" xfId="11" applyNumberFormat="1" applyFont="1" applyBorder="1" applyAlignment="1">
      <alignment horizontal="right" vertical="center" wrapText="1"/>
    </xf>
    <xf numFmtId="2" fontId="13" fillId="0" borderId="1" xfId="8" applyNumberFormat="1" applyFont="1" applyFill="1" applyBorder="1" applyAlignment="1">
      <alignment horizontal="center" vertical="center" wrapText="1"/>
    </xf>
    <xf numFmtId="166" fontId="13" fillId="0" borderId="1" xfId="8" applyNumberFormat="1" applyFont="1" applyFill="1" applyBorder="1" applyAlignment="1">
      <alignment horizontal="right" vertical="center" wrapText="1"/>
    </xf>
    <xf numFmtId="9" fontId="13" fillId="0" borderId="1" xfId="10" applyFont="1" applyFill="1" applyBorder="1" applyAlignment="1">
      <alignment vertical="center" wrapText="1"/>
    </xf>
    <xf numFmtId="166" fontId="13" fillId="0" borderId="1" xfId="11" applyNumberFormat="1" applyFont="1" applyBorder="1" applyAlignment="1" applyProtection="1">
      <alignment vertical="center" wrapText="1"/>
      <protection locked="0"/>
    </xf>
    <xf numFmtId="164" fontId="33" fillId="0" borderId="0" xfId="8" applyFont="1" applyFill="1" applyAlignment="1">
      <alignment horizontal="center" vertical="center"/>
    </xf>
    <xf numFmtId="3" fontId="13" fillId="0" borderId="1" xfId="8" applyNumberFormat="1" applyFont="1" applyFill="1" applyBorder="1" applyAlignment="1">
      <alignment horizontal="right" vertical="center"/>
    </xf>
    <xf numFmtId="164" fontId="13" fillId="3" borderId="1" xfId="1" applyFont="1" applyFill="1" applyBorder="1" applyAlignment="1">
      <alignment horizontal="right" vertical="center" wrapText="1"/>
    </xf>
    <xf numFmtId="164" fontId="33" fillId="0" borderId="1" xfId="8" applyFont="1" applyFill="1" applyBorder="1" applyAlignment="1">
      <alignment vertical="center" wrapText="1"/>
    </xf>
    <xf numFmtId="49" fontId="19" fillId="10" borderId="1" xfId="11" applyNumberFormat="1" applyFont="1" applyFill="1" applyBorder="1" applyAlignment="1">
      <alignment horizontal="center" vertical="center"/>
    </xf>
    <xf numFmtId="164" fontId="19" fillId="10" borderId="1" xfId="8" applyFont="1" applyFill="1" applyBorder="1" applyAlignment="1">
      <alignment vertical="center"/>
    </xf>
    <xf numFmtId="164" fontId="19" fillId="10" borderId="1" xfId="8" applyFont="1" applyFill="1" applyBorder="1" applyAlignment="1">
      <alignment horizontal="center" vertical="center" wrapText="1"/>
    </xf>
    <xf numFmtId="9" fontId="19" fillId="10" borderId="1" xfId="8" applyNumberFormat="1" applyFont="1" applyFill="1" applyBorder="1" applyAlignment="1">
      <alignment vertical="center" wrapText="1"/>
    </xf>
    <xf numFmtId="164" fontId="19" fillId="10" borderId="1" xfId="8" applyFont="1" applyFill="1" applyBorder="1" applyAlignment="1">
      <alignment vertical="center" wrapText="1"/>
    </xf>
    <xf numFmtId="166" fontId="19" fillId="10" borderId="1" xfId="8" applyNumberFormat="1" applyFont="1" applyFill="1" applyBorder="1" applyAlignment="1">
      <alignment vertical="center" wrapText="1"/>
    </xf>
    <xf numFmtId="49" fontId="19" fillId="10" borderId="1" xfId="11" applyNumberFormat="1" applyFont="1" applyFill="1" applyBorder="1" applyAlignment="1">
      <alignment horizontal="left" vertical="center" wrapText="1"/>
    </xf>
    <xf numFmtId="49" fontId="15" fillId="0" borderId="33" xfId="11" applyNumberFormat="1" applyFont="1" applyBorder="1" applyAlignment="1">
      <alignment horizontal="center" vertical="center" wrapText="1"/>
    </xf>
    <xf numFmtId="164" fontId="13" fillId="0" borderId="35" xfId="8" applyFont="1" applyBorder="1" applyAlignment="1">
      <alignment horizontal="center" vertical="center" wrapText="1"/>
    </xf>
    <xf numFmtId="164" fontId="13" fillId="0" borderId="38" xfId="8" applyFont="1" applyBorder="1" applyAlignment="1">
      <alignment horizontal="center" vertical="center" wrapText="1"/>
    </xf>
    <xf numFmtId="3" fontId="13" fillId="0" borderId="38" xfId="11" applyNumberFormat="1" applyFont="1" applyBorder="1" applyAlignment="1">
      <alignment vertical="center" wrapText="1"/>
    </xf>
    <xf numFmtId="49" fontId="13" fillId="0" borderId="45" xfId="11" applyNumberFormat="1" applyFont="1" applyBorder="1" applyAlignment="1">
      <alignment horizontal="center" vertical="center" wrapText="1"/>
    </xf>
    <xf numFmtId="49" fontId="13" fillId="0" borderId="39" xfId="11" applyNumberFormat="1" applyFont="1" applyBorder="1" applyAlignment="1">
      <alignment horizontal="center" vertical="center" wrapText="1"/>
    </xf>
    <xf numFmtId="166" fontId="22" fillId="0" borderId="25" xfId="1" applyNumberFormat="1" applyFont="1" applyBorder="1" applyAlignment="1">
      <alignment horizontal="center" wrapText="1"/>
    </xf>
    <xf numFmtId="0" fontId="22" fillId="0" borderId="40" xfId="11" applyFont="1" applyBorder="1" applyAlignment="1">
      <alignment vertical="center"/>
    </xf>
    <xf numFmtId="164" fontId="22" fillId="0" borderId="41" xfId="8" applyFont="1" applyBorder="1" applyAlignment="1">
      <alignment vertical="center"/>
    </xf>
    <xf numFmtId="3" fontId="22" fillId="0" borderId="40" xfId="11" applyNumberFormat="1" applyFont="1" applyBorder="1" applyAlignment="1">
      <alignment horizontal="center" vertical="center"/>
    </xf>
    <xf numFmtId="3" fontId="22" fillId="0" borderId="40" xfId="11" applyNumberFormat="1" applyFont="1" applyBorder="1" applyAlignment="1">
      <alignment vertical="center"/>
    </xf>
    <xf numFmtId="164" fontId="22" fillId="0" borderId="13" xfId="8" applyFont="1" applyBorder="1" applyAlignment="1">
      <alignment vertical="center"/>
    </xf>
    <xf numFmtId="3" fontId="22" fillId="0" borderId="0" xfId="11" applyNumberFormat="1" applyFont="1" applyAlignment="1">
      <alignment vertical="center"/>
    </xf>
    <xf numFmtId="0" fontId="24" fillId="0" borderId="0" xfId="11" applyFont="1" applyAlignment="1">
      <alignment horizontal="left" indent="3"/>
    </xf>
    <xf numFmtId="0" fontId="22" fillId="0" borderId="0" xfId="11" applyFont="1" applyAlignment="1">
      <alignment horizontal="left" indent="3"/>
    </xf>
    <xf numFmtId="164" fontId="22" fillId="0" borderId="13" xfId="8" applyFont="1" applyBorder="1" applyAlignment="1"/>
    <xf numFmtId="164" fontId="22" fillId="0" borderId="36" xfId="8" applyFont="1" applyBorder="1" applyAlignment="1"/>
    <xf numFmtId="3" fontId="22" fillId="0" borderId="37" xfId="11" applyNumberFormat="1" applyFont="1" applyBorder="1" applyAlignment="1">
      <alignment vertical="center"/>
    </xf>
    <xf numFmtId="49" fontId="33" fillId="11" borderId="1" xfId="11" applyNumberFormat="1" applyFont="1" applyFill="1" applyBorder="1" applyAlignment="1">
      <alignment vertical="center" wrapText="1"/>
    </xf>
    <xf numFmtId="166" fontId="13" fillId="11" borderId="1" xfId="11" applyNumberFormat="1" applyFont="1" applyFill="1" applyBorder="1" applyAlignment="1" applyProtection="1">
      <alignment vertical="center" wrapText="1"/>
      <protection locked="0"/>
    </xf>
    <xf numFmtId="49" fontId="13" fillId="11" borderId="1" xfId="11" applyNumberFormat="1" applyFont="1" applyFill="1" applyBorder="1" applyAlignment="1">
      <alignment horizontal="center" vertical="center" wrapText="1"/>
    </xf>
    <xf numFmtId="164" fontId="13" fillId="11" borderId="1" xfId="8" applyFont="1" applyFill="1" applyBorder="1" applyAlignment="1">
      <alignment vertical="center" wrapText="1"/>
    </xf>
    <xf numFmtId="164" fontId="13" fillId="11" borderId="1" xfId="8" applyFont="1" applyFill="1" applyBorder="1" applyAlignment="1">
      <alignment vertical="center"/>
    </xf>
    <xf numFmtId="9" fontId="13" fillId="11" borderId="1" xfId="11" applyNumberFormat="1" applyFont="1" applyFill="1" applyBorder="1" applyAlignment="1">
      <alignment vertical="center" wrapText="1"/>
    </xf>
    <xf numFmtId="164" fontId="13" fillId="11" borderId="1" xfId="8" applyFont="1" applyFill="1" applyBorder="1" applyAlignment="1">
      <alignment horizontal="right" vertical="center"/>
    </xf>
    <xf numFmtId="49" fontId="13" fillId="11" borderId="1" xfId="11" applyNumberFormat="1" applyFont="1" applyFill="1" applyBorder="1" applyAlignment="1">
      <alignment vertical="center" wrapText="1"/>
    </xf>
    <xf numFmtId="0" fontId="33" fillId="11" borderId="0" xfId="11" applyFont="1" applyFill="1" applyAlignment="1">
      <alignment horizontal="center" vertical="center"/>
    </xf>
    <xf numFmtId="49" fontId="33" fillId="11" borderId="0" xfId="11" applyNumberFormat="1" applyFont="1" applyFill="1" applyAlignment="1">
      <alignment horizontal="center" vertical="center"/>
    </xf>
    <xf numFmtId="49" fontId="13" fillId="11" borderId="1" xfId="11" applyNumberFormat="1" applyFont="1" applyFill="1" applyBorder="1" applyAlignment="1">
      <alignment horizontal="left" vertical="center" wrapText="1"/>
    </xf>
    <xf numFmtId="166" fontId="13" fillId="11" borderId="1" xfId="8" applyNumberFormat="1" applyFont="1" applyFill="1" applyBorder="1" applyAlignment="1">
      <alignment vertical="center" wrapText="1"/>
    </xf>
    <xf numFmtId="164" fontId="13" fillId="11" borderId="1" xfId="8" applyFont="1" applyFill="1" applyBorder="1" applyAlignment="1">
      <alignment horizontal="center" vertical="center" wrapText="1"/>
    </xf>
    <xf numFmtId="164" fontId="13" fillId="11" borderId="1" xfId="8" applyFont="1" applyFill="1" applyBorder="1" applyAlignment="1" applyProtection="1">
      <alignment horizontal="right" vertical="center" wrapText="1"/>
      <protection locked="0"/>
    </xf>
    <xf numFmtId="49" fontId="13" fillId="11" borderId="1" xfId="11" applyNumberFormat="1" applyFont="1" applyFill="1" applyBorder="1" applyAlignment="1">
      <alignment horizontal="center" vertical="center"/>
    </xf>
    <xf numFmtId="49" fontId="13" fillId="11" borderId="0" xfId="11" applyNumberFormat="1" applyFont="1" applyFill="1" applyAlignment="1">
      <alignment horizontal="center" vertical="center"/>
    </xf>
    <xf numFmtId="49" fontId="33" fillId="11" borderId="1" xfId="11" applyNumberFormat="1" applyFont="1" applyFill="1" applyBorder="1" applyAlignment="1">
      <alignment horizontal="left" vertical="center" wrapText="1"/>
    </xf>
    <xf numFmtId="3" fontId="13" fillId="11" borderId="1" xfId="11" applyNumberFormat="1" applyFont="1" applyFill="1" applyBorder="1" applyAlignment="1" applyProtection="1">
      <alignment vertical="center" wrapText="1"/>
      <protection locked="0"/>
    </xf>
    <xf numFmtId="0" fontId="21" fillId="11" borderId="0" xfId="11" applyFont="1" applyFill="1" applyAlignment="1">
      <alignment horizontal="center" vertical="center"/>
    </xf>
    <xf numFmtId="49" fontId="21" fillId="11" borderId="0" xfId="11" applyNumberFormat="1" applyFont="1" applyFill="1" applyAlignment="1">
      <alignment horizontal="left" vertical="center"/>
    </xf>
    <xf numFmtId="49" fontId="21" fillId="11" borderId="0" xfId="11" applyNumberFormat="1" applyFont="1" applyFill="1" applyAlignment="1">
      <alignment horizontal="center" vertical="center"/>
    </xf>
    <xf numFmtId="0" fontId="39" fillId="11" borderId="0" xfId="11" applyFont="1" applyFill="1" applyAlignment="1">
      <alignment horizontal="center" vertical="center"/>
    </xf>
    <xf numFmtId="49" fontId="39" fillId="11" borderId="0" xfId="11" applyNumberFormat="1" applyFont="1" applyFill="1" applyAlignment="1">
      <alignment horizontal="left" vertical="center"/>
    </xf>
    <xf numFmtId="49" fontId="39" fillId="11" borderId="0" xfId="11" applyNumberFormat="1" applyFont="1" applyFill="1" applyAlignment="1">
      <alignment horizontal="center" vertical="center"/>
    </xf>
    <xf numFmtId="49" fontId="13" fillId="0" borderId="17" xfId="11" applyNumberFormat="1" applyFont="1" applyBorder="1" applyAlignment="1">
      <alignment horizontal="center" vertical="center" wrapText="1"/>
    </xf>
    <xf numFmtId="49" fontId="15" fillId="0" borderId="15" xfId="11" applyNumberFormat="1" applyFont="1" applyBorder="1" applyAlignment="1">
      <alignment horizontal="center" vertical="center" wrapText="1"/>
    </xf>
    <xf numFmtId="164" fontId="16" fillId="0" borderId="0" xfId="8" applyFont="1" applyAlignment="1">
      <alignment vertical="center"/>
    </xf>
    <xf numFmtId="166" fontId="16" fillId="0" borderId="0" xfId="1" applyNumberFormat="1" applyFont="1" applyAlignment="1">
      <alignment horizontal="center" vertical="center"/>
    </xf>
    <xf numFmtId="164" fontId="16" fillId="0" borderId="0" xfId="8" applyFont="1" applyAlignment="1">
      <alignment horizontal="center" vertical="center"/>
    </xf>
    <xf numFmtId="166" fontId="16" fillId="0" borderId="0" xfId="1" applyNumberFormat="1" applyFont="1" applyAlignment="1">
      <alignment vertical="center"/>
    </xf>
    <xf numFmtId="167" fontId="16" fillId="0" borderId="0" xfId="8" applyNumberFormat="1" applyFont="1" applyAlignment="1">
      <alignment horizontal="center" vertical="center"/>
    </xf>
    <xf numFmtId="165" fontId="16" fillId="0" borderId="0" xfId="8" applyNumberFormat="1" applyFont="1" applyAlignment="1">
      <alignment horizontal="center" vertical="center"/>
    </xf>
    <xf numFmtId="9" fontId="13" fillId="0" borderId="1" xfId="10" applyFont="1" applyFill="1" applyBorder="1" applyAlignment="1">
      <alignment horizontal="center" vertical="center" wrapText="1"/>
    </xf>
    <xf numFmtId="0" fontId="14" fillId="0" borderId="16" xfId="0" applyFont="1" applyBorder="1" applyAlignment="1">
      <alignment vertical="center"/>
    </xf>
    <xf numFmtId="49" fontId="25" fillId="3" borderId="1" xfId="11" applyNumberFormat="1" applyFont="1" applyFill="1" applyBorder="1" applyAlignment="1">
      <alignment horizontal="center" vertical="center"/>
    </xf>
    <xf numFmtId="49" fontId="15" fillId="3" borderId="1" xfId="11" applyNumberFormat="1" applyFont="1" applyFill="1" applyBorder="1" applyAlignment="1">
      <alignment horizontal="center" vertical="center"/>
    </xf>
    <xf numFmtId="166" fontId="11" fillId="0" borderId="1" xfId="8" applyNumberFormat="1" applyFont="1" applyFill="1" applyBorder="1" applyAlignment="1">
      <alignment horizontal="left" vertical="center" wrapText="1"/>
    </xf>
    <xf numFmtId="164" fontId="13" fillId="0" borderId="25" xfId="8" applyFont="1" applyBorder="1" applyAlignment="1">
      <alignment horizontal="center" vertical="center" wrapText="1"/>
    </xf>
    <xf numFmtId="164" fontId="13" fillId="0" borderId="0" xfId="8" applyFont="1" applyBorder="1" applyAlignment="1">
      <alignment horizontal="center"/>
    </xf>
    <xf numFmtId="164" fontId="13" fillId="0" borderId="37" xfId="8" applyFont="1" applyBorder="1" applyAlignment="1">
      <alignment horizontal="center" vertical="center"/>
    </xf>
    <xf numFmtId="164" fontId="13" fillId="0" borderId="0" xfId="8" applyFont="1" applyAlignment="1">
      <alignment horizontal="center" vertical="center"/>
    </xf>
    <xf numFmtId="0" fontId="33" fillId="0" borderId="0" xfId="0" applyFont="1" applyAlignment="1">
      <alignment vertical="center"/>
    </xf>
    <xf numFmtId="0" fontId="28" fillId="0" borderId="0" xfId="11" applyFont="1" applyAlignment="1">
      <alignment vertical="center"/>
    </xf>
    <xf numFmtId="0" fontId="51" fillId="0" borderId="0" xfId="11" applyFont="1" applyAlignment="1">
      <alignment vertical="center"/>
    </xf>
    <xf numFmtId="49" fontId="11" fillId="11" borderId="1" xfId="11" applyNumberFormat="1" applyFont="1" applyFill="1" applyBorder="1" applyAlignment="1">
      <alignment horizontal="left" vertical="center" wrapText="1"/>
    </xf>
    <xf numFmtId="49" fontId="12" fillId="11" borderId="1" xfId="11" applyNumberFormat="1" applyFont="1" applyFill="1" applyBorder="1" applyAlignment="1">
      <alignment horizontal="center" vertical="center" wrapText="1"/>
    </xf>
    <xf numFmtId="165" fontId="11" fillId="11" borderId="1" xfId="8" applyNumberFormat="1" applyFont="1" applyFill="1" applyBorder="1" applyAlignment="1">
      <alignment horizontal="center" vertical="center" wrapText="1"/>
    </xf>
    <xf numFmtId="164" fontId="11" fillId="11" borderId="1" xfId="8" applyFont="1" applyFill="1" applyBorder="1" applyAlignment="1" applyProtection="1">
      <alignment horizontal="center" vertical="center" wrapText="1"/>
      <protection locked="0"/>
    </xf>
    <xf numFmtId="0" fontId="11" fillId="11" borderId="1" xfId="11" applyFont="1" applyFill="1" applyBorder="1" applyAlignment="1">
      <alignment horizontal="center" vertical="center" wrapText="1"/>
    </xf>
    <xf numFmtId="164" fontId="11" fillId="11" borderId="1" xfId="8" applyFont="1" applyFill="1" applyBorder="1" applyAlignment="1">
      <alignment vertical="center"/>
    </xf>
    <xf numFmtId="49" fontId="11" fillId="11" borderId="1" xfId="11" applyNumberFormat="1" applyFont="1" applyFill="1" applyBorder="1" applyAlignment="1">
      <alignment vertical="center" wrapText="1"/>
    </xf>
    <xf numFmtId="0" fontId="25" fillId="11" borderId="0" xfId="11" applyFont="1" applyFill="1" applyAlignment="1">
      <alignment horizontal="center" vertical="center"/>
    </xf>
    <xf numFmtId="49" fontId="25" fillId="11" borderId="0" xfId="11" applyNumberFormat="1" applyFont="1" applyFill="1" applyAlignment="1">
      <alignment horizontal="center" vertical="center"/>
    </xf>
    <xf numFmtId="49" fontId="26" fillId="11" borderId="0" xfId="11" applyNumberFormat="1" applyFont="1" applyFill="1" applyAlignment="1">
      <alignment horizontal="center" vertical="center"/>
    </xf>
    <xf numFmtId="49" fontId="22" fillId="11" borderId="0" xfId="11" applyNumberFormat="1" applyFont="1" applyFill="1" applyAlignment="1">
      <alignment horizontal="center" vertical="center"/>
    </xf>
    <xf numFmtId="164" fontId="23" fillId="11" borderId="1" xfId="8" applyFont="1" applyFill="1" applyBorder="1" applyAlignment="1" applyProtection="1">
      <alignment horizontal="center" vertical="center" wrapText="1"/>
      <protection locked="0"/>
    </xf>
    <xf numFmtId="0" fontId="23" fillId="11" borderId="1" xfId="11" applyFont="1" applyFill="1" applyBorder="1" applyAlignment="1">
      <alignment horizontal="center" vertical="center" wrapText="1"/>
    </xf>
    <xf numFmtId="164" fontId="23" fillId="11" borderId="1" xfId="8" applyFont="1" applyFill="1" applyBorder="1" applyAlignment="1">
      <alignment vertical="center"/>
    </xf>
    <xf numFmtId="49" fontId="13" fillId="0" borderId="14" xfId="11" applyNumberFormat="1" applyFont="1" applyBorder="1" applyAlignment="1">
      <alignment horizontal="center" vertical="center" wrapText="1"/>
    </xf>
    <xf numFmtId="0" fontId="0" fillId="0" borderId="2" xfId="0" applyBorder="1" applyAlignment="1">
      <alignment horizontal="left"/>
    </xf>
    <xf numFmtId="0" fontId="9" fillId="0" borderId="8" xfId="0" applyFont="1" applyBorder="1" applyAlignment="1">
      <alignment horizontal="left" indent="2"/>
    </xf>
    <xf numFmtId="0" fontId="0" fillId="0" borderId="5" xfId="0" applyBorder="1" applyAlignment="1">
      <alignment horizontal="left" wrapText="1"/>
    </xf>
    <xf numFmtId="164" fontId="9" fillId="0" borderId="40" xfId="8" applyFont="1" applyFill="1" applyBorder="1" applyAlignment="1">
      <alignment horizontal="center" vertical="center" wrapText="1"/>
    </xf>
    <xf numFmtId="164" fontId="4" fillId="0" borderId="41" xfId="8" applyFont="1" applyFill="1" applyBorder="1" applyAlignment="1">
      <alignment vertical="center" wrapText="1"/>
    </xf>
    <xf numFmtId="164" fontId="9" fillId="0" borderId="46" xfId="8" applyFont="1" applyFill="1" applyBorder="1" applyAlignment="1">
      <alignment horizontal="center" vertical="center" wrapText="1"/>
    </xf>
    <xf numFmtId="0" fontId="7" fillId="13" borderId="8" xfId="0" applyFont="1" applyFill="1" applyBorder="1" applyAlignment="1">
      <alignment horizontal="left" indent="1"/>
    </xf>
    <xf numFmtId="164" fontId="7" fillId="13" borderId="13" xfId="8" applyFont="1" applyFill="1" applyBorder="1" applyAlignment="1">
      <alignment horizontal="center" vertical="center"/>
    </xf>
    <xf numFmtId="164" fontId="7" fillId="13" borderId="0" xfId="8" applyFont="1" applyFill="1" applyBorder="1"/>
    <xf numFmtId="164" fontId="2" fillId="13" borderId="0" xfId="8" applyFont="1" applyFill="1" applyBorder="1" applyAlignment="1">
      <alignment horizontal="left"/>
    </xf>
    <xf numFmtId="164" fontId="2" fillId="13" borderId="14" xfId="8" applyFont="1" applyFill="1" applyBorder="1" applyAlignment="1">
      <alignment horizontal="left"/>
    </xf>
    <xf numFmtId="0" fontId="2" fillId="13" borderId="0" xfId="0" applyFont="1" applyFill="1"/>
    <xf numFmtId="0" fontId="8" fillId="13" borderId="8" xfId="0" applyFont="1" applyFill="1" applyBorder="1" applyAlignment="1">
      <alignment horizontal="left" indent="1"/>
    </xf>
    <xf numFmtId="164" fontId="8" fillId="13" borderId="13" xfId="8" applyFont="1" applyFill="1" applyBorder="1" applyAlignment="1">
      <alignment horizontal="center" vertical="center"/>
    </xf>
    <xf numFmtId="164" fontId="8" fillId="13" borderId="0" xfId="8" applyFont="1" applyFill="1" applyBorder="1"/>
    <xf numFmtId="166" fontId="4" fillId="0" borderId="0" xfId="8" applyNumberFormat="1" applyFont="1" applyBorder="1" applyAlignment="1">
      <alignment horizontal="left"/>
    </xf>
    <xf numFmtId="166" fontId="9" fillId="0" borderId="40" xfId="8" applyNumberFormat="1" applyFont="1" applyFill="1" applyBorder="1" applyAlignment="1">
      <alignment horizontal="center" vertical="center" wrapText="1"/>
    </xf>
    <xf numFmtId="166" fontId="9" fillId="0" borderId="13" xfId="8" applyNumberFormat="1" applyFont="1" applyBorder="1" applyAlignment="1">
      <alignment horizontal="center" vertical="center"/>
    </xf>
    <xf numFmtId="166" fontId="8" fillId="13" borderId="13" xfId="8" applyNumberFormat="1" applyFont="1" applyFill="1" applyBorder="1" applyAlignment="1">
      <alignment horizontal="center" vertical="center"/>
    </xf>
    <xf numFmtId="166" fontId="0" fillId="0" borderId="0" xfId="0" applyNumberFormat="1" applyFont="1"/>
    <xf numFmtId="0" fontId="0" fillId="0" borderId="0" xfId="0" applyFont="1"/>
    <xf numFmtId="166" fontId="4" fillId="0" borderId="41" xfId="8" applyNumberFormat="1" applyFont="1" applyFill="1" applyBorder="1" applyAlignment="1">
      <alignment vertical="center" wrapText="1"/>
    </xf>
    <xf numFmtId="166" fontId="0" fillId="0" borderId="0" xfId="8" applyNumberFormat="1" applyFont="1"/>
    <xf numFmtId="164" fontId="4" fillId="0" borderId="0" xfId="8" applyFont="1"/>
    <xf numFmtId="166" fontId="4" fillId="0" borderId="0" xfId="8" applyNumberFormat="1" applyFont="1"/>
    <xf numFmtId="164" fontId="9" fillId="0" borderId="0" xfId="8" applyFont="1" applyBorder="1" applyAlignment="1">
      <alignment horizontal="center"/>
    </xf>
    <xf numFmtId="164" fontId="0" fillId="0" borderId="14" xfId="8" applyFont="1" applyBorder="1" applyAlignment="1">
      <alignment horizontal="left"/>
    </xf>
    <xf numFmtId="164" fontId="2" fillId="0" borderId="36" xfId="8" applyFont="1" applyBorder="1" applyAlignment="1">
      <alignment horizontal="center" vertical="center"/>
    </xf>
    <xf numFmtId="164" fontId="2" fillId="0" borderId="37" xfId="8" applyFont="1" applyBorder="1" applyAlignment="1">
      <alignment horizontal="center" vertical="center"/>
    </xf>
    <xf numFmtId="164" fontId="2" fillId="0" borderId="21" xfId="8" applyFont="1" applyBorder="1" applyAlignment="1">
      <alignment horizontal="center" vertical="center"/>
    </xf>
    <xf numFmtId="0" fontId="22" fillId="7" borderId="5" xfId="11" applyFont="1" applyFill="1" applyBorder="1" applyAlignment="1">
      <alignment horizontal="center" vertical="center"/>
    </xf>
    <xf numFmtId="0" fontId="22" fillId="7" borderId="40" xfId="11" applyFont="1" applyFill="1" applyBorder="1" applyAlignment="1">
      <alignment horizontal="center" vertical="center"/>
    </xf>
    <xf numFmtId="0" fontId="22" fillId="7" borderId="4" xfId="11" applyFont="1" applyFill="1" applyBorder="1" applyAlignment="1">
      <alignment horizontal="center" vertical="center"/>
    </xf>
    <xf numFmtId="0" fontId="22" fillId="0" borderId="39" xfId="11" applyFont="1" applyBorder="1" applyAlignment="1">
      <alignment horizontal="center" vertical="center" wrapText="1"/>
    </xf>
    <xf numFmtId="0" fontId="22" fillId="0" borderId="32" xfId="11" applyFont="1" applyBorder="1" applyAlignment="1">
      <alignment horizontal="center" vertical="center" wrapText="1"/>
    </xf>
    <xf numFmtId="0" fontId="22" fillId="0" borderId="26" xfId="11" applyFont="1" applyBorder="1" applyAlignment="1">
      <alignment horizontal="center" vertical="center" wrapText="1"/>
    </xf>
    <xf numFmtId="165" fontId="22" fillId="0" borderId="38" xfId="8" applyNumberFormat="1" applyFont="1" applyBorder="1" applyAlignment="1">
      <alignment horizontal="center" vertical="center" wrapText="1"/>
    </xf>
    <xf numFmtId="165" fontId="22" fillId="0" borderId="1" xfId="8" applyNumberFormat="1" applyFont="1" applyBorder="1" applyAlignment="1">
      <alignment horizontal="center" vertical="center" wrapText="1"/>
    </xf>
    <xf numFmtId="165" fontId="22" fillId="0" borderId="25" xfId="8" applyNumberFormat="1" applyFont="1" applyBorder="1" applyAlignment="1">
      <alignment horizontal="center" vertical="center" wrapText="1"/>
    </xf>
    <xf numFmtId="0" fontId="22" fillId="0" borderId="1" xfId="11" applyFont="1" applyBorder="1" applyAlignment="1">
      <alignment horizontal="center" vertical="center" wrapText="1"/>
    </xf>
    <xf numFmtId="166" fontId="22" fillId="0" borderId="35" xfId="1" applyNumberFormat="1" applyFont="1" applyBorder="1" applyAlignment="1">
      <alignment horizontal="center" vertical="center" wrapText="1"/>
    </xf>
    <xf numFmtId="166" fontId="22" fillId="0" borderId="34" xfId="1" applyNumberFormat="1" applyFont="1" applyBorder="1" applyAlignment="1">
      <alignment horizontal="center" vertical="center" wrapText="1"/>
    </xf>
    <xf numFmtId="0" fontId="25" fillId="0" borderId="33" xfId="11" applyFont="1" applyBorder="1" applyAlignment="1">
      <alignment horizontal="center" vertical="center" wrapText="1"/>
    </xf>
    <xf numFmtId="0" fontId="25" fillId="0" borderId="27" xfId="11" applyFont="1" applyBorder="1" applyAlignment="1">
      <alignment horizontal="center" vertical="center" wrapText="1"/>
    </xf>
    <xf numFmtId="0" fontId="25" fillId="0" borderId="23" xfId="11" applyFont="1" applyBorder="1" applyAlignment="1">
      <alignment horizontal="center" vertical="center" wrapText="1"/>
    </xf>
    <xf numFmtId="0" fontId="22" fillId="0" borderId="38" xfId="11" applyFont="1" applyBorder="1" applyAlignment="1">
      <alignment horizontal="center" vertical="center" wrapText="1"/>
    </xf>
    <xf numFmtId="0" fontId="22" fillId="0" borderId="25" xfId="11" applyFont="1" applyBorder="1" applyAlignment="1">
      <alignment horizontal="center" vertical="center" wrapText="1"/>
    </xf>
    <xf numFmtId="164" fontId="22" fillId="0" borderId="36" xfId="8" applyFont="1" applyBorder="1" applyAlignment="1">
      <alignment horizontal="center" vertical="center" wrapText="1"/>
    </xf>
    <xf numFmtId="164" fontId="22" fillId="0" borderId="37" xfId="8" applyFont="1" applyBorder="1" applyAlignment="1">
      <alignment horizontal="center" vertical="center" wrapText="1"/>
    </xf>
    <xf numFmtId="164" fontId="22" fillId="0" borderId="21" xfId="8" applyFont="1" applyBorder="1" applyAlignment="1">
      <alignment horizontal="center" vertical="center" wrapText="1"/>
    </xf>
    <xf numFmtId="164" fontId="22" fillId="0" borderId="15" xfId="8" applyFont="1" applyBorder="1" applyAlignment="1">
      <alignment horizontal="center" vertical="center" wrapText="1"/>
    </xf>
    <xf numFmtId="164" fontId="22" fillId="0" borderId="16" xfId="8" applyFont="1" applyBorder="1" applyAlignment="1">
      <alignment horizontal="center" vertical="center" wrapText="1"/>
    </xf>
    <xf numFmtId="164" fontId="22" fillId="0" borderId="17" xfId="8" applyFont="1" applyBorder="1" applyAlignment="1">
      <alignment horizontal="center" vertical="center" wrapText="1"/>
    </xf>
    <xf numFmtId="0" fontId="22" fillId="0" borderId="36" xfId="11" applyFont="1" applyBorder="1" applyAlignment="1">
      <alignment horizontal="center" vertical="center" wrapText="1"/>
    </xf>
    <xf numFmtId="0" fontId="22" fillId="0" borderId="21" xfId="11" applyFont="1" applyBorder="1" applyAlignment="1">
      <alignment horizontal="center" vertical="center" wrapText="1"/>
    </xf>
    <xf numFmtId="0" fontId="22" fillId="0" borderId="15" xfId="11" applyFont="1" applyBorder="1" applyAlignment="1">
      <alignment horizontal="center" vertical="center" wrapText="1"/>
    </xf>
    <xf numFmtId="0" fontId="22" fillId="0" borderId="17" xfId="11" applyFont="1" applyBorder="1" applyAlignment="1">
      <alignment horizontal="center" vertical="center" wrapText="1"/>
    </xf>
    <xf numFmtId="0" fontId="22" fillId="0" borderId="20" xfId="11" applyFont="1" applyBorder="1" applyAlignment="1">
      <alignment horizontal="center" vertical="center" wrapText="1"/>
    </xf>
    <xf numFmtId="0" fontId="22" fillId="0" borderId="31" xfId="11" applyFont="1" applyBorder="1" applyAlignment="1">
      <alignment horizontal="center" vertical="center" wrapText="1"/>
    </xf>
    <xf numFmtId="0" fontId="22" fillId="0" borderId="24" xfId="11" applyFont="1" applyBorder="1" applyAlignment="1">
      <alignment horizontal="center" vertical="center" wrapText="1"/>
    </xf>
    <xf numFmtId="166" fontId="22" fillId="0" borderId="30" xfId="1" applyNumberFormat="1" applyFont="1" applyBorder="1" applyAlignment="1">
      <alignment horizontal="center" vertical="center" wrapText="1"/>
    </xf>
    <xf numFmtId="166" fontId="22" fillId="0" borderId="29" xfId="1" applyNumberFormat="1" applyFont="1" applyBorder="1" applyAlignment="1">
      <alignment horizontal="center" vertical="center" wrapText="1"/>
    </xf>
    <xf numFmtId="166" fontId="22" fillId="0" borderId="28" xfId="1" applyNumberFormat="1" applyFont="1" applyBorder="1" applyAlignment="1">
      <alignment horizontal="center" vertical="center" wrapText="1"/>
    </xf>
    <xf numFmtId="164" fontId="22" fillId="0" borderId="18" xfId="8" applyFont="1" applyBorder="1" applyAlignment="1">
      <alignment horizontal="center" vertical="center" wrapText="1"/>
    </xf>
    <xf numFmtId="164" fontId="22" fillId="0" borderId="24" xfId="8" applyFont="1" applyBorder="1" applyAlignment="1">
      <alignment horizontal="center" vertical="center" wrapText="1"/>
    </xf>
    <xf numFmtId="0" fontId="22" fillId="0" borderId="0" xfId="11" applyFont="1" applyAlignment="1">
      <alignment horizontal="center" vertical="center"/>
    </xf>
    <xf numFmtId="0" fontId="15" fillId="0" borderId="12" xfId="11" applyFont="1" applyBorder="1" applyAlignment="1">
      <alignment horizontal="left" vertical="center" wrapText="1"/>
    </xf>
    <xf numFmtId="166" fontId="22" fillId="0" borderId="1" xfId="1" applyNumberFormat="1" applyFont="1" applyBorder="1" applyAlignment="1">
      <alignment horizontal="center" vertical="center" wrapText="1"/>
    </xf>
    <xf numFmtId="166" fontId="22" fillId="0" borderId="1" xfId="8" applyNumberFormat="1" applyFont="1" applyBorder="1" applyAlignment="1">
      <alignment horizontal="center" vertical="center" wrapText="1"/>
    </xf>
    <xf numFmtId="3" fontId="22" fillId="0" borderId="38" xfId="11" applyNumberFormat="1" applyFont="1" applyBorder="1" applyAlignment="1">
      <alignment vertical="center" wrapText="1"/>
    </xf>
    <xf numFmtId="3" fontId="22" fillId="0" borderId="1" xfId="11" applyNumberFormat="1" applyFont="1" applyBorder="1" applyAlignment="1">
      <alignment vertical="center" wrapText="1"/>
    </xf>
    <xf numFmtId="3" fontId="22" fillId="0" borderId="25" xfId="11" applyNumberFormat="1" applyFont="1" applyBorder="1" applyAlignment="1">
      <alignment vertical="center" wrapText="1"/>
    </xf>
    <xf numFmtId="166" fontId="22" fillId="0" borderId="45" xfId="1" applyNumberFormat="1" applyFont="1" applyBorder="1" applyAlignment="1">
      <alignment horizontal="center" vertical="center" wrapText="1"/>
    </xf>
    <xf numFmtId="166" fontId="22" fillId="0" borderId="18" xfId="1" applyNumberFormat="1" applyFont="1" applyBorder="1" applyAlignment="1">
      <alignment horizontal="center" vertical="center" wrapText="1"/>
    </xf>
    <xf numFmtId="166" fontId="22" fillId="0" borderId="24" xfId="1" applyNumberFormat="1" applyFont="1" applyBorder="1" applyAlignment="1">
      <alignment horizontal="center" vertical="center" wrapText="1"/>
    </xf>
    <xf numFmtId="0" fontId="1" fillId="0" borderId="0" xfId="0" applyFont="1" applyAlignment="1">
      <alignment horizontal="center"/>
    </xf>
    <xf numFmtId="166" fontId="22" fillId="0" borderId="38" xfId="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166" fontId="35" fillId="0" borderId="1" xfId="1" applyNumberFormat="1" applyFont="1" applyBorder="1" applyAlignment="1">
      <alignment horizontal="center" vertical="center" wrapText="1"/>
    </xf>
    <xf numFmtId="49" fontId="13" fillId="0" borderId="10" xfId="11" applyNumberFormat="1" applyFont="1" applyBorder="1" applyAlignment="1">
      <alignment horizontal="center" vertical="center" wrapText="1"/>
    </xf>
    <xf numFmtId="3" fontId="35" fillId="0" borderId="38" xfId="11" applyNumberFormat="1" applyFont="1" applyBorder="1" applyAlignment="1">
      <alignment horizontal="center" vertical="center" wrapText="1"/>
    </xf>
    <xf numFmtId="3" fontId="35" fillId="0" borderId="1" xfId="11" applyNumberFormat="1" applyFont="1" applyBorder="1" applyAlignment="1">
      <alignment horizontal="center" vertical="center" wrapText="1"/>
    </xf>
    <xf numFmtId="3" fontId="35" fillId="0" borderId="25" xfId="11" applyNumberFormat="1" applyFont="1" applyBorder="1" applyAlignment="1">
      <alignment horizontal="center" vertical="center" wrapText="1"/>
    </xf>
    <xf numFmtId="0" fontId="35" fillId="0" borderId="38" xfId="11" applyFont="1" applyBorder="1" applyAlignment="1">
      <alignment horizontal="center" vertical="center" wrapText="1"/>
    </xf>
    <xf numFmtId="0" fontId="35" fillId="0" borderId="1" xfId="11" applyFont="1" applyBorder="1" applyAlignment="1">
      <alignment horizontal="center" vertical="center" wrapText="1"/>
    </xf>
    <xf numFmtId="0" fontId="35" fillId="0" borderId="25" xfId="11" applyFont="1" applyBorder="1" applyAlignment="1">
      <alignment horizontal="center" vertical="center" wrapText="1"/>
    </xf>
    <xf numFmtId="3" fontId="22" fillId="0" borderId="36" xfId="11" applyNumberFormat="1" applyFont="1" applyBorder="1" applyAlignment="1">
      <alignment horizontal="center" vertical="center" wrapText="1"/>
    </xf>
    <xf numFmtId="3" fontId="22" fillId="0" borderId="37" xfId="11" applyNumberFormat="1" applyFont="1" applyBorder="1" applyAlignment="1">
      <alignment horizontal="center" vertical="center" wrapText="1"/>
    </xf>
    <xf numFmtId="3" fontId="22" fillId="0" borderId="21" xfId="11" applyNumberFormat="1" applyFont="1" applyBorder="1" applyAlignment="1">
      <alignment horizontal="center" vertical="center" wrapText="1"/>
    </xf>
    <xf numFmtId="3" fontId="22" fillId="0" borderId="15" xfId="11" applyNumberFormat="1" applyFont="1" applyBorder="1" applyAlignment="1">
      <alignment horizontal="center" vertical="center" wrapText="1"/>
    </xf>
    <xf numFmtId="3" fontId="22" fillId="0" borderId="16" xfId="11" applyNumberFormat="1" applyFont="1" applyBorder="1" applyAlignment="1">
      <alignment horizontal="center" vertical="center" wrapText="1"/>
    </xf>
    <xf numFmtId="3" fontId="22" fillId="0" borderId="17" xfId="11" applyNumberFormat="1" applyFont="1" applyBorder="1" applyAlignment="1">
      <alignment horizontal="center" vertical="center" wrapText="1"/>
    </xf>
    <xf numFmtId="0" fontId="22" fillId="7" borderId="6" xfId="11" applyFont="1" applyFill="1" applyBorder="1" applyAlignment="1">
      <alignment horizontal="center" vertical="center"/>
    </xf>
    <xf numFmtId="0" fontId="22" fillId="7" borderId="7" xfId="11" applyFont="1" applyFill="1" applyBorder="1" applyAlignment="1">
      <alignment horizontal="center" vertical="center"/>
    </xf>
    <xf numFmtId="0" fontId="22" fillId="7" borderId="44" xfId="11" applyFont="1" applyFill="1" applyBorder="1" applyAlignment="1">
      <alignment horizontal="center" vertical="center"/>
    </xf>
    <xf numFmtId="166" fontId="35" fillId="0" borderId="39" xfId="8" applyNumberFormat="1" applyFont="1" applyFill="1" applyBorder="1" applyAlignment="1">
      <alignment horizontal="center" vertical="center" wrapText="1"/>
    </xf>
    <xf numFmtId="166" fontId="35" fillId="0" borderId="32" xfId="8" applyNumberFormat="1" applyFont="1" applyFill="1" applyBorder="1" applyAlignment="1">
      <alignment horizontal="center" vertical="center" wrapText="1"/>
    </xf>
    <xf numFmtId="166" fontId="35" fillId="0" borderId="26" xfId="8" applyNumberFormat="1" applyFont="1" applyFill="1" applyBorder="1" applyAlignment="1">
      <alignment horizontal="center" vertical="center" wrapText="1"/>
    </xf>
    <xf numFmtId="166" fontId="35" fillId="0" borderId="38" xfId="8" applyNumberFormat="1" applyFont="1" applyFill="1" applyBorder="1" applyAlignment="1">
      <alignment horizontal="center" vertical="center" wrapText="1"/>
    </xf>
    <xf numFmtId="166" fontId="35" fillId="0" borderId="1" xfId="8" applyNumberFormat="1" applyFont="1" applyFill="1" applyBorder="1" applyAlignment="1">
      <alignment horizontal="center" vertical="center" wrapText="1"/>
    </xf>
    <xf numFmtId="166" fontId="35" fillId="0" borderId="25" xfId="8" applyNumberFormat="1" applyFont="1" applyFill="1" applyBorder="1" applyAlignment="1">
      <alignment horizontal="center" vertical="center" wrapText="1"/>
    </xf>
    <xf numFmtId="166" fontId="35" fillId="0" borderId="0" xfId="8" applyNumberFormat="1" applyFont="1" applyFill="1" applyAlignment="1">
      <alignment horizontal="center" vertical="center"/>
    </xf>
    <xf numFmtId="0" fontId="35" fillId="0" borderId="0" xfId="11" applyFont="1" applyAlignment="1">
      <alignment horizontal="center" vertical="center"/>
    </xf>
    <xf numFmtId="166" fontId="35" fillId="0" borderId="6" xfId="8" applyNumberFormat="1" applyFont="1" applyFill="1" applyBorder="1" applyAlignment="1">
      <alignment horizontal="center" vertical="center"/>
    </xf>
    <xf numFmtId="166" fontId="35" fillId="0" borderId="7" xfId="8" applyNumberFormat="1" applyFont="1" applyFill="1" applyBorder="1" applyAlignment="1">
      <alignment horizontal="center" vertical="center"/>
    </xf>
    <xf numFmtId="166" fontId="35" fillId="0" borderId="44" xfId="8" applyNumberFormat="1" applyFont="1" applyFill="1" applyBorder="1" applyAlignment="1">
      <alignment horizontal="center" vertical="center"/>
    </xf>
    <xf numFmtId="166" fontId="35" fillId="0" borderId="36" xfId="8" applyNumberFormat="1" applyFont="1" applyFill="1" applyBorder="1" applyAlignment="1">
      <alignment horizontal="center" vertical="center" wrapText="1"/>
    </xf>
    <xf numFmtId="166" fontId="35" fillId="0" borderId="37" xfId="8" applyNumberFormat="1" applyFont="1" applyFill="1" applyBorder="1" applyAlignment="1">
      <alignment horizontal="center" vertical="center" wrapText="1"/>
    </xf>
    <xf numFmtId="166" fontId="35" fillId="0" borderId="21" xfId="8" applyNumberFormat="1" applyFont="1" applyFill="1" applyBorder="1" applyAlignment="1">
      <alignment horizontal="center" vertical="center" wrapText="1"/>
    </xf>
    <xf numFmtId="166" fontId="35" fillId="0" borderId="15" xfId="8" applyNumberFormat="1" applyFont="1" applyFill="1" applyBorder="1" applyAlignment="1">
      <alignment horizontal="center" vertical="center" wrapText="1"/>
    </xf>
    <xf numFmtId="166" fontId="35" fillId="0" borderId="16" xfId="8" applyNumberFormat="1" applyFont="1" applyFill="1" applyBorder="1" applyAlignment="1">
      <alignment horizontal="center" vertical="center" wrapText="1"/>
    </xf>
    <xf numFmtId="166" fontId="35" fillId="0" borderId="17" xfId="8" applyNumberFormat="1" applyFont="1" applyFill="1" applyBorder="1" applyAlignment="1">
      <alignment horizontal="center" vertical="center" wrapText="1"/>
    </xf>
    <xf numFmtId="166" fontId="32" fillId="0" borderId="33" xfId="8" applyNumberFormat="1" applyFont="1" applyFill="1" applyBorder="1" applyAlignment="1">
      <alignment horizontal="center" vertical="center" wrapText="1"/>
    </xf>
    <xf numFmtId="166" fontId="32" fillId="0" borderId="27" xfId="8" applyNumberFormat="1" applyFont="1" applyFill="1" applyBorder="1" applyAlignment="1">
      <alignment horizontal="center" vertical="center" wrapText="1"/>
    </xf>
    <xf numFmtId="166" fontId="32" fillId="0" borderId="23" xfId="8" applyNumberFormat="1" applyFont="1" applyFill="1" applyBorder="1" applyAlignment="1">
      <alignment horizontal="center" vertical="center" wrapText="1"/>
    </xf>
    <xf numFmtId="0" fontId="28" fillId="0" borderId="0" xfId="11" applyFont="1" applyAlignment="1">
      <alignment horizontal="center" vertical="center"/>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164" fontId="25" fillId="0" borderId="0" xfId="1" applyFont="1" applyAlignment="1">
      <alignment horizontal="left" vertical="center" wrapText="1"/>
    </xf>
    <xf numFmtId="166" fontId="25"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00000000-0005-0000-0000-000007000000}"/>
    <cellStyle name="Normal 3" xfId="4" xr:uid="{00000000-0005-0000-0000-000008000000}"/>
    <cellStyle name="Normal 3 2" xfId="6" xr:uid="{00000000-0005-0000-0000-000009000000}"/>
    <cellStyle name="Percent" xfId="10" builtinId="5"/>
    <cellStyle name="Percent 3 2" xfId="7" xr:uid="{00000000-0005-0000-0000-00000B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42"/>
  <sheetViews>
    <sheetView tabSelected="1" zoomScale="70" zoomScaleNormal="70" workbookViewId="0">
      <pane xSplit="1" ySplit="9" topLeftCell="CF106" activePane="bottomRight" state="frozen"/>
      <selection activeCell="A8" sqref="A8"/>
      <selection pane="topRight" activeCell="B8" sqref="B8"/>
      <selection pane="bottomLeft" activeCell="A10" sqref="A10"/>
      <selection pane="bottomRight" activeCell="CN8" sqref="CN8:CS8"/>
    </sheetView>
  </sheetViews>
  <sheetFormatPr defaultColWidth="8.85546875" defaultRowHeight="15" x14ac:dyDescent="0.25"/>
  <cols>
    <col min="1" max="1" width="22" style="1" customWidth="1"/>
    <col min="2" max="2" width="14.85546875" style="723" customWidth="1"/>
    <col min="3" max="7" width="14.85546875" style="4" customWidth="1"/>
    <col min="8" max="8" width="8.85546875" style="727" customWidth="1"/>
    <col min="9" max="9" width="8.85546875" style="728" customWidth="1"/>
    <col min="10" max="10" width="10.28515625" style="728" customWidth="1"/>
    <col min="11" max="11" width="10.5703125" style="728" customWidth="1"/>
    <col min="12" max="12" width="13.28515625" style="728" customWidth="1"/>
    <col min="13" max="13" width="16.7109375" style="728" customWidth="1"/>
    <col min="14" max="14" width="8.85546875" style="727" customWidth="1"/>
    <col min="15" max="15" width="8.85546875" style="728" customWidth="1"/>
    <col min="16" max="16" width="11" style="728" customWidth="1"/>
    <col min="17" max="17" width="12.140625" style="728" customWidth="1"/>
    <col min="18" max="18" width="11.42578125" style="728" customWidth="1"/>
    <col min="19" max="19" width="16.7109375" style="728" customWidth="1"/>
    <col min="20" max="20" width="8.85546875" style="730" customWidth="1"/>
    <col min="21" max="21" width="10.85546875" style="728" customWidth="1"/>
    <col min="22" max="22" width="10.140625" style="728" customWidth="1"/>
    <col min="23" max="23" width="12.140625" style="728" customWidth="1"/>
    <col min="24" max="24" width="14.28515625" style="728" customWidth="1"/>
    <col min="25" max="25" width="18.85546875" style="728" customWidth="1"/>
    <col min="26" max="26" width="8.85546875" style="732" customWidth="1"/>
    <col min="27" max="27" width="9.5703125" style="731" customWidth="1"/>
    <col min="28" max="28" width="8.85546875" style="731" customWidth="1"/>
    <col min="29" max="29" width="10.5703125" style="731" customWidth="1"/>
    <col min="30" max="30" width="9.85546875" style="731" customWidth="1"/>
    <col min="31" max="31" width="15" style="731" customWidth="1"/>
    <col min="32" max="32" width="8.85546875" style="727" customWidth="1"/>
    <col min="33" max="33" width="8.85546875" style="728" customWidth="1"/>
    <col min="34" max="34" width="10.7109375" style="728" customWidth="1"/>
    <col min="35" max="35" width="11" style="728" customWidth="1"/>
    <col min="36" max="36" width="10.85546875" style="728" customWidth="1"/>
    <col min="37" max="37" width="15.7109375" style="728" customWidth="1"/>
    <col min="38" max="38" width="8.85546875" style="727" customWidth="1"/>
    <col min="39" max="40" width="8.85546875" style="728" customWidth="1"/>
    <col min="41" max="41" width="10.42578125" style="728" customWidth="1"/>
    <col min="42" max="42" width="10.7109375" style="728" customWidth="1"/>
    <col min="43" max="43" width="15.7109375" style="728" customWidth="1"/>
    <col min="44" max="44" width="8.85546875" style="727" customWidth="1"/>
    <col min="45" max="45" width="8.85546875" style="728" customWidth="1"/>
    <col min="46" max="46" width="9.7109375" style="728" customWidth="1"/>
    <col min="47" max="47" width="10.85546875" style="728" customWidth="1"/>
    <col min="48" max="48" width="10.7109375" style="728" customWidth="1"/>
    <col min="49" max="49" width="18.140625" style="728" customWidth="1"/>
    <col min="50" max="50" width="8.85546875" style="727" customWidth="1"/>
    <col min="51" max="52" width="8.85546875" style="728" customWidth="1"/>
    <col min="53" max="54" width="10.85546875" style="728" customWidth="1"/>
    <col min="55" max="55" width="15.5703125" style="728" customWidth="1"/>
    <col min="56" max="56" width="8.85546875" style="727" customWidth="1"/>
    <col min="57" max="60" width="8.85546875" style="728" customWidth="1"/>
    <col min="61" max="61" width="13.7109375" style="728" customWidth="1"/>
    <col min="62" max="66" width="8.85546875" customWidth="1"/>
    <col min="67" max="67" width="13.7109375" customWidth="1"/>
    <col min="68" max="68" width="8.85546875" style="727" customWidth="1"/>
    <col min="69" max="70" width="8.85546875" style="728" customWidth="1"/>
    <col min="71" max="71" width="12.140625" style="728" customWidth="1"/>
    <col min="72" max="72" width="10" style="728" customWidth="1"/>
    <col min="73" max="73" width="14.5703125" style="728" customWidth="1"/>
    <col min="74" max="74" width="8.85546875" style="727" customWidth="1"/>
    <col min="75" max="76" width="8.85546875" style="728" customWidth="1"/>
    <col min="77" max="77" width="12.140625" style="728" bestFit="1" customWidth="1"/>
    <col min="78" max="78" width="10" style="728" bestFit="1" customWidth="1"/>
    <col min="79" max="79" width="15.42578125" style="728" customWidth="1"/>
    <col min="80" max="80" width="8.85546875" style="727" customWidth="1"/>
    <col min="81" max="82" width="8.85546875" style="728" customWidth="1"/>
    <col min="83" max="83" width="12.140625" style="728" customWidth="1"/>
    <col min="84" max="84" width="9.5703125" style="728" customWidth="1"/>
    <col min="85" max="85" width="16.28515625" style="728" customWidth="1"/>
    <col min="86" max="86" width="8.85546875" style="727" customWidth="1"/>
    <col min="87" max="88" width="8.85546875" style="728" customWidth="1"/>
    <col min="89" max="89" width="12.140625" style="728" bestFit="1" customWidth="1"/>
    <col min="90" max="90" width="10" style="728" bestFit="1" customWidth="1"/>
    <col min="91" max="91" width="14.28515625" style="728" bestFit="1" customWidth="1"/>
    <col min="92" max="92" width="8.85546875" style="727" customWidth="1"/>
    <col min="93" max="94" width="8.85546875" style="728" customWidth="1"/>
    <col min="95" max="95" width="12.140625" style="728" bestFit="1" customWidth="1"/>
    <col min="96" max="96" width="10.5703125" style="728" bestFit="1" customWidth="1"/>
    <col min="97" max="97" width="15.28515625" style="728" bestFit="1" customWidth="1"/>
  </cols>
  <sheetData>
    <row r="1" spans="1:97" ht="15" hidden="1" customHeight="1" x14ac:dyDescent="0.25"/>
    <row r="2" spans="1:97" ht="15" hidden="1" customHeight="1" x14ac:dyDescent="0.25"/>
    <row r="3" spans="1:97" ht="15" hidden="1" customHeight="1" x14ac:dyDescent="0.25"/>
    <row r="4" spans="1:97" ht="15" hidden="1" customHeight="1" x14ac:dyDescent="0.25"/>
    <row r="5" spans="1:97" ht="15" hidden="1" customHeight="1" x14ac:dyDescent="0.25"/>
    <row r="6" spans="1:97" ht="15" hidden="1" customHeight="1" x14ac:dyDescent="0.25"/>
    <row r="7" spans="1:97" ht="15" hidden="1" customHeight="1" thickBot="1" x14ac:dyDescent="0.3"/>
    <row r="8" spans="1:97" ht="39.950000000000003" customHeight="1" x14ac:dyDescent="0.25">
      <c r="A8" s="708"/>
      <c r="B8" s="735" t="s">
        <v>460</v>
      </c>
      <c r="C8" s="736"/>
      <c r="D8" s="736"/>
      <c r="E8" s="736"/>
      <c r="F8" s="736"/>
      <c r="G8" s="737"/>
      <c r="H8" s="735" t="s">
        <v>461</v>
      </c>
      <c r="I8" s="736"/>
      <c r="J8" s="736"/>
      <c r="K8" s="736"/>
      <c r="L8" s="736"/>
      <c r="M8" s="737"/>
      <c r="N8" s="735" t="s">
        <v>463</v>
      </c>
      <c r="O8" s="736"/>
      <c r="P8" s="736"/>
      <c r="Q8" s="736"/>
      <c r="R8" s="736"/>
      <c r="S8" s="737"/>
      <c r="T8" s="735" t="s">
        <v>464</v>
      </c>
      <c r="U8" s="736"/>
      <c r="V8" s="736"/>
      <c r="W8" s="736"/>
      <c r="X8" s="736"/>
      <c r="Y8" s="737"/>
      <c r="Z8" s="735" t="s">
        <v>465</v>
      </c>
      <c r="AA8" s="736"/>
      <c r="AB8" s="736"/>
      <c r="AC8" s="736"/>
      <c r="AD8" s="736"/>
      <c r="AE8" s="737"/>
      <c r="AF8" s="735" t="s">
        <v>466</v>
      </c>
      <c r="AG8" s="736"/>
      <c r="AH8" s="736"/>
      <c r="AI8" s="736"/>
      <c r="AJ8" s="736"/>
      <c r="AK8" s="737"/>
      <c r="AL8" s="735" t="s">
        <v>467</v>
      </c>
      <c r="AM8" s="736"/>
      <c r="AN8" s="736"/>
      <c r="AO8" s="736"/>
      <c r="AP8" s="736"/>
      <c r="AQ8" s="737"/>
      <c r="AR8" s="735" t="s">
        <v>468</v>
      </c>
      <c r="AS8" s="736"/>
      <c r="AT8" s="736"/>
      <c r="AU8" s="736"/>
      <c r="AV8" s="736"/>
      <c r="AW8" s="737"/>
      <c r="AX8" s="735" t="s">
        <v>469</v>
      </c>
      <c r="AY8" s="736"/>
      <c r="AZ8" s="736"/>
      <c r="BA8" s="736"/>
      <c r="BB8" s="736"/>
      <c r="BC8" s="737"/>
      <c r="BD8" s="735" t="s">
        <v>470</v>
      </c>
      <c r="BE8" s="736"/>
      <c r="BF8" s="736"/>
      <c r="BG8" s="736"/>
      <c r="BH8" s="736"/>
      <c r="BI8" s="737"/>
      <c r="BJ8" s="735" t="s">
        <v>471</v>
      </c>
      <c r="BK8" s="736"/>
      <c r="BL8" s="736"/>
      <c r="BM8" s="736"/>
      <c r="BN8" s="736"/>
      <c r="BO8" s="737"/>
      <c r="BP8" s="735" t="s">
        <v>472</v>
      </c>
      <c r="BQ8" s="736"/>
      <c r="BR8" s="736"/>
      <c r="BS8" s="736"/>
      <c r="BT8" s="736"/>
      <c r="BU8" s="737"/>
      <c r="BV8" s="735" t="s">
        <v>473</v>
      </c>
      <c r="BW8" s="736"/>
      <c r="BX8" s="736"/>
      <c r="BY8" s="736"/>
      <c r="BZ8" s="736"/>
      <c r="CA8" s="737"/>
      <c r="CB8" s="735" t="s">
        <v>474</v>
      </c>
      <c r="CC8" s="736"/>
      <c r="CD8" s="736"/>
      <c r="CE8" s="736"/>
      <c r="CF8" s="736"/>
      <c r="CG8" s="737"/>
      <c r="CH8" s="735" t="s">
        <v>475</v>
      </c>
      <c r="CI8" s="736"/>
      <c r="CJ8" s="736"/>
      <c r="CK8" s="736"/>
      <c r="CL8" s="736"/>
      <c r="CM8" s="737"/>
      <c r="CN8" s="735" t="s">
        <v>476</v>
      </c>
      <c r="CO8" s="736"/>
      <c r="CP8" s="736"/>
      <c r="CQ8" s="736"/>
      <c r="CR8" s="736"/>
      <c r="CS8" s="737"/>
    </row>
    <row r="9" spans="1:97" s="2" customFormat="1" ht="48" customHeight="1" thickBot="1" x14ac:dyDescent="0.3">
      <c r="A9" s="710"/>
      <c r="B9" s="724" t="s">
        <v>6</v>
      </c>
      <c r="C9" s="711" t="s">
        <v>327</v>
      </c>
      <c r="D9" s="711" t="s">
        <v>328</v>
      </c>
      <c r="E9" s="711" t="s">
        <v>99</v>
      </c>
      <c r="F9" s="711" t="s">
        <v>95</v>
      </c>
      <c r="G9" s="713" t="s">
        <v>326</v>
      </c>
      <c r="H9" s="724" t="s">
        <v>6</v>
      </c>
      <c r="I9" s="711" t="s">
        <v>327</v>
      </c>
      <c r="J9" s="711" t="s">
        <v>328</v>
      </c>
      <c r="K9" s="711" t="s">
        <v>99</v>
      </c>
      <c r="L9" s="711" t="s">
        <v>95</v>
      </c>
      <c r="M9" s="713" t="s">
        <v>326</v>
      </c>
      <c r="N9" s="729" t="s">
        <v>6</v>
      </c>
      <c r="O9" s="711" t="s">
        <v>97</v>
      </c>
      <c r="P9" s="711" t="s">
        <v>98</v>
      </c>
      <c r="Q9" s="711" t="s">
        <v>99</v>
      </c>
      <c r="R9" s="711" t="s">
        <v>95</v>
      </c>
      <c r="S9" s="713" t="s">
        <v>96</v>
      </c>
      <c r="T9" s="729" t="s">
        <v>6</v>
      </c>
      <c r="U9" s="711" t="s">
        <v>97</v>
      </c>
      <c r="V9" s="711" t="s">
        <v>98</v>
      </c>
      <c r="W9" s="711" t="s">
        <v>99</v>
      </c>
      <c r="X9" s="711" t="s">
        <v>95</v>
      </c>
      <c r="Y9" s="713" t="s">
        <v>96</v>
      </c>
      <c r="Z9" s="729" t="s">
        <v>6</v>
      </c>
      <c r="AA9" s="711" t="s">
        <v>97</v>
      </c>
      <c r="AB9" s="711" t="s">
        <v>98</v>
      </c>
      <c r="AC9" s="711" t="s">
        <v>99</v>
      </c>
      <c r="AD9" s="711" t="s">
        <v>95</v>
      </c>
      <c r="AE9" s="713" t="s">
        <v>96</v>
      </c>
      <c r="AF9" s="729" t="s">
        <v>6</v>
      </c>
      <c r="AG9" s="711" t="s">
        <v>97</v>
      </c>
      <c r="AH9" s="711" t="s">
        <v>98</v>
      </c>
      <c r="AI9" s="711" t="s">
        <v>99</v>
      </c>
      <c r="AJ9" s="711" t="s">
        <v>95</v>
      </c>
      <c r="AK9" s="713" t="s">
        <v>96</v>
      </c>
      <c r="AL9" s="729" t="s">
        <v>6</v>
      </c>
      <c r="AM9" s="711" t="s">
        <v>97</v>
      </c>
      <c r="AN9" s="711" t="s">
        <v>98</v>
      </c>
      <c r="AO9" s="711" t="s">
        <v>99</v>
      </c>
      <c r="AP9" s="711" t="s">
        <v>95</v>
      </c>
      <c r="AQ9" s="713" t="s">
        <v>96</v>
      </c>
      <c r="AR9" s="729" t="s">
        <v>6</v>
      </c>
      <c r="AS9" s="711" t="s">
        <v>97</v>
      </c>
      <c r="AT9" s="711" t="s">
        <v>98</v>
      </c>
      <c r="AU9" s="711" t="s">
        <v>99</v>
      </c>
      <c r="AV9" s="711" t="s">
        <v>95</v>
      </c>
      <c r="AW9" s="713" t="s">
        <v>96</v>
      </c>
      <c r="AX9" s="729" t="s">
        <v>6</v>
      </c>
      <c r="AY9" s="711" t="s">
        <v>97</v>
      </c>
      <c r="AZ9" s="711" t="s">
        <v>98</v>
      </c>
      <c r="BA9" s="711" t="s">
        <v>99</v>
      </c>
      <c r="BB9" s="711" t="s">
        <v>95</v>
      </c>
      <c r="BC9" s="713" t="s">
        <v>96</v>
      </c>
      <c r="BD9" s="729" t="s">
        <v>6</v>
      </c>
      <c r="BE9" s="711" t="s">
        <v>97</v>
      </c>
      <c r="BF9" s="711" t="s">
        <v>98</v>
      </c>
      <c r="BG9" s="711" t="s">
        <v>99</v>
      </c>
      <c r="BH9" s="711" t="s">
        <v>95</v>
      </c>
      <c r="BI9" s="713" t="s">
        <v>96</v>
      </c>
      <c r="BJ9" s="712" t="s">
        <v>6</v>
      </c>
      <c r="BK9" s="711" t="s">
        <v>97</v>
      </c>
      <c r="BL9" s="711" t="s">
        <v>98</v>
      </c>
      <c r="BM9" s="711" t="s">
        <v>99</v>
      </c>
      <c r="BN9" s="711" t="s">
        <v>95</v>
      </c>
      <c r="BO9" s="713" t="s">
        <v>96</v>
      </c>
      <c r="BP9" s="729" t="s">
        <v>6</v>
      </c>
      <c r="BQ9" s="711" t="s">
        <v>97</v>
      </c>
      <c r="BR9" s="711" t="s">
        <v>98</v>
      </c>
      <c r="BS9" s="711" t="s">
        <v>99</v>
      </c>
      <c r="BT9" s="711" t="s">
        <v>95</v>
      </c>
      <c r="BU9" s="713" t="s">
        <v>96</v>
      </c>
      <c r="BV9" s="729" t="s">
        <v>6</v>
      </c>
      <c r="BW9" s="711" t="s">
        <v>97</v>
      </c>
      <c r="BX9" s="711" t="s">
        <v>98</v>
      </c>
      <c r="BY9" s="711" t="s">
        <v>99</v>
      </c>
      <c r="BZ9" s="711" t="s">
        <v>95</v>
      </c>
      <c r="CA9" s="713" t="s">
        <v>96</v>
      </c>
      <c r="CB9" s="729" t="s">
        <v>6</v>
      </c>
      <c r="CC9" s="711" t="s">
        <v>97</v>
      </c>
      <c r="CD9" s="711" t="s">
        <v>98</v>
      </c>
      <c r="CE9" s="711" t="s">
        <v>99</v>
      </c>
      <c r="CF9" s="711" t="s">
        <v>95</v>
      </c>
      <c r="CG9" s="713" t="s">
        <v>96</v>
      </c>
      <c r="CH9" s="729" t="s">
        <v>6</v>
      </c>
      <c r="CI9" s="711" t="s">
        <v>97</v>
      </c>
      <c r="CJ9" s="711" t="s">
        <v>98</v>
      </c>
      <c r="CK9" s="711" t="s">
        <v>99</v>
      </c>
      <c r="CL9" s="711" t="s">
        <v>95</v>
      </c>
      <c r="CM9" s="713" t="s">
        <v>96</v>
      </c>
      <c r="CN9" s="729" t="s">
        <v>6</v>
      </c>
      <c r="CO9" s="711" t="s">
        <v>97</v>
      </c>
      <c r="CP9" s="711" t="s">
        <v>98</v>
      </c>
      <c r="CQ9" s="711" t="s">
        <v>99</v>
      </c>
      <c r="CR9" s="711" t="s">
        <v>95</v>
      </c>
      <c r="CS9" s="713" t="s">
        <v>96</v>
      </c>
    </row>
    <row r="10" spans="1:97" s="719" customFormat="1" ht="16.5" x14ac:dyDescent="0.3">
      <c r="A10" s="714" t="s">
        <v>329</v>
      </c>
      <c r="B10" s="726">
        <f t="shared" ref="B10:S10" si="0">SUM(B11:B18)</f>
        <v>0</v>
      </c>
      <c r="C10" s="722">
        <f t="shared" si="0"/>
        <v>0</v>
      </c>
      <c r="D10" s="722">
        <f t="shared" si="0"/>
        <v>0</v>
      </c>
      <c r="E10" s="717">
        <f t="shared" si="0"/>
        <v>0</v>
      </c>
      <c r="F10" s="717">
        <f t="shared" si="0"/>
        <v>0</v>
      </c>
      <c r="G10" s="718">
        <f t="shared" si="0"/>
        <v>0</v>
      </c>
      <c r="H10" s="726">
        <f t="shared" si="0"/>
        <v>337</v>
      </c>
      <c r="I10" s="722">
        <f t="shared" si="0"/>
        <v>0</v>
      </c>
      <c r="J10" s="722">
        <f t="shared" si="0"/>
        <v>380.5</v>
      </c>
      <c r="K10" s="717">
        <f t="shared" si="0"/>
        <v>380.5</v>
      </c>
      <c r="L10" s="717">
        <f t="shared" si="0"/>
        <v>622.03</v>
      </c>
      <c r="M10" s="718">
        <f t="shared" si="0"/>
        <v>10656638.5</v>
      </c>
      <c r="N10" s="726">
        <f t="shared" si="0"/>
        <v>453</v>
      </c>
      <c r="O10" s="722">
        <f t="shared" si="0"/>
        <v>6.25</v>
      </c>
      <c r="P10" s="722">
        <f t="shared" si="0"/>
        <v>518.5</v>
      </c>
      <c r="Q10" s="717">
        <f t="shared" si="0"/>
        <v>524.75</v>
      </c>
      <c r="R10" s="717">
        <f t="shared" si="0"/>
        <v>351.39</v>
      </c>
      <c r="S10" s="718">
        <f t="shared" si="0"/>
        <v>5730126</v>
      </c>
      <c r="T10" s="726">
        <f t="shared" ref="T10:AK10" si="1">SUM(T11:T18)</f>
        <v>0</v>
      </c>
      <c r="U10" s="722">
        <f t="shared" si="1"/>
        <v>1811.5</v>
      </c>
      <c r="V10" s="722">
        <f t="shared" si="1"/>
        <v>1881</v>
      </c>
      <c r="W10" s="717">
        <f t="shared" si="1"/>
        <v>3692.5</v>
      </c>
      <c r="X10" s="717">
        <f t="shared" si="1"/>
        <v>6654.9889999999996</v>
      </c>
      <c r="Y10" s="718">
        <f t="shared" si="1"/>
        <v>126751636.59999999</v>
      </c>
      <c r="Z10" s="726">
        <f t="shared" si="1"/>
        <v>0</v>
      </c>
      <c r="AA10" s="722">
        <f t="shared" si="1"/>
        <v>552.25</v>
      </c>
      <c r="AB10" s="722">
        <f t="shared" si="1"/>
        <v>1915.85</v>
      </c>
      <c r="AC10" s="717">
        <f t="shared" si="1"/>
        <v>2468.1</v>
      </c>
      <c r="AD10" s="717">
        <f t="shared" si="1"/>
        <v>1451.0500000000002</v>
      </c>
      <c r="AE10" s="718">
        <f t="shared" si="1"/>
        <v>48353075</v>
      </c>
      <c r="AF10" s="726">
        <f t="shared" si="1"/>
        <v>4822</v>
      </c>
      <c r="AG10" s="722">
        <f t="shared" si="1"/>
        <v>543</v>
      </c>
      <c r="AH10" s="722">
        <f t="shared" si="1"/>
        <v>6482.6500000000005</v>
      </c>
      <c r="AI10" s="717">
        <f t="shared" si="1"/>
        <v>7025.6500000000005</v>
      </c>
      <c r="AJ10" s="717">
        <f t="shared" si="1"/>
        <v>8307.1990000000005</v>
      </c>
      <c r="AK10" s="718">
        <f t="shared" si="1"/>
        <v>105330783.14000002</v>
      </c>
      <c r="AL10" s="726">
        <f t="shared" ref="AL10:BC10" si="2">SUM(AL11:AL18)</f>
        <v>0</v>
      </c>
      <c r="AM10" s="722">
        <f t="shared" si="2"/>
        <v>0</v>
      </c>
      <c r="AN10" s="722">
        <f t="shared" si="2"/>
        <v>0</v>
      </c>
      <c r="AO10" s="717">
        <f t="shared" si="2"/>
        <v>0</v>
      </c>
      <c r="AP10" s="717">
        <f t="shared" si="2"/>
        <v>0</v>
      </c>
      <c r="AQ10" s="718">
        <f t="shared" si="2"/>
        <v>0</v>
      </c>
      <c r="AR10" s="726">
        <f t="shared" si="2"/>
        <v>2325</v>
      </c>
      <c r="AS10" s="722">
        <f t="shared" si="2"/>
        <v>39.450000000000003</v>
      </c>
      <c r="AT10" s="722">
        <f t="shared" si="2"/>
        <v>2744.56</v>
      </c>
      <c r="AU10" s="717">
        <f t="shared" si="2"/>
        <v>2784.01</v>
      </c>
      <c r="AV10" s="717">
        <f t="shared" si="2"/>
        <v>4231.5657000000001</v>
      </c>
      <c r="AW10" s="718">
        <f t="shared" si="2"/>
        <v>80910150.172000006</v>
      </c>
      <c r="AX10" s="726">
        <f t="shared" si="2"/>
        <v>1035</v>
      </c>
      <c r="AY10" s="722">
        <f t="shared" si="2"/>
        <v>665</v>
      </c>
      <c r="AZ10" s="722">
        <f t="shared" si="2"/>
        <v>2209.9300000000003</v>
      </c>
      <c r="BA10" s="717">
        <f t="shared" si="2"/>
        <v>2874.9300000000003</v>
      </c>
      <c r="BB10" s="717">
        <f t="shared" si="2"/>
        <v>7294.5510000000004</v>
      </c>
      <c r="BC10" s="718">
        <f t="shared" si="2"/>
        <v>124904283.39999999</v>
      </c>
      <c r="BD10" s="726">
        <f t="shared" ref="BD10:BU10" si="3">SUM(BD11:BD18)</f>
        <v>0</v>
      </c>
      <c r="BE10" s="722">
        <f t="shared" si="3"/>
        <v>0</v>
      </c>
      <c r="BF10" s="722">
        <f t="shared" si="3"/>
        <v>0</v>
      </c>
      <c r="BG10" s="717">
        <f t="shared" si="3"/>
        <v>0</v>
      </c>
      <c r="BH10" s="717">
        <f t="shared" si="3"/>
        <v>0</v>
      </c>
      <c r="BI10" s="718">
        <f t="shared" si="3"/>
        <v>0</v>
      </c>
      <c r="BJ10" s="715">
        <f t="shared" si="3"/>
        <v>0</v>
      </c>
      <c r="BK10" s="716">
        <f t="shared" si="3"/>
        <v>0</v>
      </c>
      <c r="BL10" s="716">
        <f t="shared" si="3"/>
        <v>0</v>
      </c>
      <c r="BM10" s="717">
        <f t="shared" si="3"/>
        <v>0</v>
      </c>
      <c r="BN10" s="717">
        <f t="shared" si="3"/>
        <v>0</v>
      </c>
      <c r="BO10" s="718">
        <f t="shared" si="3"/>
        <v>0</v>
      </c>
      <c r="BP10" s="726">
        <f t="shared" si="3"/>
        <v>1096</v>
      </c>
      <c r="BQ10" s="722">
        <f t="shared" si="3"/>
        <v>187</v>
      </c>
      <c r="BR10" s="722">
        <f t="shared" si="3"/>
        <v>1080.0999999999999</v>
      </c>
      <c r="BS10" s="717">
        <f t="shared" si="3"/>
        <v>1267.0999999999999</v>
      </c>
      <c r="BT10" s="717">
        <f t="shared" si="3"/>
        <v>1675.0275000000001</v>
      </c>
      <c r="BU10" s="718">
        <f t="shared" si="3"/>
        <v>33931858.75</v>
      </c>
      <c r="BV10" s="726">
        <f t="shared" ref="BV10:CM10" si="4">SUM(BV11:BV18)</f>
        <v>316</v>
      </c>
      <c r="BW10" s="722">
        <f t="shared" si="4"/>
        <v>0</v>
      </c>
      <c r="BX10" s="722">
        <f t="shared" si="4"/>
        <v>377.08000000000004</v>
      </c>
      <c r="BY10" s="717">
        <f t="shared" si="4"/>
        <v>377.08000000000004</v>
      </c>
      <c r="BZ10" s="717">
        <f t="shared" si="4"/>
        <v>457.91474999999997</v>
      </c>
      <c r="CA10" s="718">
        <f t="shared" si="4"/>
        <v>6400746.6799999997</v>
      </c>
      <c r="CB10" s="726">
        <f t="shared" si="4"/>
        <v>254</v>
      </c>
      <c r="CC10" s="722">
        <f t="shared" si="4"/>
        <v>61.75</v>
      </c>
      <c r="CD10" s="722">
        <f t="shared" si="4"/>
        <v>222.2</v>
      </c>
      <c r="CE10" s="717">
        <f t="shared" si="4"/>
        <v>283.95</v>
      </c>
      <c r="CF10" s="717">
        <f t="shared" si="4"/>
        <v>396.21500000000003</v>
      </c>
      <c r="CG10" s="718">
        <f t="shared" si="4"/>
        <v>5561161.9900000002</v>
      </c>
      <c r="CH10" s="726">
        <f t="shared" si="4"/>
        <v>316</v>
      </c>
      <c r="CI10" s="722">
        <f t="shared" si="4"/>
        <v>0</v>
      </c>
      <c r="CJ10" s="722">
        <f t="shared" si="4"/>
        <v>377.08000000000004</v>
      </c>
      <c r="CK10" s="717">
        <f t="shared" si="4"/>
        <v>377.08000000000004</v>
      </c>
      <c r="CL10" s="717">
        <f t="shared" si="4"/>
        <v>457.91474999999997</v>
      </c>
      <c r="CM10" s="718">
        <f t="shared" si="4"/>
        <v>6400746.6799999997</v>
      </c>
      <c r="CN10" s="726">
        <f t="shared" ref="CN10:CS10" si="5">SUM(CN11:CN18)</f>
        <v>189</v>
      </c>
      <c r="CO10" s="722">
        <f t="shared" si="5"/>
        <v>0</v>
      </c>
      <c r="CP10" s="722">
        <f t="shared" si="5"/>
        <v>137.13</v>
      </c>
      <c r="CQ10" s="717">
        <f t="shared" si="5"/>
        <v>137.13</v>
      </c>
      <c r="CR10" s="717">
        <f t="shared" si="5"/>
        <v>105.7509</v>
      </c>
      <c r="CS10" s="718">
        <f t="shared" si="5"/>
        <v>1498496.8</v>
      </c>
    </row>
    <row r="11" spans="1:97" ht="16.5" x14ac:dyDescent="0.3">
      <c r="A11" s="709" t="s">
        <v>336</v>
      </c>
      <c r="B11" s="725"/>
      <c r="C11" s="3"/>
      <c r="D11" s="3"/>
      <c r="G11" s="7"/>
      <c r="H11" s="725">
        <v>56</v>
      </c>
      <c r="I11" s="3">
        <v>0</v>
      </c>
      <c r="J11" s="3">
        <v>50</v>
      </c>
      <c r="K11" s="4">
        <f t="shared" ref="K11:K18" si="6">SUM(I11:J11)</f>
        <v>50</v>
      </c>
      <c r="L11" s="4">
        <v>45.85</v>
      </c>
      <c r="M11" s="7">
        <v>861527.5</v>
      </c>
      <c r="N11" s="725"/>
      <c r="O11" s="3"/>
      <c r="P11" s="3"/>
      <c r="Q11" s="4">
        <f t="shared" ref="Q11:Q74" si="7">SUM(O11:P11)</f>
        <v>0</v>
      </c>
      <c r="R11" s="4"/>
      <c r="S11" s="7"/>
      <c r="T11" s="725">
        <v>0</v>
      </c>
      <c r="U11" s="3">
        <v>0</v>
      </c>
      <c r="V11" s="3">
        <v>114</v>
      </c>
      <c r="W11" s="4">
        <f t="shared" ref="W11:W74" si="8">SUM(U11:V11)</f>
        <v>114</v>
      </c>
      <c r="X11" s="4">
        <v>199.5</v>
      </c>
      <c r="Y11" s="7">
        <v>2793000</v>
      </c>
      <c r="Z11" s="725">
        <v>0</v>
      </c>
      <c r="AA11" s="3">
        <v>120</v>
      </c>
      <c r="AB11" s="3">
        <v>0</v>
      </c>
      <c r="AC11" s="4">
        <f t="shared" ref="AC11:AC74" si="9">SUM(AA11:AB11)</f>
        <v>120</v>
      </c>
      <c r="AD11" s="4">
        <v>0</v>
      </c>
      <c r="AE11" s="7">
        <v>3015840</v>
      </c>
      <c r="AF11" s="725">
        <v>493</v>
      </c>
      <c r="AG11" s="3">
        <v>0</v>
      </c>
      <c r="AH11" s="3">
        <v>493</v>
      </c>
      <c r="AI11" s="4">
        <f t="shared" ref="AI11:AI55" si="10">SUM(AG11:AH11)</f>
        <v>493</v>
      </c>
      <c r="AJ11" s="4">
        <v>255</v>
      </c>
      <c r="AK11" s="7">
        <v>4157597.6</v>
      </c>
      <c r="AL11" s="725"/>
      <c r="AM11" s="3"/>
      <c r="AN11" s="3"/>
      <c r="AO11" s="4">
        <f t="shared" ref="AO11:AO74" si="11">SUM(AM11:AN11)</f>
        <v>0</v>
      </c>
      <c r="AP11" s="4"/>
      <c r="AQ11" s="7"/>
      <c r="AR11" s="725">
        <v>600</v>
      </c>
      <c r="AS11" s="3">
        <v>0</v>
      </c>
      <c r="AT11" s="3">
        <v>615</v>
      </c>
      <c r="AU11" s="4">
        <f t="shared" ref="AU11:AU55" si="12">SUM(AS11:AT11)</f>
        <v>615</v>
      </c>
      <c r="AV11" s="4">
        <v>246</v>
      </c>
      <c r="AW11" s="7">
        <v>4428000</v>
      </c>
      <c r="AX11" s="725">
        <v>0</v>
      </c>
      <c r="AY11" s="3">
        <v>665</v>
      </c>
      <c r="AZ11" s="3">
        <v>0</v>
      </c>
      <c r="BA11" s="4">
        <f t="shared" ref="BA11:BA74" si="13">SUM(AY11:AZ11)</f>
        <v>665</v>
      </c>
      <c r="BB11" s="4">
        <v>2660.8</v>
      </c>
      <c r="BC11" s="7">
        <v>45916080</v>
      </c>
      <c r="BD11" s="725"/>
      <c r="BE11" s="3"/>
      <c r="BF11" s="3"/>
      <c r="BG11" s="4">
        <f t="shared" ref="BG11:BG74" si="14">SUM(BE11:BF11)</f>
        <v>0</v>
      </c>
      <c r="BH11" s="4"/>
      <c r="BI11" s="7"/>
      <c r="BJ11" s="6"/>
      <c r="BK11" s="5"/>
      <c r="BL11" s="5"/>
      <c r="BM11" s="4">
        <f t="shared" ref="BM11:BM74" si="15">SUM(BK11:BL11)</f>
        <v>0</v>
      </c>
      <c r="BN11" s="4"/>
      <c r="BO11" s="7"/>
      <c r="BP11" s="725">
        <v>145</v>
      </c>
      <c r="BQ11" s="3">
        <v>57</v>
      </c>
      <c r="BR11" s="3">
        <v>118</v>
      </c>
      <c r="BS11" s="4">
        <f t="shared" ref="BS11:BS74" si="16">SUM(BQ11:BR11)</f>
        <v>175</v>
      </c>
      <c r="BT11" s="4">
        <v>295</v>
      </c>
      <c r="BU11" s="7">
        <v>6447524</v>
      </c>
      <c r="BV11" s="725">
        <v>55</v>
      </c>
      <c r="BW11" s="3">
        <v>0</v>
      </c>
      <c r="BX11" s="3">
        <v>56.7</v>
      </c>
      <c r="BY11" s="4">
        <f t="shared" ref="BY11:BY18" si="17">SUM(BW11:BX11)</f>
        <v>56.7</v>
      </c>
      <c r="BZ11" s="4">
        <v>41.176500000000004</v>
      </c>
      <c r="CA11" s="7">
        <v>411765</v>
      </c>
      <c r="CB11" s="725">
        <v>25</v>
      </c>
      <c r="CC11" s="3">
        <v>28.5</v>
      </c>
      <c r="CD11" s="3">
        <v>0</v>
      </c>
      <c r="CE11" s="4">
        <f t="shared" ref="CE11:CE18" si="18">SUM(CC11:CD11)</f>
        <v>28.5</v>
      </c>
      <c r="CF11" s="4">
        <v>131</v>
      </c>
      <c r="CG11" s="7">
        <v>1310000</v>
      </c>
      <c r="CH11" s="725">
        <v>55</v>
      </c>
      <c r="CI11" s="3">
        <v>0</v>
      </c>
      <c r="CJ11" s="3">
        <v>56.7</v>
      </c>
      <c r="CK11" s="4">
        <f t="shared" ref="CK11:CK18" si="19">SUM(CI11:CJ11)</f>
        <v>56.7</v>
      </c>
      <c r="CL11" s="4">
        <v>41.176500000000004</v>
      </c>
      <c r="CM11" s="7">
        <v>411765</v>
      </c>
      <c r="CN11" s="725"/>
      <c r="CO11" s="3"/>
      <c r="CP11" s="3"/>
      <c r="CQ11" s="4">
        <f t="shared" ref="CQ11:CQ18" si="20">SUM(CO11:CP11)</f>
        <v>0</v>
      </c>
      <c r="CR11" s="4"/>
      <c r="CS11" s="7"/>
    </row>
    <row r="12" spans="1:97" ht="16.5" x14ac:dyDescent="0.3">
      <c r="A12" s="709" t="s">
        <v>337</v>
      </c>
      <c r="B12" s="725"/>
      <c r="C12" s="3"/>
      <c r="D12" s="3"/>
      <c r="G12" s="7"/>
      <c r="H12" s="725"/>
      <c r="I12" s="3"/>
      <c r="J12" s="3"/>
      <c r="K12" s="4">
        <f t="shared" si="6"/>
        <v>0</v>
      </c>
      <c r="L12" s="4"/>
      <c r="M12" s="7"/>
      <c r="N12" s="725">
        <v>278</v>
      </c>
      <c r="O12" s="3">
        <v>0</v>
      </c>
      <c r="P12" s="3">
        <v>348</v>
      </c>
      <c r="Q12" s="4">
        <f t="shared" si="7"/>
        <v>348</v>
      </c>
      <c r="R12" s="4">
        <v>141.31</v>
      </c>
      <c r="S12" s="7">
        <v>2119717.5</v>
      </c>
      <c r="T12" s="725">
        <v>0</v>
      </c>
      <c r="U12" s="3">
        <v>751</v>
      </c>
      <c r="V12" s="3">
        <v>541</v>
      </c>
      <c r="W12" s="4">
        <f t="shared" si="8"/>
        <v>1292</v>
      </c>
      <c r="X12" s="4">
        <v>819.31500000000005</v>
      </c>
      <c r="Y12" s="7">
        <v>32330346</v>
      </c>
      <c r="Z12" s="725">
        <v>0</v>
      </c>
      <c r="AA12" s="3">
        <v>158</v>
      </c>
      <c r="AB12" s="3">
        <v>803.85</v>
      </c>
      <c r="AC12" s="4">
        <f t="shared" si="9"/>
        <v>961.85</v>
      </c>
      <c r="AD12" s="4">
        <v>443.85</v>
      </c>
      <c r="AE12" s="7">
        <v>14017896</v>
      </c>
      <c r="AF12" s="725">
        <v>1195</v>
      </c>
      <c r="AG12" s="3">
        <v>25</v>
      </c>
      <c r="AH12" s="3">
        <v>1897.6</v>
      </c>
      <c r="AI12" s="4">
        <f t="shared" si="10"/>
        <v>1922.6</v>
      </c>
      <c r="AJ12" s="4">
        <v>1726.4745000000003</v>
      </c>
      <c r="AK12" s="7">
        <v>27286921.5</v>
      </c>
      <c r="AL12" s="725"/>
      <c r="AM12" s="3"/>
      <c r="AN12" s="3"/>
      <c r="AO12" s="4">
        <f t="shared" si="11"/>
        <v>0</v>
      </c>
      <c r="AP12" s="4"/>
      <c r="AQ12" s="7"/>
      <c r="AR12" s="725">
        <v>342</v>
      </c>
      <c r="AS12" s="3">
        <v>31.75</v>
      </c>
      <c r="AT12" s="3">
        <v>380.06</v>
      </c>
      <c r="AU12" s="4">
        <f t="shared" si="12"/>
        <v>411.81</v>
      </c>
      <c r="AV12" s="4">
        <v>387.73320000000001</v>
      </c>
      <c r="AW12" s="7">
        <v>8916172.8720000014</v>
      </c>
      <c r="AX12" s="725">
        <v>316</v>
      </c>
      <c r="AY12" s="3">
        <v>0</v>
      </c>
      <c r="AZ12" s="3">
        <v>412.68</v>
      </c>
      <c r="BA12" s="4">
        <f t="shared" si="13"/>
        <v>412.68</v>
      </c>
      <c r="BB12" s="4">
        <v>512.26599999999996</v>
      </c>
      <c r="BC12" s="7">
        <v>8708522</v>
      </c>
      <c r="BD12" s="725"/>
      <c r="BE12" s="3"/>
      <c r="BF12" s="3"/>
      <c r="BG12" s="4">
        <f t="shared" si="14"/>
        <v>0</v>
      </c>
      <c r="BH12" s="4"/>
      <c r="BI12" s="7"/>
      <c r="BJ12" s="8"/>
      <c r="BK12" s="3"/>
      <c r="BL12" s="3"/>
      <c r="BM12" s="4">
        <f t="shared" si="15"/>
        <v>0</v>
      </c>
      <c r="BN12" s="4"/>
      <c r="BO12" s="7"/>
      <c r="BP12" s="725">
        <v>98</v>
      </c>
      <c r="BQ12" s="3">
        <v>5</v>
      </c>
      <c r="BR12" s="3">
        <v>80</v>
      </c>
      <c r="BS12" s="4">
        <f t="shared" si="16"/>
        <v>85</v>
      </c>
      <c r="BT12" s="4">
        <v>80.75</v>
      </c>
      <c r="BU12" s="7">
        <v>1515507</v>
      </c>
      <c r="BV12" s="725">
        <v>23</v>
      </c>
      <c r="BW12" s="3">
        <v>0</v>
      </c>
      <c r="BX12" s="3">
        <v>22.58</v>
      </c>
      <c r="BY12" s="4">
        <f t="shared" si="17"/>
        <v>22.58</v>
      </c>
      <c r="BZ12" s="4">
        <v>36.499499999999998</v>
      </c>
      <c r="CA12" s="7">
        <v>474493.5</v>
      </c>
      <c r="CB12" s="725">
        <v>78</v>
      </c>
      <c r="CC12" s="3">
        <v>6.25</v>
      </c>
      <c r="CD12" s="3">
        <v>76.899999999999991</v>
      </c>
      <c r="CE12" s="4">
        <f t="shared" si="18"/>
        <v>83.149999999999991</v>
      </c>
      <c r="CF12" s="4">
        <v>133.29749999999999</v>
      </c>
      <c r="CG12" s="7">
        <v>1899949.2000000002</v>
      </c>
      <c r="CH12" s="725">
        <v>23</v>
      </c>
      <c r="CI12" s="3">
        <v>0</v>
      </c>
      <c r="CJ12" s="3">
        <v>22.58</v>
      </c>
      <c r="CK12" s="4">
        <f t="shared" si="19"/>
        <v>22.58</v>
      </c>
      <c r="CL12" s="4">
        <v>36.499499999999998</v>
      </c>
      <c r="CM12" s="7">
        <v>474493.5</v>
      </c>
      <c r="CN12" s="725"/>
      <c r="CO12" s="3"/>
      <c r="CP12" s="3"/>
      <c r="CQ12" s="4">
        <f t="shared" si="20"/>
        <v>0</v>
      </c>
      <c r="CR12" s="4"/>
      <c r="CS12" s="7"/>
    </row>
    <row r="13" spans="1:97" ht="16.5" x14ac:dyDescent="0.3">
      <c r="A13" s="709" t="s">
        <v>338</v>
      </c>
      <c r="B13" s="725"/>
      <c r="C13" s="3"/>
      <c r="D13" s="3"/>
      <c r="G13" s="7"/>
      <c r="H13" s="725"/>
      <c r="I13" s="3"/>
      <c r="J13" s="3"/>
      <c r="K13" s="4">
        <f t="shared" si="6"/>
        <v>0</v>
      </c>
      <c r="L13" s="4"/>
      <c r="M13" s="7"/>
      <c r="N13" s="725"/>
      <c r="O13" s="3"/>
      <c r="P13" s="3"/>
      <c r="Q13" s="4">
        <f t="shared" si="7"/>
        <v>0</v>
      </c>
      <c r="R13" s="4"/>
      <c r="S13" s="7"/>
      <c r="T13" s="725">
        <v>0</v>
      </c>
      <c r="U13" s="3">
        <v>90</v>
      </c>
      <c r="V13" s="3">
        <v>437</v>
      </c>
      <c r="W13" s="4">
        <f t="shared" si="8"/>
        <v>527</v>
      </c>
      <c r="X13" s="4">
        <v>926.58999999999992</v>
      </c>
      <c r="Y13" s="7">
        <v>17543938.399999999</v>
      </c>
      <c r="Z13" s="725">
        <v>0</v>
      </c>
      <c r="AA13" s="3">
        <v>124</v>
      </c>
      <c r="AB13" s="3">
        <v>1012</v>
      </c>
      <c r="AC13" s="4">
        <f t="shared" si="9"/>
        <v>1136</v>
      </c>
      <c r="AD13" s="4">
        <v>767.2</v>
      </c>
      <c r="AE13" s="7">
        <v>23614256</v>
      </c>
      <c r="AF13" s="725">
        <v>1538</v>
      </c>
      <c r="AG13" s="3">
        <v>414</v>
      </c>
      <c r="AH13" s="3">
        <v>1681.5</v>
      </c>
      <c r="AI13" s="4">
        <f t="shared" si="10"/>
        <v>2095.5</v>
      </c>
      <c r="AJ13" s="4">
        <v>2740.48875</v>
      </c>
      <c r="AK13" s="7">
        <v>43307436.850000001</v>
      </c>
      <c r="AL13" s="725"/>
      <c r="AM13" s="3"/>
      <c r="AN13" s="3"/>
      <c r="AO13" s="4">
        <f t="shared" si="11"/>
        <v>0</v>
      </c>
      <c r="AP13" s="4"/>
      <c r="AQ13" s="7"/>
      <c r="AR13" s="725"/>
      <c r="AS13" s="3"/>
      <c r="AT13" s="3"/>
      <c r="AU13" s="4">
        <f t="shared" si="12"/>
        <v>0</v>
      </c>
      <c r="AV13" s="4"/>
      <c r="AW13" s="7"/>
      <c r="AX13" s="725">
        <v>0</v>
      </c>
      <c r="AY13" s="3">
        <v>0</v>
      </c>
      <c r="AZ13" s="3">
        <v>736</v>
      </c>
      <c r="BA13" s="4">
        <f t="shared" si="13"/>
        <v>736</v>
      </c>
      <c r="BB13" s="4">
        <v>1427.5350000000001</v>
      </c>
      <c r="BC13" s="7">
        <v>24268095</v>
      </c>
      <c r="BD13" s="725"/>
      <c r="BE13" s="3"/>
      <c r="BF13" s="3"/>
      <c r="BG13" s="4">
        <f t="shared" si="14"/>
        <v>0</v>
      </c>
      <c r="BH13" s="4"/>
      <c r="BI13" s="7"/>
      <c r="BJ13" s="8"/>
      <c r="BK13" s="3"/>
      <c r="BL13" s="3"/>
      <c r="BM13" s="4">
        <f t="shared" si="15"/>
        <v>0</v>
      </c>
      <c r="BN13" s="4"/>
      <c r="BO13" s="7"/>
      <c r="BP13" s="725">
        <v>388</v>
      </c>
      <c r="BQ13" s="3">
        <v>0</v>
      </c>
      <c r="BR13" s="3">
        <v>454.5</v>
      </c>
      <c r="BS13" s="4">
        <f t="shared" si="16"/>
        <v>454.5</v>
      </c>
      <c r="BT13" s="4">
        <v>721.5</v>
      </c>
      <c r="BU13" s="7">
        <v>14010084</v>
      </c>
      <c r="BV13" s="725">
        <v>84</v>
      </c>
      <c r="BW13" s="3">
        <v>0</v>
      </c>
      <c r="BX13" s="3">
        <v>132.65</v>
      </c>
      <c r="BY13" s="4">
        <f t="shared" si="17"/>
        <v>132.65</v>
      </c>
      <c r="BZ13" s="4">
        <v>254.34249999999997</v>
      </c>
      <c r="CA13" s="7">
        <v>4003733.1799999997</v>
      </c>
      <c r="CB13" s="725"/>
      <c r="CC13" s="3"/>
      <c r="CD13" s="3"/>
      <c r="CE13" s="4">
        <f t="shared" si="18"/>
        <v>0</v>
      </c>
      <c r="CF13" s="4"/>
      <c r="CG13" s="7"/>
      <c r="CH13" s="725">
        <v>84</v>
      </c>
      <c r="CI13" s="3">
        <v>0</v>
      </c>
      <c r="CJ13" s="3">
        <v>132.65</v>
      </c>
      <c r="CK13" s="4">
        <f t="shared" si="19"/>
        <v>132.65</v>
      </c>
      <c r="CL13" s="4">
        <v>254.34249999999997</v>
      </c>
      <c r="CM13" s="7">
        <v>4003733.1799999997</v>
      </c>
      <c r="CN13" s="725"/>
      <c r="CO13" s="3"/>
      <c r="CP13" s="3"/>
      <c r="CQ13" s="4">
        <f t="shared" si="20"/>
        <v>0</v>
      </c>
      <c r="CR13" s="4"/>
      <c r="CS13" s="7"/>
    </row>
    <row r="14" spans="1:97" ht="16.5" x14ac:dyDescent="0.3">
      <c r="A14" s="709" t="s">
        <v>339</v>
      </c>
      <c r="B14" s="725"/>
      <c r="C14" s="3"/>
      <c r="D14" s="3"/>
      <c r="G14" s="7"/>
      <c r="H14" s="725"/>
      <c r="I14" s="3"/>
      <c r="J14" s="3"/>
      <c r="K14" s="4">
        <f t="shared" si="6"/>
        <v>0</v>
      </c>
      <c r="L14" s="4"/>
      <c r="M14" s="7"/>
      <c r="N14" s="725">
        <v>23</v>
      </c>
      <c r="O14" s="3">
        <v>0</v>
      </c>
      <c r="P14" s="3">
        <v>18</v>
      </c>
      <c r="Q14" s="4">
        <f t="shared" si="7"/>
        <v>18</v>
      </c>
      <c r="R14" s="4">
        <v>51.24</v>
      </c>
      <c r="S14" s="7">
        <v>768600</v>
      </c>
      <c r="T14" s="725">
        <v>0</v>
      </c>
      <c r="U14" s="3">
        <v>295</v>
      </c>
      <c r="V14" s="3">
        <v>0</v>
      </c>
      <c r="W14" s="4">
        <f t="shared" si="8"/>
        <v>295</v>
      </c>
      <c r="X14" s="4">
        <v>1104.1999999999998</v>
      </c>
      <c r="Y14" s="7">
        <v>14550599.999999998</v>
      </c>
      <c r="Z14" s="725"/>
      <c r="AA14" s="3"/>
      <c r="AB14" s="3"/>
      <c r="AC14" s="4">
        <f t="shared" si="9"/>
        <v>0</v>
      </c>
      <c r="AD14" s="4"/>
      <c r="AE14" s="7">
        <v>89000</v>
      </c>
      <c r="AF14" s="725">
        <v>90</v>
      </c>
      <c r="AG14" s="3">
        <v>10</v>
      </c>
      <c r="AH14" s="3">
        <v>120</v>
      </c>
      <c r="AI14" s="4">
        <f t="shared" si="10"/>
        <v>130</v>
      </c>
      <c r="AJ14" s="4">
        <v>1726.4745000000003</v>
      </c>
      <c r="AK14" s="7">
        <v>1595999.9999999998</v>
      </c>
      <c r="AL14" s="725"/>
      <c r="AM14" s="3"/>
      <c r="AN14" s="3"/>
      <c r="AO14" s="4">
        <f t="shared" si="11"/>
        <v>0</v>
      </c>
      <c r="AP14" s="4"/>
      <c r="AQ14" s="7"/>
      <c r="AR14" s="725">
        <v>391</v>
      </c>
      <c r="AS14" s="3">
        <v>0</v>
      </c>
      <c r="AT14" s="3">
        <v>506</v>
      </c>
      <c r="AU14" s="4">
        <f t="shared" si="12"/>
        <v>506</v>
      </c>
      <c r="AV14" s="4">
        <v>296.63</v>
      </c>
      <c r="AW14" s="7">
        <v>5635970</v>
      </c>
      <c r="AX14" s="725"/>
      <c r="AY14" s="3"/>
      <c r="AZ14" s="3"/>
      <c r="BA14" s="4">
        <f t="shared" si="13"/>
        <v>0</v>
      </c>
      <c r="BB14" s="4"/>
      <c r="BC14" s="7"/>
      <c r="BD14" s="725"/>
      <c r="BE14" s="3"/>
      <c r="BF14" s="3"/>
      <c r="BG14" s="4">
        <f t="shared" si="14"/>
        <v>0</v>
      </c>
      <c r="BH14" s="4"/>
      <c r="BI14" s="7"/>
      <c r="BJ14" s="8"/>
      <c r="BK14" s="3"/>
      <c r="BL14" s="3"/>
      <c r="BM14" s="4">
        <f t="shared" si="15"/>
        <v>0</v>
      </c>
      <c r="BN14" s="4"/>
      <c r="BO14" s="7"/>
      <c r="BP14" s="725">
        <v>3</v>
      </c>
      <c r="BQ14" s="3">
        <v>0</v>
      </c>
      <c r="BR14" s="3">
        <v>3</v>
      </c>
      <c r="BS14" s="4">
        <f t="shared" si="16"/>
        <v>3</v>
      </c>
      <c r="BT14" s="4">
        <v>12</v>
      </c>
      <c r="BU14" s="7">
        <v>228000</v>
      </c>
      <c r="BV14" s="725"/>
      <c r="BW14" s="3"/>
      <c r="BX14" s="3"/>
      <c r="BY14" s="4">
        <f t="shared" si="17"/>
        <v>0</v>
      </c>
      <c r="BZ14" s="4"/>
      <c r="CA14" s="7"/>
      <c r="CB14" s="725"/>
      <c r="CC14" s="3"/>
      <c r="CD14" s="3"/>
      <c r="CE14" s="4">
        <f t="shared" si="18"/>
        <v>0</v>
      </c>
      <c r="CF14" s="4"/>
      <c r="CG14" s="7"/>
      <c r="CH14" s="725"/>
      <c r="CI14" s="3"/>
      <c r="CJ14" s="3"/>
      <c r="CK14" s="4">
        <f t="shared" si="19"/>
        <v>0</v>
      </c>
      <c r="CL14" s="4"/>
      <c r="CM14" s="7"/>
      <c r="CN14" s="725"/>
      <c r="CO14" s="3"/>
      <c r="CP14" s="3"/>
      <c r="CQ14" s="4">
        <f t="shared" si="20"/>
        <v>0</v>
      </c>
      <c r="CR14" s="4"/>
      <c r="CS14" s="7"/>
    </row>
    <row r="15" spans="1:97" ht="16.5" x14ac:dyDescent="0.3">
      <c r="A15" s="709" t="s">
        <v>340</v>
      </c>
      <c r="B15" s="725"/>
      <c r="C15" s="3"/>
      <c r="D15" s="3"/>
      <c r="G15" s="7"/>
      <c r="H15" s="725">
        <v>31</v>
      </c>
      <c r="I15" s="3">
        <v>0</v>
      </c>
      <c r="J15" s="3">
        <v>23</v>
      </c>
      <c r="K15" s="4">
        <f t="shared" si="6"/>
        <v>23</v>
      </c>
      <c r="L15" s="4">
        <v>13.58</v>
      </c>
      <c r="M15" s="7">
        <v>230996</v>
      </c>
      <c r="N15" s="725"/>
      <c r="O15" s="3"/>
      <c r="P15" s="3"/>
      <c r="Q15" s="4">
        <f t="shared" si="7"/>
        <v>0</v>
      </c>
      <c r="R15" s="4"/>
      <c r="S15" s="7"/>
      <c r="T15" s="725">
        <v>0</v>
      </c>
      <c r="U15" s="3">
        <v>7.75</v>
      </c>
      <c r="V15" s="3">
        <v>60</v>
      </c>
      <c r="W15" s="4">
        <f t="shared" si="8"/>
        <v>67.75</v>
      </c>
      <c r="X15" s="4">
        <v>8.33</v>
      </c>
      <c r="Y15" s="7">
        <v>1105660</v>
      </c>
      <c r="Z15" s="725"/>
      <c r="AA15" s="3"/>
      <c r="AB15" s="3"/>
      <c r="AC15" s="4">
        <f t="shared" si="9"/>
        <v>0</v>
      </c>
      <c r="AD15" s="4"/>
      <c r="AE15" s="7"/>
      <c r="AF15" s="725">
        <v>252</v>
      </c>
      <c r="AG15" s="3">
        <v>0</v>
      </c>
      <c r="AH15" s="3">
        <v>252</v>
      </c>
      <c r="AI15" s="4">
        <f t="shared" si="10"/>
        <v>252</v>
      </c>
      <c r="AJ15" s="4">
        <v>158.19999999999999</v>
      </c>
      <c r="AK15" s="7">
        <v>2508059.2000000002</v>
      </c>
      <c r="AL15" s="725"/>
      <c r="AM15" s="3"/>
      <c r="AN15" s="3"/>
      <c r="AO15" s="4">
        <f t="shared" si="11"/>
        <v>0</v>
      </c>
      <c r="AP15" s="4"/>
      <c r="AQ15" s="7"/>
      <c r="AR15" s="725">
        <v>124</v>
      </c>
      <c r="AS15" s="3">
        <v>0</v>
      </c>
      <c r="AT15" s="3">
        <v>106.25</v>
      </c>
      <c r="AU15" s="4">
        <f t="shared" si="12"/>
        <v>106.25</v>
      </c>
      <c r="AV15" s="4">
        <v>74.875</v>
      </c>
      <c r="AW15" s="7">
        <v>1397653.7000000002</v>
      </c>
      <c r="AX15" s="725">
        <v>128</v>
      </c>
      <c r="AY15" s="3">
        <v>0</v>
      </c>
      <c r="AZ15" s="3">
        <v>112</v>
      </c>
      <c r="BA15" s="4">
        <f t="shared" si="13"/>
        <v>112</v>
      </c>
      <c r="BB15" s="4">
        <v>69</v>
      </c>
      <c r="BC15" s="7">
        <v>1258842.8</v>
      </c>
      <c r="BD15" s="725"/>
      <c r="BE15" s="3"/>
      <c r="BF15" s="3"/>
      <c r="BG15" s="4">
        <f t="shared" si="14"/>
        <v>0</v>
      </c>
      <c r="BH15" s="4"/>
      <c r="BI15" s="7"/>
      <c r="BJ15" s="8"/>
      <c r="BK15" s="3"/>
      <c r="BL15" s="3"/>
      <c r="BM15" s="4">
        <f t="shared" si="15"/>
        <v>0</v>
      </c>
      <c r="BN15" s="4"/>
      <c r="BO15" s="7"/>
      <c r="BP15" s="725"/>
      <c r="BQ15" s="3"/>
      <c r="BR15" s="3"/>
      <c r="BS15" s="4">
        <f t="shared" si="16"/>
        <v>0</v>
      </c>
      <c r="BT15" s="4"/>
      <c r="BU15" s="7"/>
      <c r="BV15" s="725"/>
      <c r="BW15" s="3"/>
      <c r="BX15" s="3"/>
      <c r="BY15" s="4">
        <f t="shared" si="17"/>
        <v>0</v>
      </c>
      <c r="BZ15" s="4"/>
      <c r="CA15" s="7"/>
      <c r="CB15" s="725">
        <v>55</v>
      </c>
      <c r="CC15" s="3">
        <v>0</v>
      </c>
      <c r="CD15" s="3">
        <v>52</v>
      </c>
      <c r="CE15" s="4">
        <f t="shared" si="18"/>
        <v>52</v>
      </c>
      <c r="CF15" s="4">
        <v>36.839999999999982</v>
      </c>
      <c r="CG15" s="7">
        <v>442080</v>
      </c>
      <c r="CH15" s="725"/>
      <c r="CI15" s="3"/>
      <c r="CJ15" s="3"/>
      <c r="CK15" s="4">
        <f t="shared" si="19"/>
        <v>0</v>
      </c>
      <c r="CL15" s="4"/>
      <c r="CM15" s="7">
        <v>0</v>
      </c>
      <c r="CN15" s="725">
        <v>103</v>
      </c>
      <c r="CO15" s="3">
        <v>0</v>
      </c>
      <c r="CP15" s="3">
        <v>54.730000000000004</v>
      </c>
      <c r="CQ15" s="4">
        <f t="shared" si="20"/>
        <v>54.730000000000004</v>
      </c>
      <c r="CR15" s="4">
        <v>22.4544</v>
      </c>
      <c r="CS15" s="7">
        <v>303202.8</v>
      </c>
    </row>
    <row r="16" spans="1:97" ht="16.5" x14ac:dyDescent="0.3">
      <c r="A16" s="709" t="s">
        <v>341</v>
      </c>
      <c r="B16" s="725"/>
      <c r="C16" s="3"/>
      <c r="D16" s="3"/>
      <c r="G16" s="7"/>
      <c r="H16" s="725">
        <v>250</v>
      </c>
      <c r="I16" s="3">
        <v>0</v>
      </c>
      <c r="J16" s="3">
        <v>307.5</v>
      </c>
      <c r="K16" s="4">
        <f t="shared" si="6"/>
        <v>307.5</v>
      </c>
      <c r="L16" s="4">
        <v>562.6</v>
      </c>
      <c r="M16" s="7">
        <v>9564115</v>
      </c>
      <c r="N16" s="725"/>
      <c r="O16" s="3"/>
      <c r="P16" s="3"/>
      <c r="Q16" s="4">
        <f t="shared" si="7"/>
        <v>0</v>
      </c>
      <c r="R16" s="4"/>
      <c r="S16" s="7"/>
      <c r="T16" s="725">
        <v>0</v>
      </c>
      <c r="U16" s="3">
        <v>590</v>
      </c>
      <c r="V16" s="3">
        <v>0</v>
      </c>
      <c r="W16" s="4">
        <f t="shared" si="8"/>
        <v>590</v>
      </c>
      <c r="X16" s="4">
        <v>2157.5</v>
      </c>
      <c r="Y16" s="7">
        <v>33864928</v>
      </c>
      <c r="Z16" s="725"/>
      <c r="AA16" s="3"/>
      <c r="AB16" s="3"/>
      <c r="AC16" s="4">
        <f t="shared" si="9"/>
        <v>0</v>
      </c>
      <c r="AD16" s="4"/>
      <c r="AE16" s="7"/>
      <c r="AF16" s="725">
        <v>710</v>
      </c>
      <c r="AG16" s="3">
        <v>0</v>
      </c>
      <c r="AH16" s="3">
        <v>1260</v>
      </c>
      <c r="AI16" s="4">
        <f t="shared" si="10"/>
        <v>1260</v>
      </c>
      <c r="AJ16" s="4">
        <v>1028.0999999999999</v>
      </c>
      <c r="AK16" s="7">
        <v>15852540</v>
      </c>
      <c r="AL16" s="725"/>
      <c r="AM16" s="3"/>
      <c r="AN16" s="3"/>
      <c r="AO16" s="4">
        <f t="shared" si="11"/>
        <v>0</v>
      </c>
      <c r="AP16" s="4"/>
      <c r="AQ16" s="7"/>
      <c r="AR16" s="725">
        <v>590</v>
      </c>
      <c r="AS16" s="3">
        <v>3.7</v>
      </c>
      <c r="AT16" s="3">
        <v>863</v>
      </c>
      <c r="AU16" s="4">
        <f t="shared" si="12"/>
        <v>866.7</v>
      </c>
      <c r="AV16" s="4">
        <v>2682.39</v>
      </c>
      <c r="AW16" s="7">
        <v>48513415.600000001</v>
      </c>
      <c r="AX16" s="725">
        <v>507</v>
      </c>
      <c r="AY16" s="3">
        <v>0</v>
      </c>
      <c r="AZ16" s="3">
        <v>790</v>
      </c>
      <c r="BA16" s="4">
        <f t="shared" si="13"/>
        <v>790</v>
      </c>
      <c r="BB16" s="4">
        <v>2379.7799999999997</v>
      </c>
      <c r="BC16" s="7">
        <v>40456260</v>
      </c>
      <c r="BD16" s="725"/>
      <c r="BE16" s="3"/>
      <c r="BF16" s="3"/>
      <c r="BG16" s="4">
        <f t="shared" si="14"/>
        <v>0</v>
      </c>
      <c r="BH16" s="4"/>
      <c r="BI16" s="7"/>
      <c r="BJ16" s="8"/>
      <c r="BK16" s="3"/>
      <c r="BL16" s="3"/>
      <c r="BM16" s="4">
        <f t="shared" si="15"/>
        <v>0</v>
      </c>
      <c r="BN16" s="4"/>
      <c r="BO16" s="7"/>
      <c r="BP16" s="725">
        <v>216</v>
      </c>
      <c r="BQ16" s="3">
        <v>0</v>
      </c>
      <c r="BR16" s="3">
        <v>290</v>
      </c>
      <c r="BS16" s="4">
        <f t="shared" si="16"/>
        <v>290</v>
      </c>
      <c r="BT16" s="4">
        <v>435</v>
      </c>
      <c r="BU16" s="7">
        <v>6535680</v>
      </c>
      <c r="BV16" s="725">
        <v>154</v>
      </c>
      <c r="BW16" s="3">
        <v>0</v>
      </c>
      <c r="BX16" s="3">
        <v>165.15</v>
      </c>
      <c r="BY16" s="4">
        <f t="shared" si="17"/>
        <v>165.15</v>
      </c>
      <c r="BZ16" s="4">
        <v>125.89625000000001</v>
      </c>
      <c r="CA16" s="7">
        <v>1510755</v>
      </c>
      <c r="CB16" s="725"/>
      <c r="CC16" s="3"/>
      <c r="CD16" s="3"/>
      <c r="CE16" s="4">
        <f t="shared" si="18"/>
        <v>0</v>
      </c>
      <c r="CF16" s="4"/>
      <c r="CG16" s="7"/>
      <c r="CH16" s="725">
        <v>154</v>
      </c>
      <c r="CI16" s="3">
        <v>0</v>
      </c>
      <c r="CJ16" s="3">
        <v>165.15</v>
      </c>
      <c r="CK16" s="4">
        <f t="shared" si="19"/>
        <v>165.15</v>
      </c>
      <c r="CL16" s="4">
        <v>125.89625000000001</v>
      </c>
      <c r="CM16" s="7">
        <v>1510755</v>
      </c>
      <c r="CN16" s="725">
        <v>74</v>
      </c>
      <c r="CO16" s="3">
        <v>0</v>
      </c>
      <c r="CP16" s="3">
        <v>65.5</v>
      </c>
      <c r="CQ16" s="4">
        <f t="shared" si="20"/>
        <v>65.5</v>
      </c>
      <c r="CR16" s="4">
        <v>55.360500000000002</v>
      </c>
      <c r="CS16" s="7">
        <v>832126</v>
      </c>
    </row>
    <row r="17" spans="1:97" ht="16.5" x14ac:dyDescent="0.3">
      <c r="A17" s="709" t="s">
        <v>342</v>
      </c>
      <c r="B17" s="725"/>
      <c r="C17" s="3"/>
      <c r="D17" s="3"/>
      <c r="G17" s="7"/>
      <c r="H17" s="725"/>
      <c r="I17" s="3"/>
      <c r="J17" s="3"/>
      <c r="K17" s="4">
        <f t="shared" si="6"/>
        <v>0</v>
      </c>
      <c r="L17" s="4"/>
      <c r="M17" s="7"/>
      <c r="N17" s="725">
        <v>93</v>
      </c>
      <c r="O17" s="3">
        <v>0</v>
      </c>
      <c r="P17" s="3">
        <v>92</v>
      </c>
      <c r="Q17" s="4">
        <f t="shared" si="7"/>
        <v>92</v>
      </c>
      <c r="R17" s="4">
        <v>128.31</v>
      </c>
      <c r="S17" s="7">
        <v>2100529</v>
      </c>
      <c r="T17" s="725">
        <v>0</v>
      </c>
      <c r="U17" s="3">
        <v>20</v>
      </c>
      <c r="V17" s="3">
        <v>100</v>
      </c>
      <c r="W17" s="4">
        <f t="shared" si="8"/>
        <v>120</v>
      </c>
      <c r="X17" s="4">
        <v>212.8</v>
      </c>
      <c r="Y17" s="7">
        <v>3855312.0000000005</v>
      </c>
      <c r="Z17" s="725"/>
      <c r="AA17" s="3"/>
      <c r="AB17" s="3"/>
      <c r="AC17" s="4">
        <f t="shared" si="9"/>
        <v>0</v>
      </c>
      <c r="AD17" s="4"/>
      <c r="AE17" s="7"/>
      <c r="AF17" s="725">
        <v>100</v>
      </c>
      <c r="AG17" s="3">
        <v>0</v>
      </c>
      <c r="AH17" s="3">
        <v>124.3</v>
      </c>
      <c r="AI17" s="4">
        <f t="shared" si="10"/>
        <v>124.3</v>
      </c>
      <c r="AJ17" s="4">
        <v>45.3</v>
      </c>
      <c r="AK17" s="7">
        <v>840868.04</v>
      </c>
      <c r="AL17" s="725"/>
      <c r="AM17" s="3"/>
      <c r="AN17" s="3"/>
      <c r="AO17" s="4">
        <f t="shared" si="11"/>
        <v>0</v>
      </c>
      <c r="AP17" s="4"/>
      <c r="AQ17" s="7"/>
      <c r="AR17" s="725">
        <v>215</v>
      </c>
      <c r="AS17" s="3">
        <v>2</v>
      </c>
      <c r="AT17" s="3">
        <v>170</v>
      </c>
      <c r="AU17" s="4">
        <f t="shared" si="12"/>
        <v>172</v>
      </c>
      <c r="AV17" s="4">
        <v>378</v>
      </c>
      <c r="AW17" s="7">
        <v>8423736</v>
      </c>
      <c r="AX17" s="725">
        <v>84</v>
      </c>
      <c r="AY17" s="3">
        <v>0</v>
      </c>
      <c r="AZ17" s="3">
        <v>91.75</v>
      </c>
      <c r="BA17" s="4">
        <f t="shared" si="13"/>
        <v>91.75</v>
      </c>
      <c r="BB17" s="4">
        <v>84.42</v>
      </c>
      <c r="BC17" s="7">
        <v>1563733.6</v>
      </c>
      <c r="BD17" s="725"/>
      <c r="BE17" s="3"/>
      <c r="BF17" s="3"/>
      <c r="BG17" s="4">
        <f t="shared" si="14"/>
        <v>0</v>
      </c>
      <c r="BH17" s="4"/>
      <c r="BI17" s="7"/>
      <c r="BJ17" s="8"/>
      <c r="BK17" s="3"/>
      <c r="BL17" s="3"/>
      <c r="BM17" s="4">
        <f t="shared" si="15"/>
        <v>0</v>
      </c>
      <c r="BN17" s="4"/>
      <c r="BO17" s="7"/>
      <c r="BP17" s="725">
        <v>90</v>
      </c>
      <c r="BQ17" s="3">
        <v>15</v>
      </c>
      <c r="BR17" s="3">
        <v>101</v>
      </c>
      <c r="BS17" s="4">
        <f t="shared" si="16"/>
        <v>116</v>
      </c>
      <c r="BT17" s="4">
        <v>77.752499999999998</v>
      </c>
      <c r="BU17" s="7">
        <v>1582143.75</v>
      </c>
      <c r="BV17" s="725"/>
      <c r="BW17" s="3"/>
      <c r="BX17" s="3"/>
      <c r="BY17" s="4">
        <f t="shared" si="17"/>
        <v>0</v>
      </c>
      <c r="BZ17" s="4"/>
      <c r="CA17" s="7"/>
      <c r="CB17" s="725">
        <v>26</v>
      </c>
      <c r="CC17" s="3">
        <v>0</v>
      </c>
      <c r="CD17" s="3">
        <v>19.75</v>
      </c>
      <c r="CE17" s="4">
        <f t="shared" si="18"/>
        <v>19.75</v>
      </c>
      <c r="CF17" s="4">
        <v>19.29</v>
      </c>
      <c r="CG17" s="7">
        <v>250770</v>
      </c>
      <c r="CH17" s="725"/>
      <c r="CI17" s="3"/>
      <c r="CJ17" s="3"/>
      <c r="CK17" s="4">
        <f t="shared" si="19"/>
        <v>0</v>
      </c>
      <c r="CL17" s="4"/>
      <c r="CM17" s="7"/>
      <c r="CN17" s="725">
        <v>12</v>
      </c>
      <c r="CO17" s="3">
        <v>0</v>
      </c>
      <c r="CP17" s="3">
        <v>16.899999999999999</v>
      </c>
      <c r="CQ17" s="4">
        <f t="shared" si="20"/>
        <v>16.899999999999999</v>
      </c>
      <c r="CR17" s="4">
        <v>27.936</v>
      </c>
      <c r="CS17" s="7">
        <v>363167.99999999994</v>
      </c>
    </row>
    <row r="18" spans="1:97" ht="16.5" x14ac:dyDescent="0.3">
      <c r="A18" s="709" t="s">
        <v>343</v>
      </c>
      <c r="B18" s="725"/>
      <c r="C18" s="3"/>
      <c r="D18" s="3"/>
      <c r="G18" s="7"/>
      <c r="H18" s="725"/>
      <c r="I18" s="3"/>
      <c r="J18" s="3"/>
      <c r="K18" s="4">
        <f t="shared" si="6"/>
        <v>0</v>
      </c>
      <c r="L18" s="4"/>
      <c r="M18" s="7"/>
      <c r="N18" s="725">
        <v>59</v>
      </c>
      <c r="O18" s="3">
        <v>6.25</v>
      </c>
      <c r="P18" s="3">
        <v>60.5</v>
      </c>
      <c r="Q18" s="4">
        <f t="shared" si="7"/>
        <v>66.75</v>
      </c>
      <c r="R18" s="4">
        <v>30.53</v>
      </c>
      <c r="S18" s="7">
        <v>741279.5</v>
      </c>
      <c r="T18" s="725">
        <v>0</v>
      </c>
      <c r="U18" s="3">
        <v>57.75</v>
      </c>
      <c r="V18" s="3">
        <v>629</v>
      </c>
      <c r="W18" s="4">
        <f t="shared" si="8"/>
        <v>686.75</v>
      </c>
      <c r="X18" s="4">
        <v>1226.7539999999999</v>
      </c>
      <c r="Y18" s="7">
        <v>20707852.199999999</v>
      </c>
      <c r="Z18" s="725">
        <v>0</v>
      </c>
      <c r="AA18" s="3">
        <v>150.25</v>
      </c>
      <c r="AB18" s="3">
        <v>100</v>
      </c>
      <c r="AC18" s="4">
        <f t="shared" si="9"/>
        <v>250.25</v>
      </c>
      <c r="AD18" s="4">
        <v>240</v>
      </c>
      <c r="AE18" s="7">
        <v>7616083</v>
      </c>
      <c r="AF18" s="725">
        <v>444</v>
      </c>
      <c r="AG18" s="3">
        <v>94</v>
      </c>
      <c r="AH18" s="3">
        <v>654.25</v>
      </c>
      <c r="AI18" s="4">
        <f t="shared" si="10"/>
        <v>748.25</v>
      </c>
      <c r="AJ18" s="4">
        <v>627.16125</v>
      </c>
      <c r="AK18" s="7">
        <v>9781359.9499999993</v>
      </c>
      <c r="AL18" s="725"/>
      <c r="AM18" s="3"/>
      <c r="AN18" s="3"/>
      <c r="AO18" s="4">
        <f t="shared" si="11"/>
        <v>0</v>
      </c>
      <c r="AP18" s="4"/>
      <c r="AQ18" s="7"/>
      <c r="AR18" s="725">
        <v>63</v>
      </c>
      <c r="AS18" s="3">
        <v>2</v>
      </c>
      <c r="AT18" s="3">
        <v>104.25</v>
      </c>
      <c r="AU18" s="4">
        <f t="shared" si="12"/>
        <v>106.25</v>
      </c>
      <c r="AV18" s="4">
        <v>165.9375</v>
      </c>
      <c r="AW18" s="7">
        <v>3595202</v>
      </c>
      <c r="AX18" s="725">
        <v>0</v>
      </c>
      <c r="AY18" s="3">
        <v>0</v>
      </c>
      <c r="AZ18" s="3">
        <v>67.5</v>
      </c>
      <c r="BA18" s="4">
        <f t="shared" si="13"/>
        <v>67.5</v>
      </c>
      <c r="BB18" s="4">
        <v>160.75</v>
      </c>
      <c r="BC18" s="7">
        <v>2732750</v>
      </c>
      <c r="BD18" s="725"/>
      <c r="BE18" s="3"/>
      <c r="BF18" s="3"/>
      <c r="BG18" s="4">
        <f t="shared" si="14"/>
        <v>0</v>
      </c>
      <c r="BH18" s="4"/>
      <c r="BI18" s="7"/>
      <c r="BJ18" s="8"/>
      <c r="BK18" s="3"/>
      <c r="BL18" s="3"/>
      <c r="BM18" s="4">
        <f t="shared" si="15"/>
        <v>0</v>
      </c>
      <c r="BN18" s="4"/>
      <c r="BO18" s="7"/>
      <c r="BP18" s="725">
        <v>156</v>
      </c>
      <c r="BQ18" s="3">
        <v>110</v>
      </c>
      <c r="BR18" s="3">
        <v>33.6</v>
      </c>
      <c r="BS18" s="4">
        <f t="shared" si="16"/>
        <v>143.6</v>
      </c>
      <c r="BT18" s="4">
        <v>53.024999999999999</v>
      </c>
      <c r="BU18" s="7">
        <v>3612920</v>
      </c>
      <c r="BV18" s="725"/>
      <c r="BW18" s="3"/>
      <c r="BX18" s="3"/>
      <c r="BY18" s="4">
        <f t="shared" si="17"/>
        <v>0</v>
      </c>
      <c r="BZ18" s="4"/>
      <c r="CA18" s="7"/>
      <c r="CB18" s="725">
        <v>70</v>
      </c>
      <c r="CC18" s="3">
        <v>27</v>
      </c>
      <c r="CD18" s="3">
        <v>73.550000000000011</v>
      </c>
      <c r="CE18" s="4">
        <f t="shared" si="18"/>
        <v>100.55000000000001</v>
      </c>
      <c r="CF18" s="4">
        <v>75.787499999999994</v>
      </c>
      <c r="CG18" s="7">
        <v>1658362.79</v>
      </c>
      <c r="CH18" s="725"/>
      <c r="CI18" s="3"/>
      <c r="CJ18" s="3"/>
      <c r="CK18" s="4">
        <f t="shared" si="19"/>
        <v>0</v>
      </c>
      <c r="CL18" s="4"/>
      <c r="CM18" s="7"/>
      <c r="CN18" s="725"/>
      <c r="CO18" s="3"/>
      <c r="CP18" s="3"/>
      <c r="CQ18" s="4">
        <f t="shared" si="20"/>
        <v>0</v>
      </c>
      <c r="CR18" s="4"/>
      <c r="CS18" s="7"/>
    </row>
    <row r="19" spans="1:97" s="719" customFormat="1" ht="16.5" x14ac:dyDescent="0.3">
      <c r="A19" s="720" t="s">
        <v>330</v>
      </c>
      <c r="B19" s="726">
        <f t="shared" ref="B19:S19" si="21">SUM(B20:B31)</f>
        <v>1277</v>
      </c>
      <c r="C19" s="722">
        <f t="shared" si="21"/>
        <v>6.75</v>
      </c>
      <c r="D19" s="722">
        <f t="shared" si="21"/>
        <v>882.5</v>
      </c>
      <c r="E19" s="717">
        <f t="shared" si="21"/>
        <v>889.25</v>
      </c>
      <c r="F19" s="717">
        <f t="shared" si="21"/>
        <v>892.16950000000008</v>
      </c>
      <c r="G19" s="718">
        <f t="shared" si="21"/>
        <v>21866462.5</v>
      </c>
      <c r="H19" s="726">
        <f t="shared" si="21"/>
        <v>1390</v>
      </c>
      <c r="I19" s="722">
        <f t="shared" si="21"/>
        <v>0</v>
      </c>
      <c r="J19" s="722">
        <f t="shared" si="21"/>
        <v>1835</v>
      </c>
      <c r="K19" s="717">
        <f t="shared" si="21"/>
        <v>1835</v>
      </c>
      <c r="L19" s="717">
        <f t="shared" si="21"/>
        <v>2965.45</v>
      </c>
      <c r="M19" s="718">
        <f t="shared" si="21"/>
        <v>50881425</v>
      </c>
      <c r="N19" s="726">
        <f t="shared" si="21"/>
        <v>250</v>
      </c>
      <c r="O19" s="722">
        <f t="shared" si="21"/>
        <v>0</v>
      </c>
      <c r="P19" s="722">
        <f t="shared" si="21"/>
        <v>806.75</v>
      </c>
      <c r="Q19" s="717">
        <f t="shared" si="21"/>
        <v>806.75</v>
      </c>
      <c r="R19" s="717">
        <f t="shared" si="21"/>
        <v>688.98</v>
      </c>
      <c r="S19" s="718">
        <f t="shared" si="21"/>
        <v>12000808</v>
      </c>
      <c r="T19" s="726">
        <f t="shared" ref="T19:AY19" si="22">SUM(T20:T31)</f>
        <v>8</v>
      </c>
      <c r="U19" s="722">
        <f t="shared" si="22"/>
        <v>153</v>
      </c>
      <c r="V19" s="722">
        <f t="shared" si="22"/>
        <v>6623.25</v>
      </c>
      <c r="W19" s="717">
        <f t="shared" si="22"/>
        <v>6776.25</v>
      </c>
      <c r="X19" s="717">
        <f t="shared" si="22"/>
        <v>15152.71</v>
      </c>
      <c r="Y19" s="718">
        <f t="shared" si="22"/>
        <v>262495693</v>
      </c>
      <c r="Z19" s="726">
        <f t="shared" si="22"/>
        <v>0</v>
      </c>
      <c r="AA19" s="722">
        <f t="shared" si="22"/>
        <v>0</v>
      </c>
      <c r="AB19" s="722">
        <f t="shared" si="22"/>
        <v>158.19999999999999</v>
      </c>
      <c r="AC19" s="717">
        <f t="shared" si="22"/>
        <v>158.19999999999999</v>
      </c>
      <c r="AD19" s="717">
        <f t="shared" si="22"/>
        <v>63.28</v>
      </c>
      <c r="AE19" s="718">
        <f t="shared" si="22"/>
        <v>1529420</v>
      </c>
      <c r="AF19" s="726">
        <f t="shared" si="22"/>
        <v>1972</v>
      </c>
      <c r="AG19" s="722">
        <f t="shared" si="22"/>
        <v>183.25</v>
      </c>
      <c r="AH19" s="722">
        <f t="shared" si="22"/>
        <v>2631</v>
      </c>
      <c r="AI19" s="717">
        <f t="shared" si="22"/>
        <v>2814.25</v>
      </c>
      <c r="AJ19" s="717">
        <f t="shared" si="22"/>
        <v>2503.5056249999998</v>
      </c>
      <c r="AK19" s="718">
        <f t="shared" si="22"/>
        <v>46027633.625</v>
      </c>
      <c r="AL19" s="726">
        <f t="shared" si="22"/>
        <v>145</v>
      </c>
      <c r="AM19" s="722">
        <f t="shared" si="22"/>
        <v>3</v>
      </c>
      <c r="AN19" s="722">
        <f t="shared" si="22"/>
        <v>57.5</v>
      </c>
      <c r="AO19" s="717">
        <f t="shared" si="22"/>
        <v>60.5</v>
      </c>
      <c r="AP19" s="717">
        <f t="shared" si="22"/>
        <v>93.19</v>
      </c>
      <c r="AQ19" s="718">
        <f t="shared" si="22"/>
        <v>2217759.5</v>
      </c>
      <c r="AR19" s="726">
        <f t="shared" si="22"/>
        <v>967</v>
      </c>
      <c r="AS19" s="722">
        <f t="shared" si="22"/>
        <v>0</v>
      </c>
      <c r="AT19" s="722">
        <f t="shared" si="22"/>
        <v>1205.25</v>
      </c>
      <c r="AU19" s="717">
        <f t="shared" si="22"/>
        <v>1205.25</v>
      </c>
      <c r="AV19" s="717">
        <f t="shared" si="22"/>
        <v>1496.7168750000001</v>
      </c>
      <c r="AW19" s="718">
        <f t="shared" si="22"/>
        <v>25713027.175000001</v>
      </c>
      <c r="AX19" s="726">
        <f t="shared" si="22"/>
        <v>61</v>
      </c>
      <c r="AY19" s="722">
        <f t="shared" si="22"/>
        <v>0</v>
      </c>
      <c r="AZ19" s="722">
        <f t="shared" ref="AZ19:BT19" si="23">SUM(AZ20:AZ31)</f>
        <v>47.75</v>
      </c>
      <c r="BA19" s="717">
        <f t="shared" si="23"/>
        <v>47.75</v>
      </c>
      <c r="BB19" s="717">
        <f t="shared" si="23"/>
        <v>50.0625</v>
      </c>
      <c r="BC19" s="718">
        <f t="shared" si="23"/>
        <v>851062.5</v>
      </c>
      <c r="BD19" s="726">
        <f t="shared" si="23"/>
        <v>0</v>
      </c>
      <c r="BE19" s="722">
        <f t="shared" si="23"/>
        <v>0</v>
      </c>
      <c r="BF19" s="722">
        <f t="shared" si="23"/>
        <v>0</v>
      </c>
      <c r="BG19" s="717">
        <f t="shared" si="23"/>
        <v>0</v>
      </c>
      <c r="BH19" s="717">
        <f t="shared" si="23"/>
        <v>0</v>
      </c>
      <c r="BI19" s="718">
        <f t="shared" si="23"/>
        <v>0</v>
      </c>
      <c r="BJ19" s="721">
        <f t="shared" si="23"/>
        <v>0</v>
      </c>
      <c r="BK19" s="722">
        <f t="shared" si="23"/>
        <v>0</v>
      </c>
      <c r="BL19" s="722">
        <f t="shared" si="23"/>
        <v>0</v>
      </c>
      <c r="BM19" s="717">
        <f t="shared" si="23"/>
        <v>0</v>
      </c>
      <c r="BN19" s="717">
        <f t="shared" si="23"/>
        <v>0</v>
      </c>
      <c r="BO19" s="718">
        <f t="shared" si="23"/>
        <v>0</v>
      </c>
      <c r="BP19" s="726">
        <f t="shared" si="23"/>
        <v>0</v>
      </c>
      <c r="BQ19" s="722">
        <f t="shared" si="23"/>
        <v>0</v>
      </c>
      <c r="BR19" s="722">
        <f t="shared" si="23"/>
        <v>0</v>
      </c>
      <c r="BS19" s="717">
        <f t="shared" si="23"/>
        <v>0</v>
      </c>
      <c r="BT19" s="717">
        <f t="shared" si="23"/>
        <v>0</v>
      </c>
      <c r="BU19" s="718">
        <f t="shared" ref="BU19:CF19" si="24">SUM(BU20:BU31)</f>
        <v>0</v>
      </c>
      <c r="BV19" s="726">
        <f t="shared" si="24"/>
        <v>344</v>
      </c>
      <c r="BW19" s="722">
        <f t="shared" si="24"/>
        <v>42.000000000000007</v>
      </c>
      <c r="BX19" s="722">
        <f t="shared" si="24"/>
        <v>308.2</v>
      </c>
      <c r="BY19" s="717">
        <f t="shared" si="24"/>
        <v>350.2</v>
      </c>
      <c r="BZ19" s="717">
        <f t="shared" si="24"/>
        <v>824.08499999999992</v>
      </c>
      <c r="CA19" s="718">
        <f t="shared" si="24"/>
        <v>12787451</v>
      </c>
      <c r="CB19" s="726">
        <f t="shared" si="24"/>
        <v>517</v>
      </c>
      <c r="CC19" s="722">
        <f t="shared" si="24"/>
        <v>58.25</v>
      </c>
      <c r="CD19" s="722">
        <f t="shared" si="24"/>
        <v>455.9</v>
      </c>
      <c r="CE19" s="717">
        <f t="shared" si="24"/>
        <v>514.15</v>
      </c>
      <c r="CF19" s="717">
        <f t="shared" si="24"/>
        <v>1656.3857</v>
      </c>
      <c r="CG19" s="718">
        <f t="shared" ref="CG19:CS19" si="25">SUM(CG20:CG31)</f>
        <v>41693690.524999999</v>
      </c>
      <c r="CH19" s="726">
        <f t="shared" si="25"/>
        <v>344</v>
      </c>
      <c r="CI19" s="722">
        <f t="shared" si="25"/>
        <v>42.000000000000007</v>
      </c>
      <c r="CJ19" s="722">
        <f t="shared" si="25"/>
        <v>308.2</v>
      </c>
      <c r="CK19" s="717">
        <f t="shared" si="25"/>
        <v>350.2</v>
      </c>
      <c r="CL19" s="717">
        <f t="shared" si="25"/>
        <v>824.08499999999992</v>
      </c>
      <c r="CM19" s="718">
        <f t="shared" si="25"/>
        <v>12787451</v>
      </c>
      <c r="CN19" s="726">
        <f t="shared" si="25"/>
        <v>641.5</v>
      </c>
      <c r="CO19" s="722">
        <f t="shared" si="25"/>
        <v>458.5</v>
      </c>
      <c r="CP19" s="722">
        <f t="shared" si="25"/>
        <v>229.7</v>
      </c>
      <c r="CQ19" s="717">
        <f t="shared" si="25"/>
        <v>688.2</v>
      </c>
      <c r="CR19" s="717">
        <f t="shared" si="25"/>
        <v>1993.0550000000001</v>
      </c>
      <c r="CS19" s="718">
        <f t="shared" si="25"/>
        <v>31255754.43</v>
      </c>
    </row>
    <row r="20" spans="1:97" ht="16.5" x14ac:dyDescent="0.3">
      <c r="A20" s="709" t="s">
        <v>344</v>
      </c>
      <c r="B20" s="725"/>
      <c r="C20" s="3">
        <v>0</v>
      </c>
      <c r="D20" s="3">
        <v>2</v>
      </c>
      <c r="E20" s="4">
        <f t="shared" ref="E20:E31" si="26">SUM(C20:D20)</f>
        <v>2</v>
      </c>
      <c r="F20" s="4">
        <v>5</v>
      </c>
      <c r="G20" s="7">
        <v>162000</v>
      </c>
      <c r="H20" s="725">
        <v>393</v>
      </c>
      <c r="I20" s="3">
        <v>0</v>
      </c>
      <c r="J20" s="3">
        <v>571</v>
      </c>
      <c r="K20" s="4">
        <f t="shared" ref="K20:K31" si="27">SUM(I20:J20)</f>
        <v>571</v>
      </c>
      <c r="L20" s="4">
        <v>1360</v>
      </c>
      <c r="M20" s="7">
        <v>23414975</v>
      </c>
      <c r="N20" s="725"/>
      <c r="O20" s="3"/>
      <c r="P20" s="3"/>
      <c r="Q20" s="4">
        <f t="shared" si="7"/>
        <v>0</v>
      </c>
      <c r="R20" s="4"/>
      <c r="S20" s="7"/>
      <c r="T20" s="725">
        <v>8</v>
      </c>
      <c r="U20" s="3">
        <v>0</v>
      </c>
      <c r="V20" s="3">
        <v>1986</v>
      </c>
      <c r="W20" s="4">
        <f t="shared" si="8"/>
        <v>1986</v>
      </c>
      <c r="X20" s="4">
        <v>4375</v>
      </c>
      <c r="Y20" s="7">
        <v>77965208</v>
      </c>
      <c r="Z20" s="725">
        <v>0</v>
      </c>
      <c r="AA20" s="3">
        <v>0</v>
      </c>
      <c r="AB20" s="3">
        <v>75</v>
      </c>
      <c r="AC20" s="4">
        <f t="shared" si="9"/>
        <v>75</v>
      </c>
      <c r="AD20" s="4">
        <v>30</v>
      </c>
      <c r="AE20" s="7">
        <v>905160</v>
      </c>
      <c r="AF20" s="725">
        <v>380</v>
      </c>
      <c r="AG20" s="3">
        <v>0</v>
      </c>
      <c r="AH20" s="3">
        <v>472.5</v>
      </c>
      <c r="AI20" s="4">
        <f t="shared" si="10"/>
        <v>472.5</v>
      </c>
      <c r="AJ20" s="4">
        <v>407.25</v>
      </c>
      <c r="AK20" s="7">
        <v>7066930</v>
      </c>
      <c r="AL20" s="725">
        <v>132</v>
      </c>
      <c r="AM20" s="3">
        <v>3</v>
      </c>
      <c r="AN20" s="3">
        <v>57.5</v>
      </c>
      <c r="AO20" s="4">
        <f t="shared" si="11"/>
        <v>60.5</v>
      </c>
      <c r="AP20" s="4">
        <v>93.19</v>
      </c>
      <c r="AQ20" s="7">
        <v>2057559.5</v>
      </c>
      <c r="AR20" s="725">
        <v>66</v>
      </c>
      <c r="AS20" s="3">
        <v>0</v>
      </c>
      <c r="AT20" s="3">
        <v>61</v>
      </c>
      <c r="AU20" s="4">
        <f t="shared" si="12"/>
        <v>61</v>
      </c>
      <c r="AV20" s="4">
        <v>83.875</v>
      </c>
      <c r="AW20" s="7">
        <v>1515775</v>
      </c>
      <c r="AX20" s="725"/>
      <c r="AY20" s="3"/>
      <c r="AZ20" s="3"/>
      <c r="BA20" s="4">
        <f t="shared" si="13"/>
        <v>0</v>
      </c>
      <c r="BB20" s="4"/>
      <c r="BC20" s="7"/>
      <c r="BD20" s="725"/>
      <c r="BE20" s="3"/>
      <c r="BF20" s="3"/>
      <c r="BG20" s="4">
        <f t="shared" si="14"/>
        <v>0</v>
      </c>
      <c r="BH20" s="4"/>
      <c r="BI20" s="7"/>
      <c r="BJ20" s="8"/>
      <c r="BK20" s="3"/>
      <c r="BL20" s="3"/>
      <c r="BM20" s="4">
        <f t="shared" si="15"/>
        <v>0</v>
      </c>
      <c r="BN20" s="4"/>
      <c r="BO20" s="7"/>
      <c r="BP20" s="725"/>
      <c r="BQ20" s="3"/>
      <c r="BR20" s="3"/>
      <c r="BS20" s="4">
        <f t="shared" si="16"/>
        <v>0</v>
      </c>
      <c r="BT20" s="4"/>
      <c r="BU20" s="7"/>
      <c r="BV20" s="725"/>
      <c r="BW20" s="3"/>
      <c r="BX20" s="3"/>
      <c r="BY20" s="4">
        <f t="shared" ref="BY20:BY31" si="28">SUM(BW20:BX20)</f>
        <v>0</v>
      </c>
      <c r="BZ20" s="4"/>
      <c r="CA20" s="7"/>
      <c r="CB20" s="725"/>
      <c r="CC20" s="3"/>
      <c r="CD20" s="3"/>
      <c r="CE20" s="4">
        <f t="shared" ref="CE20:CE31" si="29">SUM(CC20:CD20)</f>
        <v>0</v>
      </c>
      <c r="CF20" s="4"/>
      <c r="CG20" s="7"/>
      <c r="CH20" s="725"/>
      <c r="CI20" s="3"/>
      <c r="CJ20" s="3"/>
      <c r="CK20" s="4">
        <f t="shared" ref="CK20:CK31" si="30">SUM(CI20:CJ20)</f>
        <v>0</v>
      </c>
      <c r="CL20" s="4"/>
      <c r="CM20" s="7"/>
      <c r="CN20" s="725">
        <v>189</v>
      </c>
      <c r="CO20" s="3">
        <v>158</v>
      </c>
      <c r="CP20" s="3">
        <v>83.9</v>
      </c>
      <c r="CQ20" s="4">
        <f t="shared" ref="CQ20:CQ31" si="31">SUM(CO20:CP20)</f>
        <v>241.9</v>
      </c>
      <c r="CR20" s="4">
        <v>597.16800000000001</v>
      </c>
      <c r="CS20" s="7">
        <v>10397830.079999998</v>
      </c>
    </row>
    <row r="21" spans="1:97" ht="16.5" x14ac:dyDescent="0.3">
      <c r="A21" s="709" t="s">
        <v>345</v>
      </c>
      <c r="B21" s="725">
        <v>55</v>
      </c>
      <c r="C21" s="3">
        <v>0</v>
      </c>
      <c r="D21" s="3">
        <v>262</v>
      </c>
      <c r="E21" s="4">
        <f t="shared" si="26"/>
        <v>262</v>
      </c>
      <c r="F21" s="4">
        <v>588.19000000000005</v>
      </c>
      <c r="G21" s="7">
        <v>9999230.0000000019</v>
      </c>
      <c r="H21" s="725">
        <v>199</v>
      </c>
      <c r="I21" s="3">
        <v>0</v>
      </c>
      <c r="J21" s="3">
        <v>200</v>
      </c>
      <c r="K21" s="4">
        <f t="shared" si="27"/>
        <v>200</v>
      </c>
      <c r="L21" s="4">
        <v>216.45</v>
      </c>
      <c r="M21" s="7">
        <v>3853450</v>
      </c>
      <c r="N21" s="725"/>
      <c r="O21" s="3"/>
      <c r="P21" s="3"/>
      <c r="Q21" s="4">
        <f t="shared" si="7"/>
        <v>0</v>
      </c>
      <c r="R21" s="4"/>
      <c r="S21" s="7"/>
      <c r="T21" s="725">
        <v>0</v>
      </c>
      <c r="U21" s="3">
        <v>0</v>
      </c>
      <c r="V21" s="3">
        <v>1620</v>
      </c>
      <c r="W21" s="4">
        <f t="shared" si="8"/>
        <v>1620</v>
      </c>
      <c r="X21" s="4">
        <v>3210.8999999999996</v>
      </c>
      <c r="Y21" s="7">
        <v>54941299.999999993</v>
      </c>
      <c r="Z21" s="725">
        <v>0</v>
      </c>
      <c r="AA21" s="3">
        <v>0</v>
      </c>
      <c r="AB21" s="3">
        <v>83.2</v>
      </c>
      <c r="AC21" s="4">
        <f t="shared" si="9"/>
        <v>83.2</v>
      </c>
      <c r="AD21" s="4">
        <v>33.28</v>
      </c>
      <c r="AE21" s="7">
        <v>565760</v>
      </c>
      <c r="AF21" s="725">
        <v>48</v>
      </c>
      <c r="AG21" s="3">
        <v>150</v>
      </c>
      <c r="AH21" s="3">
        <v>455</v>
      </c>
      <c r="AI21" s="4">
        <f t="shared" si="10"/>
        <v>605</v>
      </c>
      <c r="AJ21" s="4">
        <v>545.77499999999998</v>
      </c>
      <c r="AK21" s="7">
        <v>10609171</v>
      </c>
      <c r="AL21" s="725"/>
      <c r="AM21" s="3"/>
      <c r="AN21" s="3"/>
      <c r="AO21" s="4">
        <f t="shared" si="11"/>
        <v>0</v>
      </c>
      <c r="AP21" s="4"/>
      <c r="AQ21" s="7"/>
      <c r="AR21" s="725">
        <v>5</v>
      </c>
      <c r="AS21" s="3"/>
      <c r="AT21" s="3"/>
      <c r="AU21" s="4">
        <f t="shared" si="12"/>
        <v>0</v>
      </c>
      <c r="AV21" s="4"/>
      <c r="AW21" s="7">
        <v>31000</v>
      </c>
      <c r="AX21" s="725"/>
      <c r="AY21" s="3"/>
      <c r="AZ21" s="3"/>
      <c r="BA21" s="4">
        <f t="shared" si="13"/>
        <v>0</v>
      </c>
      <c r="BB21" s="4"/>
      <c r="BC21" s="7"/>
      <c r="BD21" s="725"/>
      <c r="BE21" s="3"/>
      <c r="BF21" s="3"/>
      <c r="BG21" s="4">
        <f t="shared" si="14"/>
        <v>0</v>
      </c>
      <c r="BH21" s="4"/>
      <c r="BI21" s="7"/>
      <c r="BJ21" s="8"/>
      <c r="BK21" s="3"/>
      <c r="BL21" s="3"/>
      <c r="BM21" s="4">
        <f t="shared" si="15"/>
        <v>0</v>
      </c>
      <c r="BN21" s="4"/>
      <c r="BO21" s="7"/>
      <c r="BP21" s="725"/>
      <c r="BQ21" s="3"/>
      <c r="BR21" s="3"/>
      <c r="BS21" s="4">
        <f t="shared" si="16"/>
        <v>0</v>
      </c>
      <c r="BT21" s="4"/>
      <c r="BU21" s="7"/>
      <c r="BV21" s="725">
        <v>59</v>
      </c>
      <c r="BW21" s="3">
        <v>39.500000000000007</v>
      </c>
      <c r="BX21" s="3">
        <v>65.5</v>
      </c>
      <c r="BY21" s="4">
        <f t="shared" si="28"/>
        <v>105</v>
      </c>
      <c r="BZ21" s="4">
        <v>264.69</v>
      </c>
      <c r="CA21" s="7">
        <v>4317580</v>
      </c>
      <c r="CB21" s="725">
        <v>123</v>
      </c>
      <c r="CC21" s="3">
        <v>50.4</v>
      </c>
      <c r="CD21" s="3">
        <v>112.3</v>
      </c>
      <c r="CE21" s="4">
        <f t="shared" si="29"/>
        <v>162.69999999999999</v>
      </c>
      <c r="CF21" s="4">
        <v>479.96820000000002</v>
      </c>
      <c r="CG21" s="7">
        <v>7506239.4000000004</v>
      </c>
      <c r="CH21" s="725">
        <v>59</v>
      </c>
      <c r="CI21" s="3">
        <v>39.500000000000007</v>
      </c>
      <c r="CJ21" s="3">
        <v>65.5</v>
      </c>
      <c r="CK21" s="4">
        <f t="shared" si="30"/>
        <v>105</v>
      </c>
      <c r="CL21" s="4">
        <v>264.69</v>
      </c>
      <c r="CM21" s="7">
        <v>4317580</v>
      </c>
      <c r="CN21" s="725">
        <v>165</v>
      </c>
      <c r="CO21" s="3">
        <v>209.2</v>
      </c>
      <c r="CP21" s="3">
        <v>0</v>
      </c>
      <c r="CQ21" s="4">
        <f t="shared" si="31"/>
        <v>209.2</v>
      </c>
      <c r="CR21" s="4">
        <v>721.70700000000011</v>
      </c>
      <c r="CS21" s="7">
        <v>11115711</v>
      </c>
    </row>
    <row r="22" spans="1:97" ht="16.5" x14ac:dyDescent="0.3">
      <c r="A22" s="709" t="s">
        <v>346</v>
      </c>
      <c r="B22" s="725">
        <v>450</v>
      </c>
      <c r="C22" s="3">
        <v>0</v>
      </c>
      <c r="D22" s="3">
        <v>247</v>
      </c>
      <c r="E22" s="4">
        <f t="shared" si="26"/>
        <v>247</v>
      </c>
      <c r="F22" s="4">
        <v>3.75</v>
      </c>
      <c r="G22" s="7">
        <v>2277302</v>
      </c>
      <c r="H22" s="725">
        <v>653</v>
      </c>
      <c r="I22" s="3">
        <v>0</v>
      </c>
      <c r="J22" s="3">
        <v>807</v>
      </c>
      <c r="K22" s="4">
        <f t="shared" si="27"/>
        <v>807</v>
      </c>
      <c r="L22" s="4">
        <v>1210.5</v>
      </c>
      <c r="M22" s="7">
        <v>20578500</v>
      </c>
      <c r="N22" s="725"/>
      <c r="O22" s="3"/>
      <c r="P22" s="3"/>
      <c r="Q22" s="4">
        <f t="shared" si="7"/>
        <v>0</v>
      </c>
      <c r="R22" s="4"/>
      <c r="S22" s="7"/>
      <c r="T22" s="725">
        <v>0</v>
      </c>
      <c r="U22" s="3">
        <v>0</v>
      </c>
      <c r="V22" s="3">
        <v>651.75</v>
      </c>
      <c r="W22" s="4">
        <f t="shared" si="8"/>
        <v>651.75</v>
      </c>
      <c r="X22" s="4">
        <v>1790.25</v>
      </c>
      <c r="Y22" s="7">
        <v>31224490</v>
      </c>
      <c r="Z22" s="725"/>
      <c r="AA22" s="3"/>
      <c r="AB22" s="3"/>
      <c r="AC22" s="4">
        <f t="shared" si="9"/>
        <v>0</v>
      </c>
      <c r="AD22" s="4"/>
      <c r="AE22" s="7"/>
      <c r="AF22" s="725">
        <v>362</v>
      </c>
      <c r="AG22" s="3">
        <v>0</v>
      </c>
      <c r="AH22" s="3">
        <v>528</v>
      </c>
      <c r="AI22" s="4">
        <f t="shared" si="10"/>
        <v>528</v>
      </c>
      <c r="AJ22" s="4">
        <v>689.1</v>
      </c>
      <c r="AK22" s="7">
        <v>11714700</v>
      </c>
      <c r="AL22" s="725"/>
      <c r="AM22" s="3"/>
      <c r="AN22" s="3"/>
      <c r="AO22" s="4">
        <f t="shared" si="11"/>
        <v>0</v>
      </c>
      <c r="AP22" s="4"/>
      <c r="AQ22" s="7"/>
      <c r="AR22" s="725">
        <v>209</v>
      </c>
      <c r="AS22" s="3">
        <v>0</v>
      </c>
      <c r="AT22" s="3">
        <v>216</v>
      </c>
      <c r="AU22" s="4">
        <f t="shared" si="12"/>
        <v>216</v>
      </c>
      <c r="AV22" s="4">
        <v>324</v>
      </c>
      <c r="AW22" s="7">
        <v>5508000</v>
      </c>
      <c r="AX22" s="725"/>
      <c r="AY22" s="3"/>
      <c r="AZ22" s="3"/>
      <c r="BA22" s="4">
        <f t="shared" si="13"/>
        <v>0</v>
      </c>
      <c r="BB22" s="4"/>
      <c r="BC22" s="7"/>
      <c r="BD22" s="725"/>
      <c r="BE22" s="3"/>
      <c r="BF22" s="3"/>
      <c r="BG22" s="4">
        <f t="shared" si="14"/>
        <v>0</v>
      </c>
      <c r="BH22" s="4"/>
      <c r="BI22" s="7"/>
      <c r="BJ22" s="8"/>
      <c r="BK22" s="3"/>
      <c r="BL22" s="3"/>
      <c r="BM22" s="4">
        <f t="shared" si="15"/>
        <v>0</v>
      </c>
      <c r="BN22" s="4"/>
      <c r="BO22" s="7"/>
      <c r="BP22" s="725"/>
      <c r="BQ22" s="3"/>
      <c r="BR22" s="3"/>
      <c r="BS22" s="4">
        <f t="shared" si="16"/>
        <v>0</v>
      </c>
      <c r="BT22" s="4"/>
      <c r="BU22" s="7"/>
      <c r="BV22" s="725">
        <v>2</v>
      </c>
      <c r="BW22" s="3">
        <v>0</v>
      </c>
      <c r="BX22" s="3">
        <v>5.6</v>
      </c>
      <c r="BY22" s="4">
        <f t="shared" si="28"/>
        <v>5.6</v>
      </c>
      <c r="BZ22" s="4">
        <v>19.440000000000001</v>
      </c>
      <c r="CA22" s="7">
        <v>272160</v>
      </c>
      <c r="CB22" s="725">
        <v>12</v>
      </c>
      <c r="CC22" s="3">
        <v>4.8499999999999996</v>
      </c>
      <c r="CD22" s="3">
        <v>13.6</v>
      </c>
      <c r="CE22" s="4">
        <f t="shared" si="29"/>
        <v>18.45</v>
      </c>
      <c r="CF22" s="4">
        <v>44.769999999999996</v>
      </c>
      <c r="CG22" s="7">
        <v>784260</v>
      </c>
      <c r="CH22" s="725">
        <v>2</v>
      </c>
      <c r="CI22" s="3">
        <v>0</v>
      </c>
      <c r="CJ22" s="3">
        <v>5.6</v>
      </c>
      <c r="CK22" s="4">
        <f t="shared" si="30"/>
        <v>5.6</v>
      </c>
      <c r="CL22" s="4">
        <v>19.440000000000001</v>
      </c>
      <c r="CM22" s="7">
        <v>272160</v>
      </c>
      <c r="CN22" s="725">
        <v>51</v>
      </c>
      <c r="CO22" s="3">
        <v>26.3</v>
      </c>
      <c r="CP22" s="3">
        <v>22</v>
      </c>
      <c r="CQ22" s="4">
        <f t="shared" si="31"/>
        <v>48.3</v>
      </c>
      <c r="CR22" s="4">
        <v>75.839999999999989</v>
      </c>
      <c r="CS22" s="7">
        <v>1798571.5999999999</v>
      </c>
    </row>
    <row r="23" spans="1:97" ht="16.5" x14ac:dyDescent="0.3">
      <c r="A23" s="709" t="s">
        <v>347</v>
      </c>
      <c r="B23" s="725">
        <v>639</v>
      </c>
      <c r="C23" s="3">
        <v>0</v>
      </c>
      <c r="D23" s="3">
        <v>252</v>
      </c>
      <c r="E23" s="4">
        <f t="shared" si="26"/>
        <v>252</v>
      </c>
      <c r="F23" s="4">
        <v>62.5</v>
      </c>
      <c r="G23" s="7">
        <v>5023075</v>
      </c>
      <c r="H23" s="725"/>
      <c r="I23" s="3"/>
      <c r="J23" s="3"/>
      <c r="K23" s="4">
        <f t="shared" si="27"/>
        <v>0</v>
      </c>
      <c r="L23" s="4"/>
      <c r="M23" s="7"/>
      <c r="N23" s="725"/>
      <c r="O23" s="3"/>
      <c r="P23" s="3"/>
      <c r="Q23" s="4">
        <f t="shared" si="7"/>
        <v>0</v>
      </c>
      <c r="R23" s="4"/>
      <c r="S23" s="7"/>
      <c r="T23" s="725">
        <v>0</v>
      </c>
      <c r="U23" s="3">
        <v>0</v>
      </c>
      <c r="V23" s="3">
        <v>1160</v>
      </c>
      <c r="W23" s="4">
        <f t="shared" si="8"/>
        <v>1160</v>
      </c>
      <c r="X23" s="4">
        <v>2875</v>
      </c>
      <c r="Y23" s="7">
        <v>49018680</v>
      </c>
      <c r="Z23" s="725"/>
      <c r="AA23" s="3"/>
      <c r="AB23" s="3"/>
      <c r="AC23" s="4">
        <f t="shared" si="9"/>
        <v>0</v>
      </c>
      <c r="AD23" s="4"/>
      <c r="AE23" s="7"/>
      <c r="AF23" s="725">
        <v>663</v>
      </c>
      <c r="AG23" s="3">
        <v>0</v>
      </c>
      <c r="AH23" s="3">
        <v>649</v>
      </c>
      <c r="AI23" s="4">
        <f t="shared" si="10"/>
        <v>649</v>
      </c>
      <c r="AJ23" s="4">
        <v>424.13</v>
      </c>
      <c r="AK23" s="7">
        <v>9164173</v>
      </c>
      <c r="AL23" s="725"/>
      <c r="AM23" s="3"/>
      <c r="AN23" s="3"/>
      <c r="AO23" s="4">
        <f t="shared" si="11"/>
        <v>0</v>
      </c>
      <c r="AP23" s="4"/>
      <c r="AQ23" s="7"/>
      <c r="AR23" s="725">
        <v>131</v>
      </c>
      <c r="AS23" s="3">
        <v>0</v>
      </c>
      <c r="AT23" s="3">
        <v>121</v>
      </c>
      <c r="AU23" s="4">
        <f t="shared" si="12"/>
        <v>121</v>
      </c>
      <c r="AV23" s="4">
        <v>136.125</v>
      </c>
      <c r="AW23" s="7">
        <v>2314125</v>
      </c>
      <c r="AX23" s="725"/>
      <c r="AY23" s="3"/>
      <c r="AZ23" s="3"/>
      <c r="BA23" s="4">
        <f t="shared" si="13"/>
        <v>0</v>
      </c>
      <c r="BB23" s="4"/>
      <c r="BC23" s="7"/>
      <c r="BD23" s="725"/>
      <c r="BE23" s="3"/>
      <c r="BF23" s="3"/>
      <c r="BG23" s="4">
        <f t="shared" si="14"/>
        <v>0</v>
      </c>
      <c r="BH23" s="4"/>
      <c r="BI23" s="7"/>
      <c r="BJ23" s="8"/>
      <c r="BK23" s="3"/>
      <c r="BL23" s="3"/>
      <c r="BM23" s="4">
        <f t="shared" si="15"/>
        <v>0</v>
      </c>
      <c r="BN23" s="4"/>
      <c r="BO23" s="7"/>
      <c r="BP23" s="725"/>
      <c r="BQ23" s="3"/>
      <c r="BR23" s="3"/>
      <c r="BS23" s="4">
        <f t="shared" si="16"/>
        <v>0</v>
      </c>
      <c r="BT23" s="4"/>
      <c r="BU23" s="7"/>
      <c r="BV23" s="725"/>
      <c r="BW23" s="3"/>
      <c r="BX23" s="3"/>
      <c r="BY23" s="4">
        <f t="shared" si="28"/>
        <v>0</v>
      </c>
      <c r="BZ23" s="4"/>
      <c r="CA23" s="7"/>
      <c r="CB23" s="725">
        <v>169</v>
      </c>
      <c r="CC23" s="3">
        <v>0</v>
      </c>
      <c r="CD23" s="3">
        <v>165</v>
      </c>
      <c r="CE23" s="4">
        <f t="shared" si="29"/>
        <v>165</v>
      </c>
      <c r="CF23" s="4">
        <v>538.15</v>
      </c>
      <c r="CG23" s="7">
        <v>10224850</v>
      </c>
      <c r="CH23" s="725"/>
      <c r="CI23" s="3"/>
      <c r="CJ23" s="3"/>
      <c r="CK23" s="4">
        <f t="shared" si="30"/>
        <v>0</v>
      </c>
      <c r="CL23" s="4"/>
      <c r="CM23" s="7"/>
      <c r="CN23" s="725">
        <v>66.5</v>
      </c>
      <c r="CO23" s="3">
        <v>0</v>
      </c>
      <c r="CP23" s="3">
        <v>48.1</v>
      </c>
      <c r="CQ23" s="4">
        <f t="shared" si="31"/>
        <v>48.1</v>
      </c>
      <c r="CR23" s="4">
        <v>125.96000000000001</v>
      </c>
      <c r="CS23" s="7">
        <v>1576382</v>
      </c>
    </row>
    <row r="24" spans="1:97" ht="16.5" x14ac:dyDescent="0.3">
      <c r="A24" s="709" t="s">
        <v>348</v>
      </c>
      <c r="B24" s="725">
        <v>12</v>
      </c>
      <c r="C24" s="3">
        <v>6.75</v>
      </c>
      <c r="D24" s="3">
        <v>0</v>
      </c>
      <c r="E24" s="4">
        <f t="shared" si="26"/>
        <v>6.75</v>
      </c>
      <c r="F24" s="4">
        <v>28.75</v>
      </c>
      <c r="G24" s="7">
        <v>510600</v>
      </c>
      <c r="H24" s="725"/>
      <c r="I24" s="3"/>
      <c r="J24" s="3"/>
      <c r="K24" s="4">
        <f t="shared" si="27"/>
        <v>0</v>
      </c>
      <c r="L24" s="4"/>
      <c r="M24" s="7"/>
      <c r="N24" s="725"/>
      <c r="O24" s="3"/>
      <c r="P24" s="3"/>
      <c r="Q24" s="4">
        <f t="shared" si="7"/>
        <v>0</v>
      </c>
      <c r="R24" s="4"/>
      <c r="S24" s="7"/>
      <c r="T24" s="725">
        <v>0</v>
      </c>
      <c r="U24" s="3">
        <v>44</v>
      </c>
      <c r="V24" s="3">
        <v>0</v>
      </c>
      <c r="W24" s="4">
        <f t="shared" si="8"/>
        <v>44</v>
      </c>
      <c r="X24" s="4">
        <v>220</v>
      </c>
      <c r="Y24" s="7">
        <v>3740000</v>
      </c>
      <c r="Z24" s="725"/>
      <c r="AA24" s="3"/>
      <c r="AB24" s="3"/>
      <c r="AC24" s="4">
        <f t="shared" si="9"/>
        <v>0</v>
      </c>
      <c r="AD24" s="4"/>
      <c r="AE24" s="7"/>
      <c r="AF24" s="725">
        <v>83</v>
      </c>
      <c r="AG24" s="3">
        <v>0</v>
      </c>
      <c r="AH24" s="3">
        <v>110</v>
      </c>
      <c r="AI24" s="4">
        <f t="shared" si="10"/>
        <v>110</v>
      </c>
      <c r="AJ24" s="4">
        <v>63.22</v>
      </c>
      <c r="AK24" s="7">
        <v>1074655</v>
      </c>
      <c r="AL24" s="725"/>
      <c r="AM24" s="3"/>
      <c r="AN24" s="3"/>
      <c r="AO24" s="4">
        <f t="shared" si="11"/>
        <v>0</v>
      </c>
      <c r="AP24" s="4"/>
      <c r="AQ24" s="7"/>
      <c r="AR24" s="725"/>
      <c r="AS24" s="3"/>
      <c r="AT24" s="3"/>
      <c r="AU24" s="4">
        <f t="shared" si="12"/>
        <v>0</v>
      </c>
      <c r="AV24" s="4"/>
      <c r="AW24" s="7"/>
      <c r="AX24" s="725"/>
      <c r="AY24" s="3"/>
      <c r="AZ24" s="3"/>
      <c r="BA24" s="4">
        <f t="shared" si="13"/>
        <v>0</v>
      </c>
      <c r="BB24" s="4"/>
      <c r="BC24" s="7"/>
      <c r="BD24" s="725"/>
      <c r="BE24" s="3"/>
      <c r="BF24" s="3"/>
      <c r="BG24" s="4">
        <f t="shared" si="14"/>
        <v>0</v>
      </c>
      <c r="BH24" s="4"/>
      <c r="BI24" s="7"/>
      <c r="BJ24" s="8"/>
      <c r="BK24" s="3"/>
      <c r="BL24" s="3"/>
      <c r="BM24" s="4">
        <f t="shared" si="15"/>
        <v>0</v>
      </c>
      <c r="BN24" s="4"/>
      <c r="BO24" s="7"/>
      <c r="BP24" s="725"/>
      <c r="BQ24" s="3"/>
      <c r="BR24" s="3"/>
      <c r="BS24" s="4">
        <f t="shared" si="16"/>
        <v>0</v>
      </c>
      <c r="BT24" s="4"/>
      <c r="BU24" s="7"/>
      <c r="BV24" s="725"/>
      <c r="BW24" s="3"/>
      <c r="BX24" s="3"/>
      <c r="BY24" s="4">
        <f t="shared" si="28"/>
        <v>0</v>
      </c>
      <c r="BZ24" s="4"/>
      <c r="CA24" s="7"/>
      <c r="CB24" s="725"/>
      <c r="CC24" s="3"/>
      <c r="CD24" s="3"/>
      <c r="CE24" s="4">
        <f t="shared" si="29"/>
        <v>0</v>
      </c>
      <c r="CF24" s="4"/>
      <c r="CG24" s="7"/>
      <c r="CH24" s="725"/>
      <c r="CI24" s="3"/>
      <c r="CJ24" s="3"/>
      <c r="CK24" s="4">
        <f t="shared" si="30"/>
        <v>0</v>
      </c>
      <c r="CL24" s="4"/>
      <c r="CM24" s="7"/>
      <c r="CN24" s="725">
        <v>11</v>
      </c>
      <c r="CO24" s="3">
        <v>3.5</v>
      </c>
      <c r="CP24" s="3">
        <v>9</v>
      </c>
      <c r="CQ24" s="4">
        <f t="shared" si="31"/>
        <v>12.5</v>
      </c>
      <c r="CR24" s="4">
        <v>53.5</v>
      </c>
      <c r="CS24" s="7">
        <v>657000</v>
      </c>
    </row>
    <row r="25" spans="1:97" ht="16.5" x14ac:dyDescent="0.3">
      <c r="A25" s="709" t="s">
        <v>349</v>
      </c>
      <c r="B25" s="725">
        <v>45</v>
      </c>
      <c r="C25" s="3">
        <v>0</v>
      </c>
      <c r="D25" s="3">
        <v>7.5</v>
      </c>
      <c r="E25" s="4">
        <f t="shared" si="26"/>
        <v>7.5</v>
      </c>
      <c r="F25" s="4">
        <v>3.9794999999999998</v>
      </c>
      <c r="G25" s="7">
        <v>190671.5</v>
      </c>
      <c r="H25" s="725"/>
      <c r="I25" s="3"/>
      <c r="J25" s="3"/>
      <c r="K25" s="4">
        <f t="shared" si="27"/>
        <v>0</v>
      </c>
      <c r="L25" s="4"/>
      <c r="M25" s="7"/>
      <c r="N25" s="725">
        <v>0</v>
      </c>
      <c r="O25" s="3">
        <v>0</v>
      </c>
      <c r="P25" s="3">
        <v>183.75</v>
      </c>
      <c r="Q25" s="4">
        <f t="shared" si="7"/>
        <v>183.75</v>
      </c>
      <c r="R25" s="4">
        <v>90.9</v>
      </c>
      <c r="S25" s="7">
        <v>1833448</v>
      </c>
      <c r="T25" s="725">
        <v>0</v>
      </c>
      <c r="U25" s="3">
        <v>0</v>
      </c>
      <c r="V25" s="3">
        <v>254</v>
      </c>
      <c r="W25" s="4">
        <f t="shared" si="8"/>
        <v>254</v>
      </c>
      <c r="X25" s="4">
        <v>317.5</v>
      </c>
      <c r="Y25" s="7">
        <v>5417080</v>
      </c>
      <c r="Z25" s="725"/>
      <c r="AA25" s="3"/>
      <c r="AB25" s="3"/>
      <c r="AC25" s="4">
        <f t="shared" si="9"/>
        <v>0</v>
      </c>
      <c r="AD25" s="4"/>
      <c r="AE25" s="7"/>
      <c r="AF25" s="725">
        <v>80</v>
      </c>
      <c r="AG25" s="3">
        <v>0</v>
      </c>
      <c r="AH25" s="3">
        <v>90.5</v>
      </c>
      <c r="AI25" s="4">
        <f t="shared" si="10"/>
        <v>90.5</v>
      </c>
      <c r="AJ25" s="4">
        <v>62.34375</v>
      </c>
      <c r="AK25" s="7">
        <v>1099259.75</v>
      </c>
      <c r="AL25" s="725"/>
      <c r="AM25" s="3"/>
      <c r="AN25" s="3"/>
      <c r="AO25" s="4">
        <f t="shared" si="11"/>
        <v>0</v>
      </c>
      <c r="AP25" s="4"/>
      <c r="AQ25" s="7"/>
      <c r="AR25" s="725">
        <v>18</v>
      </c>
      <c r="AS25" s="3">
        <v>0</v>
      </c>
      <c r="AT25" s="3">
        <v>11.25</v>
      </c>
      <c r="AU25" s="4">
        <f t="shared" si="12"/>
        <v>11.25</v>
      </c>
      <c r="AV25" s="4">
        <v>8.7918749999999992</v>
      </c>
      <c r="AW25" s="7">
        <v>183995.875</v>
      </c>
      <c r="AX25" s="725">
        <v>61</v>
      </c>
      <c r="AY25" s="3">
        <v>0</v>
      </c>
      <c r="AZ25" s="3">
        <v>47.75</v>
      </c>
      <c r="BA25" s="4">
        <f t="shared" si="13"/>
        <v>47.75</v>
      </c>
      <c r="BB25" s="4">
        <v>50.0625</v>
      </c>
      <c r="BC25" s="7">
        <v>851062.5</v>
      </c>
      <c r="BD25" s="725"/>
      <c r="BE25" s="3"/>
      <c r="BF25" s="3"/>
      <c r="BG25" s="4">
        <f t="shared" si="14"/>
        <v>0</v>
      </c>
      <c r="BH25" s="4"/>
      <c r="BI25" s="7"/>
      <c r="BJ25" s="8"/>
      <c r="BK25" s="3"/>
      <c r="BL25" s="3"/>
      <c r="BM25" s="4">
        <f t="shared" si="15"/>
        <v>0</v>
      </c>
      <c r="BN25" s="4"/>
      <c r="BO25" s="7"/>
      <c r="BP25" s="725"/>
      <c r="BQ25" s="3"/>
      <c r="BR25" s="3"/>
      <c r="BS25" s="4">
        <f t="shared" si="16"/>
        <v>0</v>
      </c>
      <c r="BT25" s="4"/>
      <c r="BU25" s="7"/>
      <c r="BV25" s="725">
        <v>164</v>
      </c>
      <c r="BW25" s="3">
        <v>0</v>
      </c>
      <c r="BX25" s="3">
        <v>137.5</v>
      </c>
      <c r="BY25" s="4">
        <f t="shared" si="28"/>
        <v>137.5</v>
      </c>
      <c r="BZ25" s="4">
        <v>284.51249999999999</v>
      </c>
      <c r="CA25" s="7">
        <v>4864347.5</v>
      </c>
      <c r="CB25" s="725">
        <v>162</v>
      </c>
      <c r="CC25" s="3">
        <v>0</v>
      </c>
      <c r="CD25" s="3">
        <v>132.25</v>
      </c>
      <c r="CE25" s="4">
        <f t="shared" si="29"/>
        <v>132.25</v>
      </c>
      <c r="CF25" s="4">
        <v>496.76249999999999</v>
      </c>
      <c r="CG25" s="7">
        <v>8387876.125</v>
      </c>
      <c r="CH25" s="725">
        <v>164</v>
      </c>
      <c r="CI25" s="3">
        <v>0</v>
      </c>
      <c r="CJ25" s="3">
        <v>137.5</v>
      </c>
      <c r="CK25" s="4">
        <f t="shared" si="30"/>
        <v>137.5</v>
      </c>
      <c r="CL25" s="4">
        <v>284.51249999999999</v>
      </c>
      <c r="CM25" s="7">
        <v>4864347.5</v>
      </c>
      <c r="CN25" s="725">
        <v>107</v>
      </c>
      <c r="CO25" s="3">
        <v>43.75</v>
      </c>
      <c r="CP25" s="3">
        <v>42</v>
      </c>
      <c r="CQ25" s="4">
        <f t="shared" si="31"/>
        <v>85.75</v>
      </c>
      <c r="CR25" s="4">
        <v>280</v>
      </c>
      <c r="CS25" s="7">
        <v>3823378.75</v>
      </c>
    </row>
    <row r="26" spans="1:97" ht="16.5" x14ac:dyDescent="0.3">
      <c r="A26" s="709" t="s">
        <v>350</v>
      </c>
      <c r="B26" s="725"/>
      <c r="C26" s="3"/>
      <c r="D26" s="3"/>
      <c r="E26" s="4">
        <f t="shared" si="26"/>
        <v>0</v>
      </c>
      <c r="G26" s="7"/>
      <c r="H26" s="725"/>
      <c r="I26" s="3"/>
      <c r="J26" s="3"/>
      <c r="K26" s="4">
        <f t="shared" si="27"/>
        <v>0</v>
      </c>
      <c r="L26" s="4"/>
      <c r="M26" s="7"/>
      <c r="N26" s="725"/>
      <c r="O26" s="3"/>
      <c r="P26" s="3"/>
      <c r="Q26" s="4">
        <f t="shared" si="7"/>
        <v>0</v>
      </c>
      <c r="R26" s="4"/>
      <c r="S26" s="7"/>
      <c r="T26" s="725">
        <v>0</v>
      </c>
      <c r="U26" s="3">
        <v>0</v>
      </c>
      <c r="V26" s="3">
        <v>40</v>
      </c>
      <c r="W26" s="4">
        <f t="shared" si="8"/>
        <v>40</v>
      </c>
      <c r="X26" s="4">
        <v>110</v>
      </c>
      <c r="Y26" s="7">
        <v>1870000</v>
      </c>
      <c r="Z26" s="725"/>
      <c r="AA26" s="3"/>
      <c r="AB26" s="3"/>
      <c r="AC26" s="4">
        <f t="shared" si="9"/>
        <v>0</v>
      </c>
      <c r="AD26" s="4"/>
      <c r="AE26" s="7"/>
      <c r="AF26" s="725">
        <v>34</v>
      </c>
      <c r="AG26" s="3">
        <v>0</v>
      </c>
      <c r="AH26" s="3">
        <v>44</v>
      </c>
      <c r="AI26" s="4">
        <f t="shared" si="10"/>
        <v>44</v>
      </c>
      <c r="AJ26" s="4">
        <v>26.4</v>
      </c>
      <c r="AK26" s="7">
        <v>448799.99999999994</v>
      </c>
      <c r="AL26" s="725">
        <v>13</v>
      </c>
      <c r="AM26" s="3">
        <v>0</v>
      </c>
      <c r="AN26" s="3">
        <v>0</v>
      </c>
      <c r="AO26" s="4">
        <f t="shared" si="11"/>
        <v>0</v>
      </c>
      <c r="AP26" s="4">
        <v>0</v>
      </c>
      <c r="AQ26" s="7">
        <v>160200</v>
      </c>
      <c r="AR26" s="725">
        <v>84</v>
      </c>
      <c r="AS26" s="3">
        <v>0</v>
      </c>
      <c r="AT26" s="3">
        <v>128.25</v>
      </c>
      <c r="AU26" s="4">
        <f t="shared" si="12"/>
        <v>128.25</v>
      </c>
      <c r="AV26" s="4">
        <v>135.73124999999999</v>
      </c>
      <c r="AW26" s="7">
        <v>2353337.5499999998</v>
      </c>
      <c r="AX26" s="725"/>
      <c r="AY26" s="3"/>
      <c r="AZ26" s="3"/>
      <c r="BA26" s="4">
        <f t="shared" si="13"/>
        <v>0</v>
      </c>
      <c r="BB26" s="4"/>
      <c r="BC26" s="7"/>
      <c r="BD26" s="725"/>
      <c r="BE26" s="3"/>
      <c r="BF26" s="3"/>
      <c r="BG26" s="4">
        <f t="shared" si="14"/>
        <v>0</v>
      </c>
      <c r="BH26" s="4"/>
      <c r="BI26" s="7"/>
      <c r="BJ26" s="8"/>
      <c r="BK26" s="3"/>
      <c r="BL26" s="3"/>
      <c r="BM26" s="4">
        <f t="shared" si="15"/>
        <v>0</v>
      </c>
      <c r="BN26" s="4"/>
      <c r="BO26" s="7"/>
      <c r="BP26" s="725"/>
      <c r="BQ26" s="3"/>
      <c r="BR26" s="3"/>
      <c r="BS26" s="4">
        <f t="shared" si="16"/>
        <v>0</v>
      </c>
      <c r="BT26" s="4"/>
      <c r="BU26" s="7"/>
      <c r="BV26" s="725">
        <v>92</v>
      </c>
      <c r="BW26" s="3">
        <v>2.5</v>
      </c>
      <c r="BX26" s="3">
        <v>80.150000000000006</v>
      </c>
      <c r="BY26" s="4">
        <f t="shared" si="28"/>
        <v>82.65</v>
      </c>
      <c r="BZ26" s="4">
        <v>189.33749999999998</v>
      </c>
      <c r="CA26" s="7">
        <v>2473953.5</v>
      </c>
      <c r="CB26" s="725"/>
      <c r="CC26" s="3"/>
      <c r="CD26" s="3"/>
      <c r="CE26" s="4">
        <f t="shared" si="29"/>
        <v>0</v>
      </c>
      <c r="CF26" s="4"/>
      <c r="CG26" s="7"/>
      <c r="CH26" s="725">
        <v>92</v>
      </c>
      <c r="CI26" s="3">
        <v>2.5</v>
      </c>
      <c r="CJ26" s="3">
        <v>80.150000000000006</v>
      </c>
      <c r="CK26" s="4">
        <f t="shared" si="30"/>
        <v>82.65</v>
      </c>
      <c r="CL26" s="4">
        <v>189.33749999999998</v>
      </c>
      <c r="CM26" s="7">
        <v>2473953.5</v>
      </c>
      <c r="CN26" s="725">
        <v>18</v>
      </c>
      <c r="CO26" s="3">
        <v>8</v>
      </c>
      <c r="CP26" s="3">
        <v>3</v>
      </c>
      <c r="CQ26" s="4">
        <f t="shared" si="31"/>
        <v>11</v>
      </c>
      <c r="CR26" s="4">
        <v>35.200000000000003</v>
      </c>
      <c r="CS26" s="7">
        <v>593116</v>
      </c>
    </row>
    <row r="27" spans="1:97" ht="16.5" x14ac:dyDescent="0.3">
      <c r="A27" s="709" t="s">
        <v>351</v>
      </c>
      <c r="B27" s="725"/>
      <c r="C27" s="3"/>
      <c r="D27" s="3"/>
      <c r="E27" s="4">
        <f t="shared" si="26"/>
        <v>0</v>
      </c>
      <c r="G27" s="7"/>
      <c r="H27" s="725">
        <v>95</v>
      </c>
      <c r="I27" s="3">
        <v>0</v>
      </c>
      <c r="J27" s="3">
        <v>157</v>
      </c>
      <c r="K27" s="4">
        <f t="shared" si="27"/>
        <v>157</v>
      </c>
      <c r="L27" s="4">
        <v>78.5</v>
      </c>
      <c r="M27" s="7">
        <v>1334500</v>
      </c>
      <c r="N27" s="725">
        <v>250</v>
      </c>
      <c r="O27" s="3"/>
      <c r="P27" s="3">
        <v>623</v>
      </c>
      <c r="Q27" s="4">
        <f t="shared" si="7"/>
        <v>623</v>
      </c>
      <c r="R27" s="4">
        <v>598.08000000000004</v>
      </c>
      <c r="S27" s="7">
        <v>10167360</v>
      </c>
      <c r="T27" s="3">
        <v>0</v>
      </c>
      <c r="U27" s="3">
        <v>0</v>
      </c>
      <c r="V27" s="3">
        <v>317</v>
      </c>
      <c r="W27" s="4">
        <f t="shared" si="8"/>
        <v>317</v>
      </c>
      <c r="X27" s="4">
        <v>91.31</v>
      </c>
      <c r="Y27" s="7">
        <v>1552185.0000000002</v>
      </c>
      <c r="Z27" s="725"/>
      <c r="AA27" s="3"/>
      <c r="AB27" s="3"/>
      <c r="AC27" s="4">
        <f t="shared" si="9"/>
        <v>0</v>
      </c>
      <c r="AD27" s="4"/>
      <c r="AE27" s="7"/>
      <c r="AF27" s="725">
        <v>199</v>
      </c>
      <c r="AG27" s="3">
        <v>0</v>
      </c>
      <c r="AH27" s="3">
        <v>182</v>
      </c>
      <c r="AI27" s="4">
        <f t="shared" si="10"/>
        <v>182</v>
      </c>
      <c r="AJ27" s="4">
        <v>130.49</v>
      </c>
      <c r="AK27" s="7">
        <v>2218398</v>
      </c>
      <c r="AL27" s="725"/>
      <c r="AM27" s="3"/>
      <c r="AN27" s="3"/>
      <c r="AO27" s="4">
        <f t="shared" si="11"/>
        <v>0</v>
      </c>
      <c r="AP27" s="4"/>
      <c r="AQ27" s="7"/>
      <c r="AR27" s="725">
        <v>10</v>
      </c>
      <c r="AS27" s="3">
        <v>0</v>
      </c>
      <c r="AT27" s="3">
        <v>13.5</v>
      </c>
      <c r="AU27" s="4">
        <f t="shared" si="12"/>
        <v>13.5</v>
      </c>
      <c r="AV27" s="4">
        <v>24.131250000000001</v>
      </c>
      <c r="AW27" s="7">
        <v>410231.25000000006</v>
      </c>
      <c r="AX27" s="725"/>
      <c r="AY27" s="3"/>
      <c r="AZ27" s="3"/>
      <c r="BA27" s="4">
        <f t="shared" si="13"/>
        <v>0</v>
      </c>
      <c r="BB27" s="4"/>
      <c r="BC27" s="7"/>
      <c r="BD27" s="725"/>
      <c r="BE27" s="3"/>
      <c r="BF27" s="3"/>
      <c r="BG27" s="4">
        <f t="shared" si="14"/>
        <v>0</v>
      </c>
      <c r="BH27" s="4"/>
      <c r="BI27" s="7"/>
      <c r="BJ27" s="8"/>
      <c r="BK27" s="3"/>
      <c r="BL27" s="3"/>
      <c r="BM27" s="4">
        <f t="shared" si="15"/>
        <v>0</v>
      </c>
      <c r="BN27" s="4"/>
      <c r="BO27" s="7"/>
      <c r="BP27" s="725"/>
      <c r="BQ27" s="3"/>
      <c r="BR27" s="3"/>
      <c r="BS27" s="4">
        <f t="shared" si="16"/>
        <v>0</v>
      </c>
      <c r="BT27" s="4"/>
      <c r="BU27" s="7"/>
      <c r="BV27" s="725"/>
      <c r="BW27" s="3"/>
      <c r="BX27" s="3"/>
      <c r="BY27" s="4">
        <f t="shared" si="28"/>
        <v>0</v>
      </c>
      <c r="BZ27" s="4"/>
      <c r="CA27" s="7"/>
      <c r="CB27" s="725">
        <v>13</v>
      </c>
      <c r="CC27" s="3">
        <v>0</v>
      </c>
      <c r="CD27" s="3">
        <v>12.5</v>
      </c>
      <c r="CE27" s="4">
        <f t="shared" si="29"/>
        <v>12.5</v>
      </c>
      <c r="CF27" s="4">
        <v>26.660000000000004</v>
      </c>
      <c r="CG27" s="7">
        <v>506540</v>
      </c>
      <c r="CH27" s="725"/>
      <c r="CI27" s="3"/>
      <c r="CJ27" s="3"/>
      <c r="CK27" s="4">
        <f t="shared" si="30"/>
        <v>0</v>
      </c>
      <c r="CL27" s="4"/>
      <c r="CM27" s="7"/>
      <c r="CN27" s="725"/>
      <c r="CO27" s="3"/>
      <c r="CP27" s="3"/>
      <c r="CQ27" s="4">
        <f t="shared" si="31"/>
        <v>0</v>
      </c>
      <c r="CR27" s="4"/>
      <c r="CS27" s="7"/>
    </row>
    <row r="28" spans="1:97" ht="16.5" x14ac:dyDescent="0.3">
      <c r="A28" s="709" t="s">
        <v>352</v>
      </c>
      <c r="B28" s="725">
        <v>66</v>
      </c>
      <c r="C28" s="3">
        <v>0</v>
      </c>
      <c r="D28" s="3">
        <v>100</v>
      </c>
      <c r="E28" s="4">
        <f t="shared" si="26"/>
        <v>100</v>
      </c>
      <c r="F28" s="4">
        <v>200</v>
      </c>
      <c r="G28" s="7">
        <v>3444000</v>
      </c>
      <c r="H28" s="725">
        <v>50</v>
      </c>
      <c r="I28" s="3">
        <v>0</v>
      </c>
      <c r="J28" s="3">
        <v>100</v>
      </c>
      <c r="K28" s="4">
        <f t="shared" si="27"/>
        <v>100</v>
      </c>
      <c r="L28" s="4">
        <v>100</v>
      </c>
      <c r="M28" s="7">
        <v>1700000</v>
      </c>
      <c r="N28" s="725"/>
      <c r="O28" s="3"/>
      <c r="P28" s="3"/>
      <c r="Q28" s="4">
        <f t="shared" si="7"/>
        <v>0</v>
      </c>
      <c r="R28" s="4"/>
      <c r="S28" s="7"/>
      <c r="T28" s="3">
        <v>0</v>
      </c>
      <c r="U28" s="3">
        <v>50</v>
      </c>
      <c r="V28" s="3">
        <v>411</v>
      </c>
      <c r="W28" s="4">
        <f t="shared" si="8"/>
        <v>461</v>
      </c>
      <c r="X28" s="4">
        <v>1585.75</v>
      </c>
      <c r="Y28" s="7">
        <v>26957750</v>
      </c>
      <c r="Z28" s="725"/>
      <c r="AA28" s="3"/>
      <c r="AB28" s="3"/>
      <c r="AC28" s="4">
        <f t="shared" si="9"/>
        <v>0</v>
      </c>
      <c r="AD28" s="4"/>
      <c r="AE28" s="7"/>
      <c r="AF28" s="725">
        <v>4</v>
      </c>
      <c r="AG28" s="3">
        <v>1.5</v>
      </c>
      <c r="AH28" s="3">
        <v>4.75</v>
      </c>
      <c r="AI28" s="4">
        <f t="shared" si="10"/>
        <v>6.25</v>
      </c>
      <c r="AJ28" s="4">
        <v>3.9843749999999996</v>
      </c>
      <c r="AK28" s="7">
        <v>67734.375</v>
      </c>
      <c r="AL28" s="725"/>
      <c r="AM28" s="3"/>
      <c r="AN28" s="3"/>
      <c r="AO28" s="4">
        <f t="shared" si="11"/>
        <v>0</v>
      </c>
      <c r="AP28" s="4"/>
      <c r="AQ28" s="7"/>
      <c r="AR28" s="725">
        <v>444</v>
      </c>
      <c r="AS28" s="3">
        <v>0</v>
      </c>
      <c r="AT28" s="3">
        <v>654.25</v>
      </c>
      <c r="AU28" s="4">
        <f t="shared" si="12"/>
        <v>654.25</v>
      </c>
      <c r="AV28" s="4">
        <v>784.0625</v>
      </c>
      <c r="AW28" s="7">
        <v>13396562.5</v>
      </c>
      <c r="AX28" s="725"/>
      <c r="AY28" s="3"/>
      <c r="AZ28" s="3"/>
      <c r="BA28" s="4">
        <f t="shared" si="13"/>
        <v>0</v>
      </c>
      <c r="BB28" s="4"/>
      <c r="BC28" s="7"/>
      <c r="BD28" s="725"/>
      <c r="BE28" s="3"/>
      <c r="BF28" s="3"/>
      <c r="BG28" s="4">
        <f t="shared" si="14"/>
        <v>0</v>
      </c>
      <c r="BH28" s="4"/>
      <c r="BI28" s="7"/>
      <c r="BJ28" s="8"/>
      <c r="BK28" s="3"/>
      <c r="BL28" s="3"/>
      <c r="BM28" s="4">
        <f t="shared" si="15"/>
        <v>0</v>
      </c>
      <c r="BN28" s="4"/>
      <c r="BO28" s="7"/>
      <c r="BP28" s="725"/>
      <c r="BQ28" s="3"/>
      <c r="BR28" s="3"/>
      <c r="BS28" s="4">
        <f t="shared" si="16"/>
        <v>0</v>
      </c>
      <c r="BT28" s="4"/>
      <c r="BU28" s="7"/>
      <c r="BV28" s="725"/>
      <c r="BW28" s="3"/>
      <c r="BX28" s="3"/>
      <c r="BY28" s="4">
        <f t="shared" si="28"/>
        <v>0</v>
      </c>
      <c r="BZ28" s="4"/>
      <c r="CA28" s="7"/>
      <c r="CB28" s="725">
        <v>32</v>
      </c>
      <c r="CC28" s="3">
        <v>0</v>
      </c>
      <c r="CD28" s="3">
        <v>20.25</v>
      </c>
      <c r="CE28" s="4">
        <f t="shared" si="29"/>
        <v>20.25</v>
      </c>
      <c r="CF28" s="4">
        <v>63.75</v>
      </c>
      <c r="CG28" s="7">
        <v>14163750</v>
      </c>
      <c r="CH28" s="725"/>
      <c r="CI28" s="3"/>
      <c r="CJ28" s="3"/>
      <c r="CK28" s="4">
        <f t="shared" si="30"/>
        <v>0</v>
      </c>
      <c r="CL28" s="4"/>
      <c r="CM28" s="7"/>
      <c r="CN28" s="725">
        <v>7</v>
      </c>
      <c r="CO28" s="3">
        <v>9.75</v>
      </c>
      <c r="CP28" s="3">
        <v>0</v>
      </c>
      <c r="CQ28" s="4">
        <f t="shared" si="31"/>
        <v>9.75</v>
      </c>
      <c r="CR28" s="4">
        <v>54.075000000000003</v>
      </c>
      <c r="CS28" s="7">
        <v>648900</v>
      </c>
    </row>
    <row r="29" spans="1:97" ht="16.5" x14ac:dyDescent="0.3">
      <c r="A29" s="709" t="s">
        <v>353</v>
      </c>
      <c r="B29" s="725"/>
      <c r="C29" s="3"/>
      <c r="D29" s="3"/>
      <c r="E29" s="4">
        <f t="shared" si="26"/>
        <v>0</v>
      </c>
      <c r="G29" s="7"/>
      <c r="H29" s="725"/>
      <c r="I29" s="3"/>
      <c r="J29" s="3"/>
      <c r="K29" s="4">
        <f t="shared" si="27"/>
        <v>0</v>
      </c>
      <c r="L29" s="4"/>
      <c r="M29" s="7"/>
      <c r="N29" s="725"/>
      <c r="O29" s="3"/>
      <c r="P29" s="3"/>
      <c r="Q29" s="4">
        <f t="shared" si="7"/>
        <v>0</v>
      </c>
      <c r="R29" s="4"/>
      <c r="S29" s="7"/>
      <c r="T29" s="3">
        <v>0</v>
      </c>
      <c r="U29" s="3">
        <v>0</v>
      </c>
      <c r="V29" s="3">
        <v>108.5</v>
      </c>
      <c r="W29" s="4">
        <f t="shared" si="8"/>
        <v>108.5</v>
      </c>
      <c r="X29" s="4">
        <v>54.25</v>
      </c>
      <c r="Y29" s="7">
        <v>922250</v>
      </c>
      <c r="Z29" s="725"/>
      <c r="AA29" s="3"/>
      <c r="AB29" s="3"/>
      <c r="AC29" s="4">
        <f t="shared" si="9"/>
        <v>0</v>
      </c>
      <c r="AD29" s="4"/>
      <c r="AE29" s="7"/>
      <c r="AF29" s="725"/>
      <c r="AG29" s="3"/>
      <c r="AH29" s="3"/>
      <c r="AI29" s="4">
        <f t="shared" si="10"/>
        <v>0</v>
      </c>
      <c r="AJ29" s="4"/>
      <c r="AK29" s="7"/>
      <c r="AL29" s="725"/>
      <c r="AM29" s="3"/>
      <c r="AN29" s="3"/>
      <c r="AO29" s="4">
        <f t="shared" si="11"/>
        <v>0</v>
      </c>
      <c r="AP29" s="4"/>
      <c r="AQ29" s="7"/>
      <c r="AR29" s="725"/>
      <c r="AS29" s="3"/>
      <c r="AT29" s="3"/>
      <c r="AU29" s="4">
        <f t="shared" si="12"/>
        <v>0</v>
      </c>
      <c r="AV29" s="4"/>
      <c r="AW29" s="7"/>
      <c r="AX29" s="725"/>
      <c r="AY29" s="3"/>
      <c r="AZ29" s="3"/>
      <c r="BA29" s="4">
        <f t="shared" si="13"/>
        <v>0</v>
      </c>
      <c r="BB29" s="4"/>
      <c r="BC29" s="7"/>
      <c r="BD29" s="725"/>
      <c r="BE29" s="3"/>
      <c r="BF29" s="3"/>
      <c r="BG29" s="4">
        <f t="shared" si="14"/>
        <v>0</v>
      </c>
      <c r="BH29" s="4"/>
      <c r="BI29" s="7"/>
      <c r="BJ29" s="8"/>
      <c r="BK29" s="3"/>
      <c r="BL29" s="3"/>
      <c r="BM29" s="4">
        <f t="shared" si="15"/>
        <v>0</v>
      </c>
      <c r="BN29" s="4"/>
      <c r="BO29" s="7"/>
      <c r="BP29" s="725"/>
      <c r="BQ29" s="3"/>
      <c r="BR29" s="3"/>
      <c r="BS29" s="4">
        <f t="shared" si="16"/>
        <v>0</v>
      </c>
      <c r="BT29" s="4"/>
      <c r="BU29" s="7"/>
      <c r="BV29" s="725">
        <v>11</v>
      </c>
      <c r="BW29" s="3">
        <v>0</v>
      </c>
      <c r="BX29" s="3">
        <v>5.25</v>
      </c>
      <c r="BY29" s="4">
        <f t="shared" si="28"/>
        <v>5.25</v>
      </c>
      <c r="BZ29" s="4">
        <v>13.229999999999999</v>
      </c>
      <c r="CA29" s="7">
        <v>224910</v>
      </c>
      <c r="CB29" s="725">
        <v>6</v>
      </c>
      <c r="CC29" s="3">
        <v>3</v>
      </c>
      <c r="CD29" s="3">
        <v>0</v>
      </c>
      <c r="CE29" s="4">
        <f t="shared" si="29"/>
        <v>3</v>
      </c>
      <c r="CF29" s="4">
        <v>6.3250000000000002</v>
      </c>
      <c r="CG29" s="7">
        <v>120175</v>
      </c>
      <c r="CH29" s="725">
        <v>11</v>
      </c>
      <c r="CI29" s="3">
        <v>0</v>
      </c>
      <c r="CJ29" s="3">
        <v>5.25</v>
      </c>
      <c r="CK29" s="4">
        <f t="shared" si="30"/>
        <v>5.25</v>
      </c>
      <c r="CL29" s="4">
        <v>13.229999999999999</v>
      </c>
      <c r="CM29" s="7">
        <v>224910</v>
      </c>
      <c r="CN29" s="725"/>
      <c r="CO29" s="3"/>
      <c r="CP29" s="3"/>
      <c r="CQ29" s="4">
        <f t="shared" si="31"/>
        <v>0</v>
      </c>
      <c r="CR29" s="4"/>
      <c r="CS29" s="7"/>
    </row>
    <row r="30" spans="1:97" ht="16.5" x14ac:dyDescent="0.3">
      <c r="A30" s="709" t="s">
        <v>354</v>
      </c>
      <c r="B30" s="725">
        <v>10</v>
      </c>
      <c r="C30" s="3">
        <v>0</v>
      </c>
      <c r="D30" s="3">
        <v>12</v>
      </c>
      <c r="E30" s="4">
        <f t="shared" si="26"/>
        <v>12</v>
      </c>
      <c r="F30" s="4">
        <v>0</v>
      </c>
      <c r="G30" s="7">
        <v>259584.00000000003</v>
      </c>
      <c r="H30" s="725"/>
      <c r="I30" s="3"/>
      <c r="J30" s="3"/>
      <c r="K30" s="4">
        <f t="shared" si="27"/>
        <v>0</v>
      </c>
      <c r="L30" s="4"/>
      <c r="M30" s="7"/>
      <c r="N30" s="725"/>
      <c r="O30" s="3"/>
      <c r="P30" s="3"/>
      <c r="Q30" s="4">
        <f t="shared" si="7"/>
        <v>0</v>
      </c>
      <c r="R30" s="4"/>
      <c r="S30" s="7"/>
      <c r="T30" s="3">
        <v>0</v>
      </c>
      <c r="U30" s="3">
        <v>59</v>
      </c>
      <c r="V30" s="3">
        <v>0</v>
      </c>
      <c r="W30" s="4">
        <f t="shared" si="8"/>
        <v>59</v>
      </c>
      <c r="X30" s="4">
        <v>354</v>
      </c>
      <c r="Y30" s="7">
        <v>6018000</v>
      </c>
      <c r="Z30" s="725"/>
      <c r="AA30" s="3"/>
      <c r="AB30" s="3"/>
      <c r="AC30" s="4">
        <f t="shared" si="9"/>
        <v>0</v>
      </c>
      <c r="AD30" s="4"/>
      <c r="AE30" s="7"/>
      <c r="AF30" s="725"/>
      <c r="AG30" s="3"/>
      <c r="AH30" s="3"/>
      <c r="AI30" s="4">
        <f t="shared" si="10"/>
        <v>0</v>
      </c>
      <c r="AJ30" s="4"/>
      <c r="AK30" s="7"/>
      <c r="AL30" s="725"/>
      <c r="AM30" s="3"/>
      <c r="AN30" s="3"/>
      <c r="AO30" s="4">
        <f t="shared" si="11"/>
        <v>0</v>
      </c>
      <c r="AP30" s="4"/>
      <c r="AQ30" s="7"/>
      <c r="AR30" s="725"/>
      <c r="AS30" s="3"/>
      <c r="AT30" s="3"/>
      <c r="AU30" s="4">
        <f t="shared" si="12"/>
        <v>0</v>
      </c>
      <c r="AV30" s="4"/>
      <c r="AW30" s="7"/>
      <c r="AX30" s="725"/>
      <c r="AY30" s="3"/>
      <c r="AZ30" s="3"/>
      <c r="BA30" s="4">
        <f t="shared" si="13"/>
        <v>0</v>
      </c>
      <c r="BB30" s="4"/>
      <c r="BC30" s="7"/>
      <c r="BD30" s="725"/>
      <c r="BE30" s="3"/>
      <c r="BF30" s="3"/>
      <c r="BG30" s="4">
        <f t="shared" si="14"/>
        <v>0</v>
      </c>
      <c r="BH30" s="4"/>
      <c r="BI30" s="7"/>
      <c r="BJ30" s="8"/>
      <c r="BK30" s="3"/>
      <c r="BL30" s="3"/>
      <c r="BM30" s="4">
        <f t="shared" si="15"/>
        <v>0</v>
      </c>
      <c r="BN30" s="4"/>
      <c r="BO30" s="7"/>
      <c r="BP30" s="725"/>
      <c r="BQ30" s="3"/>
      <c r="BR30" s="3"/>
      <c r="BS30" s="4">
        <f t="shared" si="16"/>
        <v>0</v>
      </c>
      <c r="BT30" s="4"/>
      <c r="BU30" s="7"/>
      <c r="BV30" s="725"/>
      <c r="BW30" s="3"/>
      <c r="BX30" s="3"/>
      <c r="BY30" s="4">
        <f t="shared" si="28"/>
        <v>0</v>
      </c>
      <c r="BZ30" s="4"/>
      <c r="CA30" s="7"/>
      <c r="CB30" s="725"/>
      <c r="CC30" s="3"/>
      <c r="CD30" s="3"/>
      <c r="CE30" s="4">
        <f t="shared" si="29"/>
        <v>0</v>
      </c>
      <c r="CF30" s="4"/>
      <c r="CG30" s="7"/>
      <c r="CH30" s="725"/>
      <c r="CI30" s="3"/>
      <c r="CJ30" s="3"/>
      <c r="CK30" s="4">
        <f t="shared" si="30"/>
        <v>0</v>
      </c>
      <c r="CL30" s="4"/>
      <c r="CM30" s="7"/>
      <c r="CN30" s="725">
        <v>27</v>
      </c>
      <c r="CO30" s="3">
        <v>0</v>
      </c>
      <c r="CP30" s="3">
        <v>21.700000000000003</v>
      </c>
      <c r="CQ30" s="4">
        <f t="shared" si="31"/>
        <v>21.700000000000003</v>
      </c>
      <c r="CR30" s="4">
        <v>49.605000000000004</v>
      </c>
      <c r="CS30" s="7">
        <v>644865</v>
      </c>
    </row>
    <row r="31" spans="1:97" ht="16.5" x14ac:dyDescent="0.3">
      <c r="A31" s="709" t="s">
        <v>355</v>
      </c>
      <c r="B31" s="725"/>
      <c r="C31" s="3"/>
      <c r="D31" s="3"/>
      <c r="E31" s="4">
        <f t="shared" si="26"/>
        <v>0</v>
      </c>
      <c r="G31" s="7"/>
      <c r="H31" s="725"/>
      <c r="I31" s="3"/>
      <c r="J31" s="3"/>
      <c r="K31" s="4">
        <f t="shared" si="27"/>
        <v>0</v>
      </c>
      <c r="L31" s="4"/>
      <c r="M31" s="7"/>
      <c r="N31" s="725"/>
      <c r="O31" s="3"/>
      <c r="P31" s="3"/>
      <c r="Q31" s="4">
        <f t="shared" si="7"/>
        <v>0</v>
      </c>
      <c r="R31" s="4"/>
      <c r="S31" s="7"/>
      <c r="T31" s="725">
        <v>0</v>
      </c>
      <c r="U31" s="3">
        <v>0</v>
      </c>
      <c r="V31" s="3">
        <v>75</v>
      </c>
      <c r="W31" s="4">
        <f t="shared" si="8"/>
        <v>75</v>
      </c>
      <c r="X31" s="4">
        <v>168.75</v>
      </c>
      <c r="Y31" s="7">
        <v>2868750</v>
      </c>
      <c r="Z31" s="725">
        <v>0</v>
      </c>
      <c r="AA31" s="3">
        <v>0</v>
      </c>
      <c r="AB31" s="3">
        <v>0</v>
      </c>
      <c r="AC31" s="4">
        <f t="shared" si="9"/>
        <v>0</v>
      </c>
      <c r="AD31" s="4"/>
      <c r="AE31" s="7">
        <v>58500</v>
      </c>
      <c r="AF31" s="725">
        <v>119</v>
      </c>
      <c r="AG31" s="3">
        <v>31.75</v>
      </c>
      <c r="AH31" s="3">
        <v>95.25</v>
      </c>
      <c r="AI31" s="4">
        <f t="shared" si="10"/>
        <v>127</v>
      </c>
      <c r="AJ31" s="4">
        <v>150.8125</v>
      </c>
      <c r="AK31" s="7">
        <v>2563812.5</v>
      </c>
      <c r="AL31" s="725"/>
      <c r="AM31" s="3"/>
      <c r="AN31" s="3"/>
      <c r="AO31" s="4">
        <f t="shared" si="11"/>
        <v>0</v>
      </c>
      <c r="AP31" s="4"/>
      <c r="AQ31" s="7"/>
      <c r="AR31" s="725"/>
      <c r="AS31" s="3"/>
      <c r="AT31" s="3"/>
      <c r="AU31" s="4">
        <f t="shared" si="12"/>
        <v>0</v>
      </c>
      <c r="AV31" s="4"/>
      <c r="AW31" s="7"/>
      <c r="AX31" s="725"/>
      <c r="AY31" s="3"/>
      <c r="AZ31" s="3"/>
      <c r="BA31" s="4">
        <f t="shared" si="13"/>
        <v>0</v>
      </c>
      <c r="BB31" s="4"/>
      <c r="BC31" s="7"/>
      <c r="BD31" s="725"/>
      <c r="BE31" s="3"/>
      <c r="BF31" s="3"/>
      <c r="BG31" s="4">
        <f t="shared" si="14"/>
        <v>0</v>
      </c>
      <c r="BH31" s="4"/>
      <c r="BI31" s="7"/>
      <c r="BJ31" s="8"/>
      <c r="BK31" s="3"/>
      <c r="BL31" s="3"/>
      <c r="BM31" s="4">
        <f t="shared" si="15"/>
        <v>0</v>
      </c>
      <c r="BN31" s="4"/>
      <c r="BO31" s="7"/>
      <c r="BP31" s="725"/>
      <c r="BQ31" s="3"/>
      <c r="BR31" s="3"/>
      <c r="BS31" s="4">
        <f t="shared" si="16"/>
        <v>0</v>
      </c>
      <c r="BT31" s="4"/>
      <c r="BU31" s="7"/>
      <c r="BV31" s="725">
        <v>16</v>
      </c>
      <c r="BW31" s="3">
        <v>0</v>
      </c>
      <c r="BX31" s="3">
        <v>14.2</v>
      </c>
      <c r="BY31" s="4">
        <f t="shared" si="28"/>
        <v>14.2</v>
      </c>
      <c r="BZ31" s="4">
        <v>52.875</v>
      </c>
      <c r="CA31" s="7">
        <v>634500</v>
      </c>
      <c r="CB31" s="725"/>
      <c r="CC31" s="3"/>
      <c r="CD31" s="3"/>
      <c r="CE31" s="4">
        <f t="shared" si="29"/>
        <v>0</v>
      </c>
      <c r="CF31" s="4"/>
      <c r="CG31" s="7"/>
      <c r="CH31" s="725">
        <v>16</v>
      </c>
      <c r="CI31" s="3">
        <v>0</v>
      </c>
      <c r="CJ31" s="3">
        <v>14.2</v>
      </c>
      <c r="CK31" s="4">
        <f t="shared" si="30"/>
        <v>14.2</v>
      </c>
      <c r="CL31" s="4">
        <v>52.875</v>
      </c>
      <c r="CM31" s="7">
        <v>634500</v>
      </c>
      <c r="CN31" s="725"/>
      <c r="CO31" s="3"/>
      <c r="CP31" s="3"/>
      <c r="CQ31" s="4">
        <f t="shared" si="31"/>
        <v>0</v>
      </c>
      <c r="CR31" s="4"/>
      <c r="CS31" s="7"/>
    </row>
    <row r="32" spans="1:97" s="719" customFormat="1" ht="16.5" x14ac:dyDescent="0.3">
      <c r="A32" s="714" t="s">
        <v>331</v>
      </c>
      <c r="B32" s="726">
        <f t="shared" ref="B32:S32" si="32">SUM(B33:B55)</f>
        <v>61</v>
      </c>
      <c r="C32" s="722">
        <f t="shared" si="32"/>
        <v>15.45</v>
      </c>
      <c r="D32" s="722">
        <f t="shared" si="32"/>
        <v>37</v>
      </c>
      <c r="E32" s="717">
        <f t="shared" si="32"/>
        <v>52.45</v>
      </c>
      <c r="F32" s="717">
        <f t="shared" si="32"/>
        <v>13.459999999999999</v>
      </c>
      <c r="G32" s="718">
        <f t="shared" si="32"/>
        <v>671957.5</v>
      </c>
      <c r="H32" s="726">
        <f t="shared" si="32"/>
        <v>4502</v>
      </c>
      <c r="I32" s="722">
        <f t="shared" si="32"/>
        <v>834.5</v>
      </c>
      <c r="J32" s="722">
        <f t="shared" si="32"/>
        <v>4896.43</v>
      </c>
      <c r="K32" s="717">
        <f t="shared" si="32"/>
        <v>5730.93</v>
      </c>
      <c r="L32" s="717">
        <f t="shared" si="32"/>
        <v>4098.83</v>
      </c>
      <c r="M32" s="718">
        <f t="shared" si="32"/>
        <v>90129040.680000007</v>
      </c>
      <c r="N32" s="726">
        <f t="shared" si="32"/>
        <v>924</v>
      </c>
      <c r="O32" s="722">
        <f>SUM(O33:O55)</f>
        <v>41</v>
      </c>
      <c r="P32" s="722">
        <f t="shared" si="32"/>
        <v>971</v>
      </c>
      <c r="Q32" s="717">
        <f t="shared" si="32"/>
        <v>1012</v>
      </c>
      <c r="R32" s="717">
        <f t="shared" si="32"/>
        <v>191.29499999999999</v>
      </c>
      <c r="S32" s="718">
        <f t="shared" si="32"/>
        <v>4919186.5500000007</v>
      </c>
      <c r="T32" s="726">
        <f t="shared" ref="T32:AY32" si="33">SUM(T33:T55)</f>
        <v>7219</v>
      </c>
      <c r="U32" s="722">
        <f t="shared" si="33"/>
        <v>3509.25</v>
      </c>
      <c r="V32" s="722">
        <f t="shared" si="33"/>
        <v>11715.89</v>
      </c>
      <c r="W32" s="717">
        <f t="shared" si="33"/>
        <v>15225.139999999998</v>
      </c>
      <c r="X32" s="717">
        <f t="shared" si="33"/>
        <v>32818.17603000001</v>
      </c>
      <c r="Y32" s="718">
        <f t="shared" si="33"/>
        <v>578927199.67000008</v>
      </c>
      <c r="Z32" s="726">
        <f t="shared" si="33"/>
        <v>1458</v>
      </c>
      <c r="AA32" s="722">
        <f t="shared" si="33"/>
        <v>943.53</v>
      </c>
      <c r="AB32" s="722">
        <f t="shared" si="33"/>
        <v>1193</v>
      </c>
      <c r="AC32" s="717">
        <f t="shared" si="33"/>
        <v>2136.5299999999997</v>
      </c>
      <c r="AD32" s="717">
        <f t="shared" si="33"/>
        <v>199.18799999999999</v>
      </c>
      <c r="AE32" s="718">
        <f t="shared" si="33"/>
        <v>32059104.18</v>
      </c>
      <c r="AF32" s="726">
        <f t="shared" si="33"/>
        <v>4734</v>
      </c>
      <c r="AG32" s="722">
        <f t="shared" si="33"/>
        <v>697.5</v>
      </c>
      <c r="AH32" s="722">
        <f t="shared" si="33"/>
        <v>4945.59</v>
      </c>
      <c r="AI32" s="717">
        <f t="shared" si="33"/>
        <v>5643.09</v>
      </c>
      <c r="AJ32" s="717">
        <f t="shared" si="33"/>
        <v>3206.8741850000006</v>
      </c>
      <c r="AK32" s="718">
        <f t="shared" si="33"/>
        <v>80307302.995000005</v>
      </c>
      <c r="AL32" s="726">
        <f t="shared" si="33"/>
        <v>210</v>
      </c>
      <c r="AM32" s="722">
        <f t="shared" si="33"/>
        <v>261</v>
      </c>
      <c r="AN32" s="722">
        <f t="shared" si="33"/>
        <v>40</v>
      </c>
      <c r="AO32" s="717">
        <f t="shared" si="33"/>
        <v>301</v>
      </c>
      <c r="AP32" s="717">
        <f t="shared" si="33"/>
        <v>0</v>
      </c>
      <c r="AQ32" s="718">
        <f t="shared" si="33"/>
        <v>6789561.9999999991</v>
      </c>
      <c r="AR32" s="726">
        <f t="shared" si="33"/>
        <v>5331</v>
      </c>
      <c r="AS32" s="722">
        <f t="shared" si="33"/>
        <v>242.25</v>
      </c>
      <c r="AT32" s="722">
        <f t="shared" si="33"/>
        <v>6969.670000000001</v>
      </c>
      <c r="AU32" s="717">
        <f t="shared" si="33"/>
        <v>7211.920000000001</v>
      </c>
      <c r="AV32" s="717">
        <f t="shared" si="33"/>
        <v>3665.3305700000001</v>
      </c>
      <c r="AW32" s="718">
        <f t="shared" si="33"/>
        <v>66839333.170000002</v>
      </c>
      <c r="AX32" s="726">
        <f t="shared" si="33"/>
        <v>1586</v>
      </c>
      <c r="AY32" s="722">
        <f t="shared" si="33"/>
        <v>17.5</v>
      </c>
      <c r="AZ32" s="722">
        <f t="shared" ref="AZ32:BT32" si="34">SUM(AZ33:AZ55)</f>
        <v>1930.15</v>
      </c>
      <c r="BA32" s="717">
        <f t="shared" si="34"/>
        <v>1947.65</v>
      </c>
      <c r="BB32" s="717">
        <f t="shared" si="34"/>
        <v>974.44637</v>
      </c>
      <c r="BC32" s="718">
        <f t="shared" si="34"/>
        <v>16915378.390000004</v>
      </c>
      <c r="BD32" s="726">
        <f t="shared" si="34"/>
        <v>1</v>
      </c>
      <c r="BE32" s="722">
        <f t="shared" si="34"/>
        <v>0</v>
      </c>
      <c r="BF32" s="722">
        <f t="shared" si="34"/>
        <v>1.5</v>
      </c>
      <c r="BG32" s="717">
        <f t="shared" si="34"/>
        <v>1.5</v>
      </c>
      <c r="BH32" s="717">
        <f t="shared" si="34"/>
        <v>3.81</v>
      </c>
      <c r="BI32" s="718">
        <f t="shared" si="34"/>
        <v>64769.999999999993</v>
      </c>
      <c r="BJ32" s="715">
        <f t="shared" si="34"/>
        <v>45</v>
      </c>
      <c r="BK32" s="716">
        <f t="shared" si="34"/>
        <v>0</v>
      </c>
      <c r="BL32" s="716">
        <f t="shared" si="34"/>
        <v>62.5</v>
      </c>
      <c r="BM32" s="717">
        <f t="shared" si="34"/>
        <v>62.5</v>
      </c>
      <c r="BN32" s="717">
        <f t="shared" si="34"/>
        <v>30.307500000000005</v>
      </c>
      <c r="BO32" s="718">
        <f t="shared" si="34"/>
        <v>568633</v>
      </c>
      <c r="BP32" s="726">
        <f t="shared" si="34"/>
        <v>83</v>
      </c>
      <c r="BQ32" s="722">
        <f t="shared" si="34"/>
        <v>0</v>
      </c>
      <c r="BR32" s="722">
        <f t="shared" si="34"/>
        <v>138</v>
      </c>
      <c r="BS32" s="717">
        <f t="shared" si="34"/>
        <v>138</v>
      </c>
      <c r="BT32" s="717">
        <f t="shared" si="34"/>
        <v>393.17900000000003</v>
      </c>
      <c r="BU32" s="718">
        <f t="shared" ref="BU32:CF32" si="35">SUM(BU33:BU55)</f>
        <v>7243333</v>
      </c>
      <c r="BV32" s="726">
        <f t="shared" si="35"/>
        <v>2167</v>
      </c>
      <c r="BW32" s="722">
        <f t="shared" si="35"/>
        <v>500.49999999999994</v>
      </c>
      <c r="BX32" s="722">
        <f t="shared" si="35"/>
        <v>2509.5000000000005</v>
      </c>
      <c r="BY32" s="717">
        <f t="shared" si="35"/>
        <v>3010.0000000000005</v>
      </c>
      <c r="BZ32" s="717">
        <f t="shared" si="35"/>
        <v>3260.8301099999999</v>
      </c>
      <c r="CA32" s="718">
        <f t="shared" si="35"/>
        <v>50522222.699999996</v>
      </c>
      <c r="CB32" s="726">
        <f t="shared" si="35"/>
        <v>2001</v>
      </c>
      <c r="CC32" s="722">
        <f t="shared" si="35"/>
        <v>822.62000000000012</v>
      </c>
      <c r="CD32" s="722">
        <f t="shared" si="35"/>
        <v>2073.13</v>
      </c>
      <c r="CE32" s="717">
        <f t="shared" si="35"/>
        <v>2895.75</v>
      </c>
      <c r="CF32" s="717">
        <f t="shared" si="35"/>
        <v>2803.9662049999997</v>
      </c>
      <c r="CG32" s="718">
        <f t="shared" ref="CG32:CS32" si="36">SUM(CG33:CG55)</f>
        <v>57626517.905000001</v>
      </c>
      <c r="CH32" s="726">
        <f t="shared" si="36"/>
        <v>2167</v>
      </c>
      <c r="CI32" s="722">
        <f t="shared" si="36"/>
        <v>500.49999999999994</v>
      </c>
      <c r="CJ32" s="722">
        <f t="shared" si="36"/>
        <v>2509.5000000000005</v>
      </c>
      <c r="CK32" s="717">
        <f t="shared" si="36"/>
        <v>3010.0000000000005</v>
      </c>
      <c r="CL32" s="717">
        <f t="shared" si="36"/>
        <v>3260.8301099999999</v>
      </c>
      <c r="CM32" s="718">
        <f t="shared" si="36"/>
        <v>50522222.699999996</v>
      </c>
      <c r="CN32" s="726">
        <f t="shared" si="36"/>
        <v>5229</v>
      </c>
      <c r="CO32" s="722">
        <f t="shared" si="36"/>
        <v>1639.78</v>
      </c>
      <c r="CP32" s="722">
        <f t="shared" si="36"/>
        <v>5440.0000000000009</v>
      </c>
      <c r="CQ32" s="717">
        <f t="shared" si="36"/>
        <v>7079.78</v>
      </c>
      <c r="CR32" s="717">
        <f t="shared" si="36"/>
        <v>20405.371640000001</v>
      </c>
      <c r="CS32" s="718">
        <f t="shared" si="36"/>
        <v>293394400.81800002</v>
      </c>
    </row>
    <row r="33" spans="1:97" ht="16.5" x14ac:dyDescent="0.3">
      <c r="A33" s="709" t="s">
        <v>356</v>
      </c>
      <c r="B33" s="725">
        <v>8</v>
      </c>
      <c r="C33" s="3">
        <v>0</v>
      </c>
      <c r="D33" s="3">
        <v>0</v>
      </c>
      <c r="E33" s="4">
        <f t="shared" ref="E33:E55" si="37">SUM(C33:D33)</f>
        <v>0</v>
      </c>
      <c r="F33" s="4">
        <v>0</v>
      </c>
      <c r="G33" s="7">
        <v>22000</v>
      </c>
      <c r="H33" s="725">
        <v>334</v>
      </c>
      <c r="I33" s="3">
        <v>65</v>
      </c>
      <c r="J33" s="3">
        <v>153</v>
      </c>
      <c r="K33" s="4">
        <f t="shared" ref="K33:K55" si="38">SUM(I33:J33)</f>
        <v>218</v>
      </c>
      <c r="L33" s="4">
        <v>0</v>
      </c>
      <c r="M33" s="7">
        <v>4210034</v>
      </c>
      <c r="N33" s="725">
        <v>0</v>
      </c>
      <c r="O33" s="3">
        <v>0</v>
      </c>
      <c r="P33" s="3">
        <v>218</v>
      </c>
      <c r="Q33" s="4">
        <f t="shared" si="7"/>
        <v>218</v>
      </c>
      <c r="R33" s="4">
        <v>0</v>
      </c>
      <c r="S33" s="7">
        <v>278624</v>
      </c>
      <c r="T33" s="725">
        <v>0</v>
      </c>
      <c r="U33" s="3">
        <v>76</v>
      </c>
      <c r="V33" s="3">
        <v>428</v>
      </c>
      <c r="W33" s="4">
        <f t="shared" si="8"/>
        <v>504</v>
      </c>
      <c r="X33" s="4">
        <v>180.67000000000002</v>
      </c>
      <c r="Y33" s="7">
        <v>5765544.7999999998</v>
      </c>
      <c r="Z33" s="725">
        <v>0</v>
      </c>
      <c r="AA33" s="3">
        <v>0</v>
      </c>
      <c r="AB33" s="3">
        <v>155</v>
      </c>
      <c r="AC33" s="4">
        <f t="shared" si="9"/>
        <v>155</v>
      </c>
      <c r="AD33" s="4">
        <v>62.93</v>
      </c>
      <c r="AE33" s="7">
        <v>1069810</v>
      </c>
      <c r="AF33" s="725">
        <v>100</v>
      </c>
      <c r="AG33" s="3">
        <v>100</v>
      </c>
      <c r="AH33" s="3">
        <v>18.5</v>
      </c>
      <c r="AI33" s="4">
        <f t="shared" si="10"/>
        <v>118.5</v>
      </c>
      <c r="AJ33" s="4">
        <v>11.24</v>
      </c>
      <c r="AK33" s="7">
        <v>2740298.75</v>
      </c>
      <c r="AL33" s="725"/>
      <c r="AM33" s="3"/>
      <c r="AN33" s="3"/>
      <c r="AO33" s="4">
        <f t="shared" si="11"/>
        <v>0</v>
      </c>
      <c r="AP33" s="4"/>
      <c r="AQ33" s="7"/>
      <c r="AR33" s="725">
        <v>91</v>
      </c>
      <c r="AS33" s="3">
        <v>0</v>
      </c>
      <c r="AT33" s="3">
        <v>54</v>
      </c>
      <c r="AU33" s="4">
        <f t="shared" si="12"/>
        <v>54</v>
      </c>
      <c r="AV33" s="4"/>
      <c r="AW33" s="7">
        <v>252976.40000000002</v>
      </c>
      <c r="AX33" s="725"/>
      <c r="AY33" s="3"/>
      <c r="AZ33" s="3"/>
      <c r="BA33" s="4">
        <f t="shared" si="13"/>
        <v>0</v>
      </c>
      <c r="BB33" s="4"/>
      <c r="BC33" s="7"/>
      <c r="BD33" s="725"/>
      <c r="BE33" s="3"/>
      <c r="BF33" s="3"/>
      <c r="BG33" s="4">
        <f t="shared" si="14"/>
        <v>0</v>
      </c>
      <c r="BH33" s="4"/>
      <c r="BI33" s="7"/>
      <c r="BJ33" s="6">
        <v>29</v>
      </c>
      <c r="BK33" s="5">
        <v>0</v>
      </c>
      <c r="BL33" s="5">
        <v>45</v>
      </c>
      <c r="BM33" s="4">
        <f t="shared" si="15"/>
        <v>45</v>
      </c>
      <c r="BN33" s="4">
        <v>30.307500000000005</v>
      </c>
      <c r="BO33" s="7">
        <v>515227.50000000006</v>
      </c>
      <c r="BP33" s="725"/>
      <c r="BQ33" s="3"/>
      <c r="BR33" s="3"/>
      <c r="BS33" s="4">
        <f t="shared" si="16"/>
        <v>0</v>
      </c>
      <c r="BT33" s="4"/>
      <c r="BU33" s="7"/>
      <c r="BV33" s="725">
        <v>51</v>
      </c>
      <c r="BW33" s="3">
        <v>0</v>
      </c>
      <c r="BX33" s="3">
        <v>47.6</v>
      </c>
      <c r="BY33" s="4">
        <f t="shared" ref="BY33:BY55" si="39">SUM(BW33:BX33)</f>
        <v>47.6</v>
      </c>
      <c r="BZ33" s="4">
        <v>44.775499999999994</v>
      </c>
      <c r="CA33" s="7">
        <v>634524.69999999995</v>
      </c>
      <c r="CB33" s="725"/>
      <c r="CC33" s="3"/>
      <c r="CD33" s="3"/>
      <c r="CE33" s="4">
        <f t="shared" ref="CE33:CE55" si="40">SUM(CC33:CD33)</f>
        <v>0</v>
      </c>
      <c r="CF33" s="4"/>
      <c r="CG33" s="7"/>
      <c r="CH33" s="725">
        <v>51</v>
      </c>
      <c r="CI33" s="3">
        <v>0</v>
      </c>
      <c r="CJ33" s="3">
        <v>47.6</v>
      </c>
      <c r="CK33" s="4">
        <f t="shared" ref="CK33:CK45" si="41">SUM(CI33:CJ33)</f>
        <v>47.6</v>
      </c>
      <c r="CL33" s="4">
        <v>44.775499999999994</v>
      </c>
      <c r="CM33" s="7">
        <v>634524.69999999995</v>
      </c>
      <c r="CN33" s="725">
        <v>554</v>
      </c>
      <c r="CO33" s="3">
        <v>20</v>
      </c>
      <c r="CP33" s="3">
        <v>597.65000000000009</v>
      </c>
      <c r="CQ33" s="4">
        <f t="shared" ref="CQ33:CQ55" si="42">SUM(CO33:CP33)</f>
        <v>617.65000000000009</v>
      </c>
      <c r="CR33" s="4">
        <v>959.94319999999993</v>
      </c>
      <c r="CS33" s="7">
        <v>10203330.4</v>
      </c>
    </row>
    <row r="34" spans="1:97" ht="16.5" x14ac:dyDescent="0.3">
      <c r="A34" s="709" t="s">
        <v>361</v>
      </c>
      <c r="B34" s="725">
        <v>5</v>
      </c>
      <c r="C34" s="3">
        <v>0</v>
      </c>
      <c r="D34" s="3">
        <v>0</v>
      </c>
      <c r="E34" s="4">
        <f t="shared" si="37"/>
        <v>0</v>
      </c>
      <c r="F34" s="4">
        <v>0</v>
      </c>
      <c r="G34" s="7">
        <v>11000</v>
      </c>
      <c r="H34" s="725">
        <v>327</v>
      </c>
      <c r="I34" s="3">
        <v>114</v>
      </c>
      <c r="J34" s="3">
        <v>131</v>
      </c>
      <c r="K34" s="4">
        <f t="shared" si="38"/>
        <v>245</v>
      </c>
      <c r="L34" s="4">
        <v>472.95</v>
      </c>
      <c r="M34" s="7">
        <v>10244745</v>
      </c>
      <c r="N34" s="725">
        <v>0</v>
      </c>
      <c r="O34" s="3">
        <v>1</v>
      </c>
      <c r="P34" s="3">
        <v>60</v>
      </c>
      <c r="Q34" s="4">
        <f t="shared" si="7"/>
        <v>61</v>
      </c>
      <c r="R34" s="4">
        <v>12.419999999999998</v>
      </c>
      <c r="S34" s="7">
        <v>268612</v>
      </c>
      <c r="T34" s="725">
        <v>498</v>
      </c>
      <c r="U34" s="3">
        <v>461.90000000000003</v>
      </c>
      <c r="V34" s="3">
        <v>132</v>
      </c>
      <c r="W34" s="4">
        <f t="shared" si="8"/>
        <v>593.90000000000009</v>
      </c>
      <c r="X34" s="4">
        <v>1765.9170000000001</v>
      </c>
      <c r="Y34" s="7">
        <v>31852533.800000004</v>
      </c>
      <c r="Z34" s="725">
        <v>690</v>
      </c>
      <c r="AA34" s="3">
        <v>699.32999999999993</v>
      </c>
      <c r="AB34" s="3">
        <v>55</v>
      </c>
      <c r="AC34" s="4">
        <f t="shared" si="9"/>
        <v>754.32999999999993</v>
      </c>
      <c r="AD34" s="4"/>
      <c r="AE34" s="7">
        <v>20799808.879999999</v>
      </c>
      <c r="AF34" s="725">
        <v>97</v>
      </c>
      <c r="AG34" s="3">
        <v>140</v>
      </c>
      <c r="AH34" s="3">
        <v>0</v>
      </c>
      <c r="AI34" s="4">
        <f t="shared" si="10"/>
        <v>140</v>
      </c>
      <c r="AJ34" s="4">
        <v>384.75</v>
      </c>
      <c r="AK34" s="7">
        <v>7833870</v>
      </c>
      <c r="AL34" s="725"/>
      <c r="AM34" s="3"/>
      <c r="AN34" s="3"/>
      <c r="AO34" s="4">
        <f t="shared" si="11"/>
        <v>0</v>
      </c>
      <c r="AP34" s="4"/>
      <c r="AQ34" s="7"/>
      <c r="AR34" s="725">
        <v>87</v>
      </c>
      <c r="AS34" s="3">
        <v>45</v>
      </c>
      <c r="AT34" s="3">
        <v>42</v>
      </c>
      <c r="AU34" s="4">
        <f t="shared" si="12"/>
        <v>87</v>
      </c>
      <c r="AV34" s="4">
        <v>0</v>
      </c>
      <c r="AW34" s="7">
        <v>1353465.6</v>
      </c>
      <c r="AX34" s="725"/>
      <c r="AY34" s="3"/>
      <c r="AZ34" s="3"/>
      <c r="BA34" s="4">
        <f t="shared" si="13"/>
        <v>0</v>
      </c>
      <c r="BB34" s="4"/>
      <c r="BC34" s="7"/>
      <c r="BD34" s="725"/>
      <c r="BE34" s="3"/>
      <c r="BF34" s="3"/>
      <c r="BG34" s="4">
        <f t="shared" si="14"/>
        <v>0</v>
      </c>
      <c r="BH34" s="4"/>
      <c r="BI34" s="7"/>
      <c r="BJ34" s="8"/>
      <c r="BK34" s="3"/>
      <c r="BL34" s="3"/>
      <c r="BM34" s="4">
        <f t="shared" si="15"/>
        <v>0</v>
      </c>
      <c r="BN34" s="4"/>
      <c r="BO34" s="7"/>
      <c r="BP34" s="725"/>
      <c r="BQ34" s="3"/>
      <c r="BR34" s="3"/>
      <c r="BS34" s="4">
        <f t="shared" si="16"/>
        <v>0</v>
      </c>
      <c r="BT34" s="4"/>
      <c r="BU34" s="7"/>
      <c r="BV34" s="725"/>
      <c r="BW34" s="3"/>
      <c r="BX34" s="3"/>
      <c r="BY34" s="4">
        <f t="shared" si="39"/>
        <v>0</v>
      </c>
      <c r="BZ34" s="4"/>
      <c r="CA34" s="7"/>
      <c r="CB34" s="725">
        <v>34</v>
      </c>
      <c r="CC34" s="3">
        <v>0</v>
      </c>
      <c r="CD34" s="3">
        <v>46.7</v>
      </c>
      <c r="CE34" s="4">
        <f t="shared" si="40"/>
        <v>46.7</v>
      </c>
      <c r="CF34" s="4">
        <v>63.29699999999999</v>
      </c>
      <c r="CG34" s="7">
        <v>822861</v>
      </c>
      <c r="CH34" s="725"/>
      <c r="CI34" s="3"/>
      <c r="CJ34" s="3"/>
      <c r="CK34" s="4">
        <f t="shared" si="41"/>
        <v>0</v>
      </c>
      <c r="CL34" s="4"/>
      <c r="CM34" s="7"/>
      <c r="CN34" s="725">
        <v>351</v>
      </c>
      <c r="CO34" s="3">
        <v>0</v>
      </c>
      <c r="CP34" s="3">
        <v>586.5</v>
      </c>
      <c r="CQ34" s="4">
        <f t="shared" si="42"/>
        <v>586.5</v>
      </c>
      <c r="CR34" s="4">
        <v>1269.2159999999999</v>
      </c>
      <c r="CS34" s="7">
        <v>16621936</v>
      </c>
    </row>
    <row r="35" spans="1:97" ht="16.5" x14ac:dyDescent="0.3">
      <c r="A35" s="709" t="s">
        <v>360</v>
      </c>
      <c r="B35" s="725"/>
      <c r="C35" s="3"/>
      <c r="D35" s="3"/>
      <c r="E35" s="4">
        <f t="shared" si="37"/>
        <v>0</v>
      </c>
      <c r="G35" s="7"/>
      <c r="H35" s="725">
        <v>83</v>
      </c>
      <c r="I35" s="3">
        <v>92.5</v>
      </c>
      <c r="J35" s="3">
        <v>2.5</v>
      </c>
      <c r="K35" s="4">
        <f t="shared" si="38"/>
        <v>95</v>
      </c>
      <c r="L35" s="4">
        <v>0</v>
      </c>
      <c r="M35" s="7">
        <v>2446290</v>
      </c>
      <c r="N35" s="725">
        <v>142</v>
      </c>
      <c r="O35" s="3">
        <v>3</v>
      </c>
      <c r="P35" s="3">
        <v>76.5</v>
      </c>
      <c r="Q35" s="4">
        <f t="shared" si="7"/>
        <v>79.5</v>
      </c>
      <c r="R35" s="4">
        <v>0</v>
      </c>
      <c r="S35" s="7">
        <v>173868.5</v>
      </c>
      <c r="T35" s="725">
        <v>385</v>
      </c>
      <c r="U35" s="3">
        <v>211.1</v>
      </c>
      <c r="V35" s="3">
        <v>203</v>
      </c>
      <c r="W35" s="4">
        <f t="shared" si="8"/>
        <v>414.1</v>
      </c>
      <c r="X35" s="4">
        <v>1057.77</v>
      </c>
      <c r="Y35" s="7">
        <v>18854155.600000001</v>
      </c>
      <c r="Z35" s="725"/>
      <c r="AA35" s="3"/>
      <c r="AB35" s="3"/>
      <c r="AC35" s="4">
        <f t="shared" si="9"/>
        <v>0</v>
      </c>
      <c r="AD35" s="4"/>
      <c r="AE35" s="7"/>
      <c r="AF35" s="725">
        <v>474</v>
      </c>
      <c r="AG35" s="3">
        <v>0</v>
      </c>
      <c r="AH35" s="3">
        <v>514.5</v>
      </c>
      <c r="AI35" s="4">
        <f t="shared" si="10"/>
        <v>514.5</v>
      </c>
      <c r="AJ35" s="4">
        <v>249.33</v>
      </c>
      <c r="AK35" s="7">
        <v>4563352.2999999989</v>
      </c>
      <c r="AL35" s="725"/>
      <c r="AM35" s="3"/>
      <c r="AN35" s="3"/>
      <c r="AO35" s="4">
        <f t="shared" si="11"/>
        <v>0</v>
      </c>
      <c r="AP35" s="4"/>
      <c r="AQ35" s="7"/>
      <c r="AR35" s="725">
        <v>185</v>
      </c>
      <c r="AS35" s="3">
        <v>3.25</v>
      </c>
      <c r="AT35" s="3">
        <v>25</v>
      </c>
      <c r="AU35" s="4">
        <f t="shared" si="12"/>
        <v>28.25</v>
      </c>
      <c r="AV35" s="4">
        <v>0</v>
      </c>
      <c r="AW35" s="7">
        <v>183916.1</v>
      </c>
      <c r="AX35" s="725">
        <v>96</v>
      </c>
      <c r="AY35" s="3"/>
      <c r="AZ35" s="3">
        <v>126.25</v>
      </c>
      <c r="BA35" s="4">
        <f t="shared" si="13"/>
        <v>126.25</v>
      </c>
      <c r="BB35" s="4">
        <v>54.540000000000006</v>
      </c>
      <c r="BC35" s="7">
        <v>927180.00000000012</v>
      </c>
      <c r="BD35" s="725"/>
      <c r="BE35" s="3"/>
      <c r="BF35" s="3"/>
      <c r="BG35" s="4">
        <f t="shared" si="14"/>
        <v>0</v>
      </c>
      <c r="BH35" s="4"/>
      <c r="BI35" s="7"/>
      <c r="BJ35" s="8"/>
      <c r="BK35" s="3"/>
      <c r="BL35" s="3"/>
      <c r="BM35" s="4">
        <f t="shared" si="15"/>
        <v>0</v>
      </c>
      <c r="BN35" s="4"/>
      <c r="BO35" s="7"/>
      <c r="BP35" s="725"/>
      <c r="BQ35" s="3"/>
      <c r="BR35" s="3"/>
      <c r="BS35" s="4">
        <f t="shared" si="16"/>
        <v>0</v>
      </c>
      <c r="BT35" s="4"/>
      <c r="BU35" s="7"/>
      <c r="BV35" s="725">
        <v>287</v>
      </c>
      <c r="BW35" s="3">
        <v>0</v>
      </c>
      <c r="BX35" s="3">
        <v>334.29999999999995</v>
      </c>
      <c r="BY35" s="4">
        <f t="shared" si="39"/>
        <v>334.29999999999995</v>
      </c>
      <c r="BZ35" s="4">
        <v>351.49302</v>
      </c>
      <c r="CA35" s="7">
        <v>4509861.3099999996</v>
      </c>
      <c r="CB35" s="725"/>
      <c r="CC35" s="3"/>
      <c r="CD35" s="3"/>
      <c r="CE35" s="4">
        <f t="shared" si="40"/>
        <v>0</v>
      </c>
      <c r="CF35" s="4"/>
      <c r="CG35" s="7"/>
      <c r="CH35" s="725">
        <v>287</v>
      </c>
      <c r="CI35" s="3">
        <v>0</v>
      </c>
      <c r="CJ35" s="3">
        <v>334.29999999999995</v>
      </c>
      <c r="CK35" s="4">
        <f t="shared" si="41"/>
        <v>334.29999999999995</v>
      </c>
      <c r="CL35" s="4">
        <v>351.49302</v>
      </c>
      <c r="CM35" s="7">
        <v>4509861.3099999996</v>
      </c>
      <c r="CN35" s="725">
        <v>473</v>
      </c>
      <c r="CO35" s="3">
        <v>0</v>
      </c>
      <c r="CP35" s="3">
        <v>816</v>
      </c>
      <c r="CQ35" s="4">
        <f t="shared" si="42"/>
        <v>816</v>
      </c>
      <c r="CR35" s="4">
        <v>2164.6439999999998</v>
      </c>
      <c r="CS35" s="7">
        <v>28571411.999999996</v>
      </c>
    </row>
    <row r="36" spans="1:97" ht="16.5" x14ac:dyDescent="0.3">
      <c r="A36" s="709" t="s">
        <v>359</v>
      </c>
      <c r="B36" s="725"/>
      <c r="C36" s="3"/>
      <c r="D36" s="3"/>
      <c r="E36" s="4">
        <f t="shared" si="37"/>
        <v>0</v>
      </c>
      <c r="G36" s="7"/>
      <c r="H36" s="725">
        <v>0</v>
      </c>
      <c r="I36" s="3">
        <v>0</v>
      </c>
      <c r="J36" s="3">
        <v>40.5</v>
      </c>
      <c r="K36" s="4">
        <f t="shared" si="38"/>
        <v>40.5</v>
      </c>
      <c r="L36" s="4">
        <v>0</v>
      </c>
      <c r="M36" s="7">
        <v>552753</v>
      </c>
      <c r="N36" s="725"/>
      <c r="O36" s="3"/>
      <c r="P36" s="3">
        <v>35.5</v>
      </c>
      <c r="Q36" s="4">
        <f t="shared" si="7"/>
        <v>35.5</v>
      </c>
      <c r="R36" s="4"/>
      <c r="S36" s="7">
        <v>44609.3</v>
      </c>
      <c r="T36" s="725">
        <v>165</v>
      </c>
      <c r="U36" s="3">
        <v>185.5</v>
      </c>
      <c r="V36" s="3">
        <v>0</v>
      </c>
      <c r="W36" s="4">
        <f t="shared" si="8"/>
        <v>185.5</v>
      </c>
      <c r="X36" s="4">
        <v>505.18</v>
      </c>
      <c r="Y36" s="7">
        <v>10067964</v>
      </c>
      <c r="Z36" s="725">
        <v>12</v>
      </c>
      <c r="AA36" s="3">
        <v>21.1</v>
      </c>
      <c r="AB36" s="3"/>
      <c r="AC36" s="4">
        <f t="shared" si="9"/>
        <v>21.1</v>
      </c>
      <c r="AD36" s="4"/>
      <c r="AE36" s="7">
        <v>568127.19999999995</v>
      </c>
      <c r="AF36" s="725">
        <v>58</v>
      </c>
      <c r="AG36" s="3">
        <v>46.5</v>
      </c>
      <c r="AH36" s="3">
        <v>0</v>
      </c>
      <c r="AI36" s="4">
        <f t="shared" si="10"/>
        <v>46.5</v>
      </c>
      <c r="AJ36" s="4">
        <v>3.73</v>
      </c>
      <c r="AK36" s="734">
        <v>1210520</v>
      </c>
      <c r="AL36" s="725"/>
      <c r="AM36" s="3"/>
      <c r="AN36" s="3"/>
      <c r="AO36" s="4">
        <f t="shared" si="11"/>
        <v>0</v>
      </c>
      <c r="AP36" s="4"/>
      <c r="AQ36" s="7"/>
      <c r="AR36" s="725">
        <v>89</v>
      </c>
      <c r="AS36" s="3">
        <v>0</v>
      </c>
      <c r="AT36" s="3">
        <v>42.36</v>
      </c>
      <c r="AU36" s="4">
        <f t="shared" si="12"/>
        <v>42.36</v>
      </c>
      <c r="AV36" s="4">
        <v>2.4960000000000004</v>
      </c>
      <c r="AW36" s="7">
        <v>124339.67600000001</v>
      </c>
      <c r="AX36" s="725">
        <v>11</v>
      </c>
      <c r="AY36" s="3">
        <v>0</v>
      </c>
      <c r="AZ36" s="3">
        <v>13</v>
      </c>
      <c r="BA36" s="4">
        <f t="shared" si="13"/>
        <v>13</v>
      </c>
      <c r="BB36" s="4">
        <v>0.96</v>
      </c>
      <c r="BC36" s="7">
        <v>31226.2</v>
      </c>
      <c r="BD36" s="725"/>
      <c r="BE36" s="3"/>
      <c r="BF36" s="3"/>
      <c r="BG36" s="4">
        <f t="shared" si="14"/>
        <v>0</v>
      </c>
      <c r="BH36" s="4"/>
      <c r="BI36" s="7"/>
      <c r="BJ36" s="8"/>
      <c r="BK36" s="3"/>
      <c r="BL36" s="3"/>
      <c r="BM36" s="4">
        <f t="shared" si="15"/>
        <v>0</v>
      </c>
      <c r="BN36" s="4"/>
      <c r="BO36" s="7"/>
      <c r="BP36" s="725"/>
      <c r="BQ36" s="3"/>
      <c r="BR36" s="3"/>
      <c r="BS36" s="4">
        <f t="shared" si="16"/>
        <v>0</v>
      </c>
      <c r="BT36" s="4"/>
      <c r="BU36" s="7"/>
      <c r="BV36" s="725"/>
      <c r="BW36" s="3"/>
      <c r="BX36" s="3"/>
      <c r="BY36" s="4">
        <f t="shared" si="39"/>
        <v>0</v>
      </c>
      <c r="BZ36" s="4"/>
      <c r="CA36" s="7"/>
      <c r="CB36" s="725"/>
      <c r="CC36" s="3"/>
      <c r="CD36" s="3"/>
      <c r="CE36" s="4">
        <f t="shared" si="40"/>
        <v>0</v>
      </c>
      <c r="CF36" s="4"/>
      <c r="CG36" s="7"/>
      <c r="CH36" s="725"/>
      <c r="CI36" s="3"/>
      <c r="CJ36" s="3"/>
      <c r="CK36" s="4">
        <f t="shared" si="41"/>
        <v>0</v>
      </c>
      <c r="CL36" s="4"/>
      <c r="CM36" s="7"/>
      <c r="CN36" s="725">
        <v>68</v>
      </c>
      <c r="CO36" s="3">
        <v>0</v>
      </c>
      <c r="CP36" s="3">
        <v>72.03</v>
      </c>
      <c r="CQ36" s="4">
        <f t="shared" si="42"/>
        <v>72.03</v>
      </c>
      <c r="CR36" s="4">
        <v>122.8068</v>
      </c>
      <c r="CS36" s="7">
        <v>1979769.1679999998</v>
      </c>
    </row>
    <row r="37" spans="1:97" ht="16.5" x14ac:dyDescent="0.3">
      <c r="A37" s="709" t="s">
        <v>358</v>
      </c>
      <c r="B37" s="725"/>
      <c r="C37" s="3"/>
      <c r="D37" s="3"/>
      <c r="E37" s="4">
        <f t="shared" si="37"/>
        <v>0</v>
      </c>
      <c r="G37" s="7"/>
      <c r="H37" s="725">
        <v>7</v>
      </c>
      <c r="I37" s="3">
        <v>2</v>
      </c>
      <c r="J37" s="3">
        <v>4.9000000000000004</v>
      </c>
      <c r="K37" s="4">
        <f t="shared" si="38"/>
        <v>6.9</v>
      </c>
      <c r="L37" s="4">
        <v>0.37</v>
      </c>
      <c r="M37" s="7">
        <v>125758.6</v>
      </c>
      <c r="N37" s="725">
        <v>0</v>
      </c>
      <c r="O37" s="3">
        <v>0</v>
      </c>
      <c r="P37" s="3">
        <v>37.5</v>
      </c>
      <c r="Q37" s="4">
        <f t="shared" si="7"/>
        <v>37.5</v>
      </c>
      <c r="R37" s="4">
        <v>1.865</v>
      </c>
      <c r="S37" s="7">
        <v>128557.40000000001</v>
      </c>
      <c r="T37" s="725">
        <v>20</v>
      </c>
      <c r="U37" s="3">
        <v>30.25</v>
      </c>
      <c r="V37" s="3">
        <v>20.6</v>
      </c>
      <c r="W37" s="4">
        <f t="shared" si="8"/>
        <v>50.85</v>
      </c>
      <c r="X37" s="4">
        <v>68.072500000000005</v>
      </c>
      <c r="Y37" s="7">
        <v>1488414.58</v>
      </c>
      <c r="Z37" s="725">
        <v>113</v>
      </c>
      <c r="AA37" s="3">
        <v>64.099999999999994</v>
      </c>
      <c r="AB37" s="3">
        <v>7</v>
      </c>
      <c r="AC37" s="4">
        <f t="shared" si="9"/>
        <v>71.099999999999994</v>
      </c>
      <c r="AD37" s="4">
        <v>14.7</v>
      </c>
      <c r="AE37" s="7">
        <v>2081649.6</v>
      </c>
      <c r="AF37" s="725">
        <v>13</v>
      </c>
      <c r="AG37" s="3">
        <v>8.5</v>
      </c>
      <c r="AH37" s="3">
        <v>1.5</v>
      </c>
      <c r="AI37" s="4">
        <f t="shared" si="10"/>
        <v>10</v>
      </c>
      <c r="AJ37" s="4">
        <v>0.28000000000000003</v>
      </c>
      <c r="AK37" s="7">
        <v>249327.35</v>
      </c>
      <c r="AL37" s="725">
        <v>16</v>
      </c>
      <c r="AM37" s="3">
        <v>15.5</v>
      </c>
      <c r="AN37" s="3">
        <v>2</v>
      </c>
      <c r="AO37" s="4">
        <f t="shared" si="11"/>
        <v>17.5</v>
      </c>
      <c r="AP37" s="4"/>
      <c r="AQ37" s="7">
        <v>399598.8</v>
      </c>
      <c r="AR37" s="725">
        <v>14</v>
      </c>
      <c r="AS37" s="3">
        <v>0</v>
      </c>
      <c r="AT37" s="3">
        <v>13</v>
      </c>
      <c r="AU37" s="4">
        <f t="shared" si="12"/>
        <v>13</v>
      </c>
      <c r="AV37" s="4">
        <v>4.5540000000000003</v>
      </c>
      <c r="AW37" s="7">
        <v>79302.899999999994</v>
      </c>
      <c r="AX37" s="725">
        <v>4</v>
      </c>
      <c r="AY37" s="3">
        <v>2</v>
      </c>
      <c r="AZ37" s="3">
        <v>1.5</v>
      </c>
      <c r="BA37" s="4">
        <f t="shared" si="13"/>
        <v>3.5</v>
      </c>
      <c r="BB37" s="4">
        <v>0</v>
      </c>
      <c r="BC37" s="7">
        <v>4398.1000000000004</v>
      </c>
      <c r="BD37" s="725"/>
      <c r="BE37" s="3"/>
      <c r="BF37" s="3"/>
      <c r="BG37" s="4">
        <f t="shared" si="14"/>
        <v>0</v>
      </c>
      <c r="BH37" s="4"/>
      <c r="BI37" s="7"/>
      <c r="BJ37" s="8">
        <v>7</v>
      </c>
      <c r="BK37" s="3">
        <v>0</v>
      </c>
      <c r="BL37" s="3">
        <v>2.5</v>
      </c>
      <c r="BM37" s="4">
        <f t="shared" si="15"/>
        <v>2.5</v>
      </c>
      <c r="BN37" s="4">
        <v>0</v>
      </c>
      <c r="BO37" s="7">
        <v>9424.5</v>
      </c>
      <c r="BP37" s="725"/>
      <c r="BQ37" s="3"/>
      <c r="BR37" s="3"/>
      <c r="BS37" s="4">
        <f t="shared" si="16"/>
        <v>0</v>
      </c>
      <c r="BT37" s="4"/>
      <c r="BU37" s="7"/>
      <c r="BV37" s="725"/>
      <c r="BW37" s="3"/>
      <c r="BX37" s="3"/>
      <c r="BY37" s="4">
        <f t="shared" si="39"/>
        <v>0</v>
      </c>
      <c r="BZ37" s="4"/>
      <c r="CA37" s="7"/>
      <c r="CB37" s="725"/>
      <c r="CC37" s="3"/>
      <c r="CD37" s="3"/>
      <c r="CE37" s="4">
        <f t="shared" si="40"/>
        <v>0</v>
      </c>
      <c r="CF37" s="4"/>
      <c r="CG37" s="7"/>
      <c r="CH37" s="725"/>
      <c r="CI37" s="3"/>
      <c r="CJ37" s="3"/>
      <c r="CK37" s="4">
        <f t="shared" si="41"/>
        <v>0</v>
      </c>
      <c r="CL37" s="4"/>
      <c r="CM37" s="7"/>
      <c r="CN37" s="725">
        <v>3</v>
      </c>
      <c r="CO37" s="3">
        <v>0</v>
      </c>
      <c r="CP37" s="3">
        <v>4.5</v>
      </c>
      <c r="CQ37" s="4">
        <f t="shared" si="42"/>
        <v>4.5</v>
      </c>
      <c r="CR37" s="4">
        <v>6.3899999999999988</v>
      </c>
      <c r="CS37" s="7">
        <v>108201.99999999999</v>
      </c>
    </row>
    <row r="38" spans="1:97" ht="16.5" x14ac:dyDescent="0.3">
      <c r="A38" s="709" t="s">
        <v>357</v>
      </c>
      <c r="B38" s="725">
        <v>17</v>
      </c>
      <c r="C38" s="3">
        <v>12</v>
      </c>
      <c r="D38" s="3">
        <v>5</v>
      </c>
      <c r="E38" s="4">
        <f t="shared" si="37"/>
        <v>17</v>
      </c>
      <c r="F38" s="4">
        <v>0</v>
      </c>
      <c r="G38" s="7">
        <v>273125</v>
      </c>
      <c r="H38" s="725">
        <v>129</v>
      </c>
      <c r="I38" s="3">
        <v>130</v>
      </c>
      <c r="J38" s="3">
        <v>28</v>
      </c>
      <c r="K38" s="4">
        <f t="shared" si="38"/>
        <v>158</v>
      </c>
      <c r="L38" s="4">
        <v>109.25</v>
      </c>
      <c r="M38" s="7">
        <v>4847874</v>
      </c>
      <c r="N38" s="725"/>
      <c r="O38" s="3"/>
      <c r="P38" s="3"/>
      <c r="Q38" s="4">
        <f t="shared" si="7"/>
        <v>0</v>
      </c>
      <c r="R38" s="4"/>
      <c r="S38" s="7"/>
      <c r="T38" s="725">
        <v>0</v>
      </c>
      <c r="U38" s="3">
        <v>967</v>
      </c>
      <c r="V38" s="3">
        <v>416.72</v>
      </c>
      <c r="W38" s="4">
        <f t="shared" si="8"/>
        <v>1383.72</v>
      </c>
      <c r="X38" s="4">
        <v>5524.1920000000009</v>
      </c>
      <c r="Y38" s="7">
        <v>93911264</v>
      </c>
      <c r="Z38" s="725"/>
      <c r="AA38" s="3"/>
      <c r="AB38" s="3"/>
      <c r="AC38" s="4">
        <f t="shared" si="9"/>
        <v>0</v>
      </c>
      <c r="AD38" s="4"/>
      <c r="AE38" s="7"/>
      <c r="AF38" s="725">
        <v>217</v>
      </c>
      <c r="AG38" s="3">
        <v>0</v>
      </c>
      <c r="AH38" s="3">
        <v>277</v>
      </c>
      <c r="AI38" s="4">
        <f t="shared" si="10"/>
        <v>277</v>
      </c>
      <c r="AJ38" s="4">
        <v>143.55000000000001</v>
      </c>
      <c r="AK38" s="7">
        <v>2607095.2999999998</v>
      </c>
      <c r="AL38" s="725"/>
      <c r="AM38" s="3"/>
      <c r="AN38" s="3"/>
      <c r="AO38" s="4">
        <f t="shared" si="11"/>
        <v>0</v>
      </c>
      <c r="AP38" s="4"/>
      <c r="AQ38" s="7"/>
      <c r="AR38" s="725">
        <v>229</v>
      </c>
      <c r="AS38" s="3">
        <v>35</v>
      </c>
      <c r="AT38" s="3">
        <v>175</v>
      </c>
      <c r="AU38" s="4">
        <f t="shared" si="12"/>
        <v>210</v>
      </c>
      <c r="AV38" s="4">
        <v>238.57599999999999</v>
      </c>
      <c r="AW38" s="7">
        <v>4119011.2</v>
      </c>
      <c r="AX38" s="725">
        <v>406</v>
      </c>
      <c r="AY38" s="3">
        <v>0</v>
      </c>
      <c r="AZ38" s="3">
        <v>394</v>
      </c>
      <c r="BA38" s="4">
        <f t="shared" si="13"/>
        <v>394</v>
      </c>
      <c r="BB38" s="4">
        <v>195.42400000000001</v>
      </c>
      <c r="BC38" s="7">
        <v>3322208</v>
      </c>
      <c r="BD38" s="725"/>
      <c r="BE38" s="3"/>
      <c r="BF38" s="3"/>
      <c r="BG38" s="4">
        <f t="shared" si="14"/>
        <v>0</v>
      </c>
      <c r="BH38" s="4"/>
      <c r="BI38" s="7"/>
      <c r="BJ38" s="8"/>
      <c r="BK38" s="3"/>
      <c r="BL38" s="3"/>
      <c r="BM38" s="4">
        <f t="shared" si="15"/>
        <v>0</v>
      </c>
      <c r="BN38" s="4"/>
      <c r="BO38" s="7"/>
      <c r="BP38" s="725"/>
      <c r="BQ38" s="3"/>
      <c r="BR38" s="3"/>
      <c r="BS38" s="4">
        <f t="shared" si="16"/>
        <v>0</v>
      </c>
      <c r="BT38" s="4"/>
      <c r="BU38" s="7"/>
      <c r="BV38" s="725"/>
      <c r="BW38" s="3"/>
      <c r="BX38" s="3"/>
      <c r="BY38" s="4">
        <f t="shared" si="39"/>
        <v>0</v>
      </c>
      <c r="BZ38" s="4"/>
      <c r="CA38" s="7"/>
      <c r="CB38" s="725">
        <v>334</v>
      </c>
      <c r="CC38" s="3">
        <v>0</v>
      </c>
      <c r="CD38" s="3">
        <v>394.46999999999997</v>
      </c>
      <c r="CE38" s="4">
        <f t="shared" si="40"/>
        <v>394.46999999999997</v>
      </c>
      <c r="CF38" s="4">
        <v>452.43657999999994</v>
      </c>
      <c r="CG38" s="7">
        <v>5881675.5399999991</v>
      </c>
      <c r="CH38" s="725"/>
      <c r="CI38" s="3"/>
      <c r="CJ38" s="3"/>
      <c r="CK38" s="4">
        <f t="shared" si="41"/>
        <v>0</v>
      </c>
      <c r="CL38" s="4"/>
      <c r="CM38" s="7"/>
      <c r="CN38" s="725">
        <v>1346</v>
      </c>
      <c r="CO38" s="3">
        <v>0</v>
      </c>
      <c r="CP38" s="3">
        <v>1406</v>
      </c>
      <c r="CQ38" s="4">
        <f t="shared" si="42"/>
        <v>1406</v>
      </c>
      <c r="CR38" s="4">
        <v>7433.5219999999999</v>
      </c>
      <c r="CS38" s="7">
        <v>96635786</v>
      </c>
    </row>
    <row r="39" spans="1:97" ht="16.5" x14ac:dyDescent="0.3">
      <c r="A39" s="709" t="s">
        <v>362</v>
      </c>
      <c r="B39" s="725">
        <v>19</v>
      </c>
      <c r="C39" s="3">
        <v>0.2</v>
      </c>
      <c r="D39" s="3">
        <v>0</v>
      </c>
      <c r="E39" s="4">
        <f t="shared" si="37"/>
        <v>0.2</v>
      </c>
      <c r="F39" s="4">
        <v>0</v>
      </c>
      <c r="G39" s="7">
        <v>66000</v>
      </c>
      <c r="H39" s="725">
        <v>289</v>
      </c>
      <c r="I39" s="3">
        <v>75.5</v>
      </c>
      <c r="J39" s="3">
        <v>220.75</v>
      </c>
      <c r="K39" s="4">
        <f t="shared" si="38"/>
        <v>296.25</v>
      </c>
      <c r="L39" s="4">
        <v>123.75</v>
      </c>
      <c r="M39" s="7">
        <v>4660382</v>
      </c>
      <c r="N39" s="725"/>
      <c r="O39" s="3"/>
      <c r="P39" s="3"/>
      <c r="Q39" s="4">
        <f t="shared" si="7"/>
        <v>0</v>
      </c>
      <c r="R39" s="4"/>
      <c r="S39" s="7"/>
      <c r="T39" s="725">
        <v>204</v>
      </c>
      <c r="U39" s="3">
        <v>0</v>
      </c>
      <c r="V39" s="3">
        <v>359.3</v>
      </c>
      <c r="W39" s="4">
        <f t="shared" si="8"/>
        <v>359.3</v>
      </c>
      <c r="X39" s="4">
        <v>592.73700000000008</v>
      </c>
      <c r="Y39" s="7">
        <v>10547224.68</v>
      </c>
      <c r="Z39" s="725">
        <v>0</v>
      </c>
      <c r="AA39" s="3">
        <v>0</v>
      </c>
      <c r="AB39" s="3">
        <v>123.5</v>
      </c>
      <c r="AC39" s="4">
        <f t="shared" si="9"/>
        <v>123.5</v>
      </c>
      <c r="AD39" s="4">
        <v>53.72</v>
      </c>
      <c r="AE39" s="7">
        <v>913282.49999999988</v>
      </c>
      <c r="AF39" s="725">
        <v>172</v>
      </c>
      <c r="AG39" s="3">
        <v>35.5</v>
      </c>
      <c r="AH39" s="3">
        <v>225.5</v>
      </c>
      <c r="AI39" s="4">
        <f t="shared" si="10"/>
        <v>261</v>
      </c>
      <c r="AJ39" s="4">
        <v>122.67</v>
      </c>
      <c r="AK39" s="7">
        <v>3213278</v>
      </c>
      <c r="AL39" s="725"/>
      <c r="AM39" s="3"/>
      <c r="AN39" s="3"/>
      <c r="AO39" s="4">
        <f t="shared" si="11"/>
        <v>0</v>
      </c>
      <c r="AP39" s="4"/>
      <c r="AQ39" s="7"/>
      <c r="AR39" s="725">
        <v>38</v>
      </c>
      <c r="AS39" s="3">
        <v>0</v>
      </c>
      <c r="AT39" s="3">
        <v>29.75</v>
      </c>
      <c r="AU39" s="4">
        <f t="shared" si="12"/>
        <v>29.75</v>
      </c>
      <c r="AV39" s="4">
        <v>10.16</v>
      </c>
      <c r="AW39" s="7">
        <v>189220.8</v>
      </c>
      <c r="AX39" s="725">
        <v>24</v>
      </c>
      <c r="AY39" s="3"/>
      <c r="AZ39" s="3">
        <v>42.2</v>
      </c>
      <c r="BA39" s="4">
        <f t="shared" si="13"/>
        <v>42.2</v>
      </c>
      <c r="BB39" s="4">
        <v>21.437600000000003</v>
      </c>
      <c r="BC39" s="7">
        <v>364439.20000000007</v>
      </c>
      <c r="BD39" s="725">
        <v>1</v>
      </c>
      <c r="BE39" s="3">
        <v>0</v>
      </c>
      <c r="BF39" s="3">
        <v>1.5</v>
      </c>
      <c r="BG39" s="4">
        <f t="shared" si="14"/>
        <v>1.5</v>
      </c>
      <c r="BH39" s="4">
        <v>3.81</v>
      </c>
      <c r="BI39" s="7">
        <v>64769.999999999993</v>
      </c>
      <c r="BJ39" s="8"/>
      <c r="BK39" s="3"/>
      <c r="BL39" s="3"/>
      <c r="BM39" s="4">
        <f t="shared" si="15"/>
        <v>0</v>
      </c>
      <c r="BN39" s="4"/>
      <c r="BO39" s="7"/>
      <c r="BP39" s="725"/>
      <c r="BQ39" s="3"/>
      <c r="BR39" s="3"/>
      <c r="BS39" s="4">
        <f t="shared" si="16"/>
        <v>0</v>
      </c>
      <c r="BT39" s="4"/>
      <c r="BU39" s="7"/>
      <c r="BV39" s="725"/>
      <c r="BW39" s="3"/>
      <c r="BX39" s="3"/>
      <c r="BY39" s="4">
        <f t="shared" si="39"/>
        <v>0</v>
      </c>
      <c r="BZ39" s="4"/>
      <c r="CA39" s="7"/>
      <c r="CB39" s="725">
        <v>110</v>
      </c>
      <c r="CC39" s="3">
        <v>0</v>
      </c>
      <c r="CD39" s="3">
        <v>189.72</v>
      </c>
      <c r="CE39" s="4">
        <f t="shared" si="40"/>
        <v>189.72</v>
      </c>
      <c r="CF39" s="4">
        <v>223.80216000000001</v>
      </c>
      <c r="CG39" s="7">
        <v>2909428.08</v>
      </c>
      <c r="CH39" s="725"/>
      <c r="CI39" s="3"/>
      <c r="CJ39" s="3"/>
      <c r="CK39" s="4">
        <f t="shared" si="41"/>
        <v>0</v>
      </c>
      <c r="CL39" s="4"/>
      <c r="CM39" s="7"/>
      <c r="CN39" s="725">
        <v>11</v>
      </c>
      <c r="CO39" s="3">
        <v>0</v>
      </c>
      <c r="CP39" s="3">
        <v>27.8</v>
      </c>
      <c r="CQ39" s="4">
        <f t="shared" si="42"/>
        <v>27.8</v>
      </c>
      <c r="CR39" s="4">
        <v>63.544500000000006</v>
      </c>
      <c r="CS39" s="7">
        <v>901510.50000000012</v>
      </c>
    </row>
    <row r="40" spans="1:97" ht="16.5" x14ac:dyDescent="0.3">
      <c r="A40" s="709" t="s">
        <v>368</v>
      </c>
      <c r="B40" s="725"/>
      <c r="C40" s="3"/>
      <c r="D40" s="3"/>
      <c r="E40" s="4">
        <f t="shared" si="37"/>
        <v>0</v>
      </c>
      <c r="G40" s="7"/>
      <c r="H40" s="725">
        <v>19</v>
      </c>
      <c r="I40" s="3">
        <v>5</v>
      </c>
      <c r="J40" s="3">
        <v>34</v>
      </c>
      <c r="K40" s="4">
        <f t="shared" si="38"/>
        <v>39</v>
      </c>
      <c r="L40" s="4">
        <v>0</v>
      </c>
      <c r="M40" s="7">
        <v>916656</v>
      </c>
      <c r="N40" s="725">
        <v>55</v>
      </c>
      <c r="O40" s="3">
        <v>17</v>
      </c>
      <c r="P40" s="3"/>
      <c r="Q40" s="4">
        <f t="shared" si="7"/>
        <v>17</v>
      </c>
      <c r="R40" s="4"/>
      <c r="S40" s="7">
        <v>488512</v>
      </c>
      <c r="T40" s="725">
        <v>234</v>
      </c>
      <c r="U40" s="3">
        <v>14.7</v>
      </c>
      <c r="V40" s="3">
        <v>241.75</v>
      </c>
      <c r="W40" s="4">
        <f t="shared" si="8"/>
        <v>256.45</v>
      </c>
      <c r="X40" s="4">
        <v>262.91249999999997</v>
      </c>
      <c r="Y40" s="7">
        <v>4932018.0999999996</v>
      </c>
      <c r="Z40" s="725"/>
      <c r="AA40" s="3"/>
      <c r="AB40" s="3"/>
      <c r="AC40" s="4">
        <f t="shared" si="9"/>
        <v>0</v>
      </c>
      <c r="AD40" s="4"/>
      <c r="AE40" s="7"/>
      <c r="AF40" s="725">
        <v>118</v>
      </c>
      <c r="AG40" s="3">
        <v>0</v>
      </c>
      <c r="AH40" s="3">
        <v>173.5</v>
      </c>
      <c r="AI40" s="4">
        <f t="shared" si="10"/>
        <v>173.5</v>
      </c>
      <c r="AJ40" s="4">
        <v>94.5</v>
      </c>
      <c r="AK40" s="7">
        <v>1702765.6</v>
      </c>
      <c r="AL40" s="725"/>
      <c r="AM40" s="3"/>
      <c r="AN40" s="3"/>
      <c r="AO40" s="4">
        <f t="shared" si="11"/>
        <v>0</v>
      </c>
      <c r="AP40" s="4"/>
      <c r="AQ40" s="7"/>
      <c r="AR40" s="725">
        <v>69</v>
      </c>
      <c r="AS40" s="3">
        <v>0</v>
      </c>
      <c r="AT40" s="3">
        <v>112.25</v>
      </c>
      <c r="AU40" s="4">
        <f t="shared" si="12"/>
        <v>112.25</v>
      </c>
      <c r="AV40" s="4">
        <v>52.346250000000005</v>
      </c>
      <c r="AW40" s="7">
        <v>897070.25000000023</v>
      </c>
      <c r="AX40" s="725">
        <v>269</v>
      </c>
      <c r="AY40" s="3"/>
      <c r="AZ40" s="3">
        <v>153.32</v>
      </c>
      <c r="BA40" s="4">
        <f t="shared" si="13"/>
        <v>153.32</v>
      </c>
      <c r="BB40" s="4">
        <v>75.893400000000014</v>
      </c>
      <c r="BC40" s="7">
        <v>1290187.8000000003</v>
      </c>
      <c r="BD40" s="725"/>
      <c r="BE40" s="3"/>
      <c r="BF40" s="3"/>
      <c r="BG40" s="4">
        <f t="shared" si="14"/>
        <v>0</v>
      </c>
      <c r="BH40" s="4"/>
      <c r="BI40" s="7"/>
      <c r="BJ40" s="8"/>
      <c r="BK40" s="3"/>
      <c r="BL40" s="3"/>
      <c r="BM40" s="4">
        <f t="shared" si="15"/>
        <v>0</v>
      </c>
      <c r="BN40" s="4"/>
      <c r="BO40" s="7"/>
      <c r="BP40" s="725"/>
      <c r="BQ40" s="3"/>
      <c r="BR40" s="3"/>
      <c r="BS40" s="4">
        <f t="shared" si="16"/>
        <v>0</v>
      </c>
      <c r="BT40" s="4"/>
      <c r="BU40" s="7"/>
      <c r="BV40" s="725">
        <v>186</v>
      </c>
      <c r="BW40" s="3">
        <v>0</v>
      </c>
      <c r="BX40" s="3">
        <v>199</v>
      </c>
      <c r="BY40" s="4">
        <f t="shared" si="39"/>
        <v>199</v>
      </c>
      <c r="BZ40" s="4">
        <v>214.63</v>
      </c>
      <c r="CA40" s="7">
        <v>2790190</v>
      </c>
      <c r="CB40" s="725">
        <v>152</v>
      </c>
      <c r="CC40" s="3">
        <v>0</v>
      </c>
      <c r="CD40" s="3">
        <v>193.07999999999998</v>
      </c>
      <c r="CE40" s="4">
        <f t="shared" si="40"/>
        <v>193.07999999999998</v>
      </c>
      <c r="CF40" s="4">
        <v>197.20480000000001</v>
      </c>
      <c r="CG40" s="7">
        <v>2563662.4</v>
      </c>
      <c r="CH40" s="725">
        <v>186</v>
      </c>
      <c r="CI40" s="3">
        <v>0</v>
      </c>
      <c r="CJ40" s="3">
        <v>199</v>
      </c>
      <c r="CK40" s="4">
        <f t="shared" si="41"/>
        <v>199</v>
      </c>
      <c r="CL40" s="4">
        <v>214.63</v>
      </c>
      <c r="CM40" s="7">
        <v>2790190</v>
      </c>
      <c r="CN40" s="725">
        <v>512</v>
      </c>
      <c r="CO40" s="3">
        <v>585.85</v>
      </c>
      <c r="CP40" s="3">
        <v>10.8</v>
      </c>
      <c r="CQ40" s="4">
        <f t="shared" si="42"/>
        <v>596.65</v>
      </c>
      <c r="CR40" s="4">
        <v>3046.42</v>
      </c>
      <c r="CS40" s="7">
        <v>39789669.280000001</v>
      </c>
    </row>
    <row r="41" spans="1:97" ht="16.5" x14ac:dyDescent="0.3">
      <c r="A41" s="709" t="s">
        <v>367</v>
      </c>
      <c r="B41" s="725"/>
      <c r="C41" s="3"/>
      <c r="D41" s="3"/>
      <c r="E41" s="4">
        <f t="shared" si="37"/>
        <v>0</v>
      </c>
      <c r="G41" s="7"/>
      <c r="H41" s="725">
        <v>64</v>
      </c>
      <c r="I41" s="3">
        <v>8</v>
      </c>
      <c r="J41" s="3">
        <v>67</v>
      </c>
      <c r="K41" s="4">
        <f t="shared" si="38"/>
        <v>75</v>
      </c>
      <c r="L41" s="4">
        <v>0</v>
      </c>
      <c r="M41" s="7">
        <v>417747.5</v>
      </c>
      <c r="N41" s="725">
        <v>0</v>
      </c>
      <c r="O41" s="3">
        <v>3</v>
      </c>
      <c r="P41" s="3">
        <v>22</v>
      </c>
      <c r="Q41" s="4">
        <f t="shared" si="7"/>
        <v>25</v>
      </c>
      <c r="R41" s="4">
        <v>4.62</v>
      </c>
      <c r="S41" s="7">
        <v>164748</v>
      </c>
      <c r="T41" s="725">
        <v>165</v>
      </c>
      <c r="U41" s="3">
        <v>0</v>
      </c>
      <c r="V41" s="3">
        <v>198</v>
      </c>
      <c r="W41" s="4">
        <f t="shared" si="8"/>
        <v>198</v>
      </c>
      <c r="X41" s="4">
        <v>221.34</v>
      </c>
      <c r="Y41" s="7">
        <v>3932322.4</v>
      </c>
      <c r="Z41" s="725"/>
      <c r="AA41" s="3"/>
      <c r="AB41" s="3"/>
      <c r="AC41" s="4">
        <f t="shared" si="9"/>
        <v>0</v>
      </c>
      <c r="AD41" s="4"/>
      <c r="AE41" s="7"/>
      <c r="AF41" s="725">
        <v>16</v>
      </c>
      <c r="AG41" s="3">
        <v>0</v>
      </c>
      <c r="AH41" s="3">
        <v>18</v>
      </c>
      <c r="AI41" s="4">
        <f t="shared" si="10"/>
        <v>18</v>
      </c>
      <c r="AJ41" s="4">
        <v>3.1500000000000004</v>
      </c>
      <c r="AK41" s="7">
        <v>90906.8</v>
      </c>
      <c r="AL41" s="725"/>
      <c r="AM41" s="3"/>
      <c r="AN41" s="3"/>
      <c r="AO41" s="4">
        <f t="shared" si="11"/>
        <v>0</v>
      </c>
      <c r="AP41" s="4"/>
      <c r="AQ41" s="7"/>
      <c r="AR41" s="725">
        <v>68</v>
      </c>
      <c r="AS41" s="3">
        <v>19</v>
      </c>
      <c r="AT41" s="3">
        <v>79.5</v>
      </c>
      <c r="AU41" s="4">
        <f t="shared" si="12"/>
        <v>98.5</v>
      </c>
      <c r="AV41" s="4">
        <v>12.455</v>
      </c>
      <c r="AW41" s="7">
        <v>796483.79999999993</v>
      </c>
      <c r="AX41" s="725"/>
      <c r="AY41" s="3"/>
      <c r="AZ41" s="3"/>
      <c r="BA41" s="4">
        <f t="shared" si="13"/>
        <v>0</v>
      </c>
      <c r="BB41" s="4"/>
      <c r="BC41" s="7"/>
      <c r="BD41" s="725"/>
      <c r="BE41" s="3"/>
      <c r="BF41" s="3"/>
      <c r="BG41" s="4">
        <f t="shared" si="14"/>
        <v>0</v>
      </c>
      <c r="BH41" s="4"/>
      <c r="BI41" s="7"/>
      <c r="BJ41" s="8"/>
      <c r="BK41" s="3"/>
      <c r="BL41" s="3"/>
      <c r="BM41" s="4">
        <f t="shared" si="15"/>
        <v>0</v>
      </c>
      <c r="BN41" s="4"/>
      <c r="BO41" s="7"/>
      <c r="BP41" s="725"/>
      <c r="BQ41" s="3"/>
      <c r="BR41" s="3"/>
      <c r="BS41" s="4">
        <f t="shared" si="16"/>
        <v>0</v>
      </c>
      <c r="BT41" s="4"/>
      <c r="BU41" s="7"/>
      <c r="BV41" s="725">
        <v>36</v>
      </c>
      <c r="BW41" s="3">
        <v>2.8</v>
      </c>
      <c r="BX41" s="3">
        <v>16.57</v>
      </c>
      <c r="BY41" s="4">
        <f t="shared" si="39"/>
        <v>19.37</v>
      </c>
      <c r="BZ41" s="4">
        <v>76.537580000000005</v>
      </c>
      <c r="CA41" s="7">
        <v>1032345.3400000002</v>
      </c>
      <c r="CB41" s="725"/>
      <c r="CC41" s="3"/>
      <c r="CD41" s="3"/>
      <c r="CE41" s="4">
        <f t="shared" si="40"/>
        <v>0</v>
      </c>
      <c r="CF41" s="4"/>
      <c r="CG41" s="7"/>
      <c r="CH41" s="725">
        <v>36</v>
      </c>
      <c r="CI41" s="3">
        <v>2.8</v>
      </c>
      <c r="CJ41" s="3">
        <v>16.57</v>
      </c>
      <c r="CK41" s="4">
        <f t="shared" si="41"/>
        <v>19.37</v>
      </c>
      <c r="CL41" s="4">
        <v>76.537580000000005</v>
      </c>
      <c r="CM41" s="7">
        <v>1032345.3400000002</v>
      </c>
      <c r="CN41" s="725">
        <v>13</v>
      </c>
      <c r="CO41" s="3">
        <v>6.8999999999999995</v>
      </c>
      <c r="CP41" s="3">
        <v>0</v>
      </c>
      <c r="CQ41" s="4">
        <f t="shared" si="42"/>
        <v>6.8999999999999995</v>
      </c>
      <c r="CR41" s="4">
        <v>35.18</v>
      </c>
      <c r="CS41" s="7">
        <v>422160</v>
      </c>
    </row>
    <row r="42" spans="1:97" ht="16.5" x14ac:dyDescent="0.3">
      <c r="A42" s="709" t="s">
        <v>366</v>
      </c>
      <c r="B42" s="725"/>
      <c r="C42" s="3"/>
      <c r="D42" s="3"/>
      <c r="E42" s="4">
        <f t="shared" si="37"/>
        <v>0</v>
      </c>
      <c r="G42" s="7"/>
      <c r="H42" s="725">
        <v>0</v>
      </c>
      <c r="I42" s="3">
        <v>0</v>
      </c>
      <c r="J42" s="3">
        <v>21</v>
      </c>
      <c r="K42" s="4">
        <f t="shared" si="38"/>
        <v>21</v>
      </c>
      <c r="L42" s="4">
        <v>7.2</v>
      </c>
      <c r="M42" s="7">
        <v>149440</v>
      </c>
      <c r="N42" s="725"/>
      <c r="O42" s="3"/>
      <c r="P42" s="3"/>
      <c r="Q42" s="4">
        <f t="shared" si="7"/>
        <v>0</v>
      </c>
      <c r="R42" s="4"/>
      <c r="S42" s="7"/>
      <c r="T42" s="725">
        <v>341</v>
      </c>
      <c r="U42" s="3">
        <v>0</v>
      </c>
      <c r="V42" s="3">
        <v>475.09</v>
      </c>
      <c r="W42" s="4">
        <f t="shared" si="8"/>
        <v>475.09</v>
      </c>
      <c r="X42" s="4">
        <v>850.10520999999994</v>
      </c>
      <c r="Y42" s="7">
        <v>14503513.369999999</v>
      </c>
      <c r="Z42" s="725"/>
      <c r="AA42" s="3"/>
      <c r="AB42" s="3"/>
      <c r="AC42" s="4">
        <f t="shared" si="9"/>
        <v>0</v>
      </c>
      <c r="AD42" s="4"/>
      <c r="AE42" s="7"/>
      <c r="AF42" s="725">
        <v>64</v>
      </c>
      <c r="AG42" s="3">
        <v>0</v>
      </c>
      <c r="AH42" s="3">
        <v>104.86</v>
      </c>
      <c r="AI42" s="4">
        <f t="shared" si="10"/>
        <v>104.86</v>
      </c>
      <c r="AJ42" s="4">
        <v>71.569999999999993</v>
      </c>
      <c r="AK42" s="7">
        <v>1216638.1499999999</v>
      </c>
      <c r="AL42" s="725"/>
      <c r="AM42" s="3"/>
      <c r="AN42" s="3"/>
      <c r="AO42" s="4">
        <f t="shared" si="11"/>
        <v>0</v>
      </c>
      <c r="AP42" s="4"/>
      <c r="AQ42" s="7"/>
      <c r="AR42" s="725">
        <v>33</v>
      </c>
      <c r="AS42" s="3">
        <v>0</v>
      </c>
      <c r="AT42" s="3">
        <v>45.2</v>
      </c>
      <c r="AU42" s="4">
        <f t="shared" si="12"/>
        <v>45.2</v>
      </c>
      <c r="AV42" s="4">
        <v>9.6681000000000008</v>
      </c>
      <c r="AW42" s="7">
        <v>200421.38</v>
      </c>
      <c r="AX42" s="725">
        <v>50</v>
      </c>
      <c r="AY42" s="3">
        <v>0</v>
      </c>
      <c r="AZ42" s="3">
        <v>80.199999999999989</v>
      </c>
      <c r="BA42" s="4">
        <f t="shared" si="13"/>
        <v>80.199999999999989</v>
      </c>
      <c r="BB42" s="4">
        <v>38.081299999999992</v>
      </c>
      <c r="BC42" s="7">
        <v>647382.1</v>
      </c>
      <c r="BD42" s="725"/>
      <c r="BE42" s="3"/>
      <c r="BF42" s="3"/>
      <c r="BG42" s="4">
        <f t="shared" si="14"/>
        <v>0</v>
      </c>
      <c r="BH42" s="4"/>
      <c r="BI42" s="7"/>
      <c r="BJ42" s="8"/>
      <c r="BK42" s="3"/>
      <c r="BL42" s="3"/>
      <c r="BM42" s="4">
        <f t="shared" si="15"/>
        <v>0</v>
      </c>
      <c r="BN42" s="4"/>
      <c r="BO42" s="7"/>
      <c r="BP42" s="725"/>
      <c r="BQ42" s="3"/>
      <c r="BR42" s="3"/>
      <c r="BS42" s="4">
        <f t="shared" si="16"/>
        <v>0</v>
      </c>
      <c r="BT42" s="4"/>
      <c r="BU42" s="7"/>
      <c r="BV42" s="725">
        <v>94</v>
      </c>
      <c r="BW42" s="3">
        <v>0</v>
      </c>
      <c r="BX42" s="3">
        <v>125.01999999999998</v>
      </c>
      <c r="BY42" s="4">
        <f t="shared" si="39"/>
        <v>125.01999999999998</v>
      </c>
      <c r="BZ42" s="4">
        <v>161.62269000000001</v>
      </c>
      <c r="CA42" s="7">
        <v>2101094.9700000002</v>
      </c>
      <c r="CB42" s="725"/>
      <c r="CC42" s="3"/>
      <c r="CD42" s="3"/>
      <c r="CE42" s="4">
        <f t="shared" si="40"/>
        <v>0</v>
      </c>
      <c r="CF42" s="4"/>
      <c r="CG42" s="7"/>
      <c r="CH42" s="725">
        <v>94</v>
      </c>
      <c r="CI42" s="3">
        <v>0</v>
      </c>
      <c r="CJ42" s="3">
        <v>125.01999999999998</v>
      </c>
      <c r="CK42" s="4">
        <f t="shared" si="41"/>
        <v>125.01999999999998</v>
      </c>
      <c r="CL42" s="4">
        <v>161.62269000000001</v>
      </c>
      <c r="CM42" s="7">
        <v>2101094.9700000002</v>
      </c>
      <c r="CN42" s="725">
        <v>48</v>
      </c>
      <c r="CO42" s="3">
        <v>0</v>
      </c>
      <c r="CP42" s="3">
        <v>60.6</v>
      </c>
      <c r="CQ42" s="4">
        <f t="shared" si="42"/>
        <v>60.6</v>
      </c>
      <c r="CR42" s="4">
        <v>158.46900000000002</v>
      </c>
      <c r="CS42" s="7">
        <v>2060097.0000000002</v>
      </c>
    </row>
    <row r="43" spans="1:97" ht="16.5" x14ac:dyDescent="0.3">
      <c r="A43" s="709" t="s">
        <v>365</v>
      </c>
      <c r="B43" s="725"/>
      <c r="C43" s="3"/>
      <c r="D43" s="3"/>
      <c r="E43" s="4">
        <f t="shared" si="37"/>
        <v>0</v>
      </c>
      <c r="G43" s="7"/>
      <c r="H43" s="725">
        <v>64</v>
      </c>
      <c r="I43" s="3">
        <v>6</v>
      </c>
      <c r="J43" s="3">
        <v>40.28</v>
      </c>
      <c r="K43" s="4">
        <f t="shared" si="38"/>
        <v>46.28</v>
      </c>
      <c r="L43" s="4">
        <v>32.950000000000003</v>
      </c>
      <c r="M43" s="7">
        <v>722373.68</v>
      </c>
      <c r="N43" s="725"/>
      <c r="O43" s="3"/>
      <c r="P43" s="3"/>
      <c r="Q43" s="4">
        <f t="shared" si="7"/>
        <v>0</v>
      </c>
      <c r="R43" s="4"/>
      <c r="S43" s="7"/>
      <c r="T43" s="725">
        <v>47</v>
      </c>
      <c r="U43" s="3">
        <v>0</v>
      </c>
      <c r="V43" s="3">
        <v>47</v>
      </c>
      <c r="W43" s="4">
        <f t="shared" si="8"/>
        <v>47</v>
      </c>
      <c r="X43" s="4">
        <v>84.05</v>
      </c>
      <c r="Y43" s="7">
        <v>1451753.7999999998</v>
      </c>
      <c r="Z43" s="725"/>
      <c r="AA43" s="3"/>
      <c r="AB43" s="3"/>
      <c r="AC43" s="4">
        <f t="shared" si="9"/>
        <v>0</v>
      </c>
      <c r="AD43" s="4"/>
      <c r="AE43" s="7"/>
      <c r="AF43" s="725">
        <v>10</v>
      </c>
      <c r="AG43" s="3">
        <v>0</v>
      </c>
      <c r="AH43" s="3">
        <v>10</v>
      </c>
      <c r="AI43" s="4">
        <f t="shared" si="10"/>
        <v>10</v>
      </c>
      <c r="AJ43" s="4">
        <v>2.42</v>
      </c>
      <c r="AK43" s="7">
        <v>58449.600000000006</v>
      </c>
      <c r="AL43" s="725"/>
      <c r="AM43" s="3"/>
      <c r="AN43" s="3"/>
      <c r="AO43" s="4">
        <f t="shared" si="11"/>
        <v>0</v>
      </c>
      <c r="AP43" s="4"/>
      <c r="AQ43" s="7"/>
      <c r="AR43" s="725">
        <v>8</v>
      </c>
      <c r="AS43" s="3">
        <v>0</v>
      </c>
      <c r="AT43" s="3">
        <v>5.33</v>
      </c>
      <c r="AU43" s="4">
        <f t="shared" si="12"/>
        <v>5.33</v>
      </c>
      <c r="AV43" s="4">
        <v>1.6605999999999999</v>
      </c>
      <c r="AW43" s="7">
        <v>30428.503999999997</v>
      </c>
      <c r="AX43" s="725"/>
      <c r="AY43" s="3"/>
      <c r="AZ43" s="3"/>
      <c r="BA43" s="4">
        <f t="shared" si="13"/>
        <v>0</v>
      </c>
      <c r="BB43" s="4"/>
      <c r="BC43" s="7"/>
      <c r="BD43" s="725"/>
      <c r="BE43" s="3"/>
      <c r="BF43" s="3"/>
      <c r="BG43" s="4">
        <f t="shared" si="14"/>
        <v>0</v>
      </c>
      <c r="BH43" s="4"/>
      <c r="BI43" s="7"/>
      <c r="BJ43" s="8"/>
      <c r="BK43" s="3"/>
      <c r="BL43" s="3"/>
      <c r="BM43" s="4">
        <f t="shared" si="15"/>
        <v>0</v>
      </c>
      <c r="BN43" s="4"/>
      <c r="BO43" s="7"/>
      <c r="BP43" s="725"/>
      <c r="BQ43" s="3"/>
      <c r="BR43" s="3"/>
      <c r="BS43" s="4">
        <f t="shared" si="16"/>
        <v>0</v>
      </c>
      <c r="BT43" s="4"/>
      <c r="BU43" s="7"/>
      <c r="BV43" s="725">
        <v>66</v>
      </c>
      <c r="BW43" s="3">
        <v>1</v>
      </c>
      <c r="BX43" s="3">
        <v>57.91</v>
      </c>
      <c r="BY43" s="4">
        <f t="shared" si="39"/>
        <v>58.91</v>
      </c>
      <c r="BZ43" s="4">
        <v>52.006760000000007</v>
      </c>
      <c r="CA43" s="7">
        <v>676087.88000000012</v>
      </c>
      <c r="CB43" s="725"/>
      <c r="CC43" s="3"/>
      <c r="CD43" s="3"/>
      <c r="CE43" s="4">
        <f t="shared" si="40"/>
        <v>0</v>
      </c>
      <c r="CF43" s="4"/>
      <c r="CG43" s="7"/>
      <c r="CH43" s="725">
        <v>66</v>
      </c>
      <c r="CI43" s="3">
        <v>1</v>
      </c>
      <c r="CJ43" s="3">
        <v>57.91</v>
      </c>
      <c r="CK43" s="4">
        <f t="shared" si="41"/>
        <v>58.91</v>
      </c>
      <c r="CL43" s="4">
        <v>52.006760000000007</v>
      </c>
      <c r="CM43" s="7">
        <v>676087.88000000012</v>
      </c>
      <c r="CN43" s="725">
        <v>73</v>
      </c>
      <c r="CO43" s="3">
        <v>85.33</v>
      </c>
      <c r="CP43" s="3">
        <v>7</v>
      </c>
      <c r="CQ43" s="4">
        <f t="shared" si="42"/>
        <v>92.33</v>
      </c>
      <c r="CR43" s="4">
        <v>351.55959999999999</v>
      </c>
      <c r="CS43" s="7">
        <v>4658236.8</v>
      </c>
    </row>
    <row r="44" spans="1:97" ht="16.5" x14ac:dyDescent="0.3">
      <c r="A44" s="709" t="s">
        <v>364</v>
      </c>
      <c r="B44" s="725"/>
      <c r="C44" s="3"/>
      <c r="D44" s="3"/>
      <c r="E44" s="4">
        <f t="shared" si="37"/>
        <v>0</v>
      </c>
      <c r="G44" s="7"/>
      <c r="H44" s="725">
        <v>52</v>
      </c>
      <c r="I44" s="3">
        <v>0</v>
      </c>
      <c r="J44" s="3">
        <v>65</v>
      </c>
      <c r="K44" s="4">
        <f t="shared" si="38"/>
        <v>65</v>
      </c>
      <c r="L44" s="4">
        <v>28.6</v>
      </c>
      <c r="M44" s="7">
        <v>486200</v>
      </c>
      <c r="N44" s="725"/>
      <c r="O44" s="3"/>
      <c r="P44" s="3"/>
      <c r="Q44" s="4">
        <f t="shared" si="7"/>
        <v>0</v>
      </c>
      <c r="R44" s="4"/>
      <c r="S44" s="7"/>
      <c r="T44" s="725">
        <v>591</v>
      </c>
      <c r="U44" s="3">
        <v>0</v>
      </c>
      <c r="V44" s="3">
        <v>680</v>
      </c>
      <c r="W44" s="4">
        <f t="shared" si="8"/>
        <v>680</v>
      </c>
      <c r="X44" s="4">
        <v>145.625</v>
      </c>
      <c r="Y44" s="7">
        <v>4250073</v>
      </c>
      <c r="Z44" s="725"/>
      <c r="AA44" s="3"/>
      <c r="AB44" s="3"/>
      <c r="AC44" s="4">
        <f t="shared" si="9"/>
        <v>0</v>
      </c>
      <c r="AD44" s="4"/>
      <c r="AE44" s="7"/>
      <c r="AF44" s="725">
        <v>247</v>
      </c>
      <c r="AG44" s="3">
        <v>0</v>
      </c>
      <c r="AH44" s="3">
        <v>295</v>
      </c>
      <c r="AI44" s="4">
        <f t="shared" si="10"/>
        <v>295</v>
      </c>
      <c r="AJ44" s="4">
        <v>197.79749999999999</v>
      </c>
      <c r="AK44" s="7">
        <v>3362557.5</v>
      </c>
      <c r="AL44" s="725"/>
      <c r="AM44" s="3"/>
      <c r="AN44" s="3"/>
      <c r="AO44" s="4">
        <f t="shared" si="11"/>
        <v>0</v>
      </c>
      <c r="AP44" s="4"/>
      <c r="AQ44" s="7"/>
      <c r="AR44" s="725">
        <v>21</v>
      </c>
      <c r="AS44" s="3">
        <v>0</v>
      </c>
      <c r="AT44" s="3">
        <v>28</v>
      </c>
      <c r="AU44" s="4">
        <f t="shared" si="12"/>
        <v>28</v>
      </c>
      <c r="AV44" s="4">
        <v>9.0359999999999996</v>
      </c>
      <c r="AW44" s="7">
        <v>167980</v>
      </c>
      <c r="AX44" s="725">
        <v>4</v>
      </c>
      <c r="AY44" s="3">
        <v>0</v>
      </c>
      <c r="AZ44" s="3">
        <v>8</v>
      </c>
      <c r="BA44" s="4">
        <f t="shared" si="13"/>
        <v>8</v>
      </c>
      <c r="BB44" s="4">
        <v>4.016</v>
      </c>
      <c r="BC44" s="7">
        <v>68272</v>
      </c>
      <c r="BD44" s="725"/>
      <c r="BE44" s="3"/>
      <c r="BF44" s="3"/>
      <c r="BG44" s="4">
        <f t="shared" si="14"/>
        <v>0</v>
      </c>
      <c r="BH44" s="4"/>
      <c r="BI44" s="7"/>
      <c r="BJ44" s="8"/>
      <c r="BK44" s="3"/>
      <c r="BL44" s="3"/>
      <c r="BM44" s="4">
        <f t="shared" si="15"/>
        <v>0</v>
      </c>
      <c r="BN44" s="4"/>
      <c r="BO44" s="7"/>
      <c r="BP44" s="725"/>
      <c r="BQ44" s="3"/>
      <c r="BR44" s="3"/>
      <c r="BS44" s="4">
        <f t="shared" si="16"/>
        <v>0</v>
      </c>
      <c r="BT44" s="4"/>
      <c r="BU44" s="7"/>
      <c r="BV44" s="725">
        <v>73</v>
      </c>
      <c r="BW44" s="3">
        <v>0</v>
      </c>
      <c r="BX44" s="3">
        <v>115.32</v>
      </c>
      <c r="BY44" s="4">
        <f t="shared" si="39"/>
        <v>115.32</v>
      </c>
      <c r="BZ44" s="4">
        <v>128.37444000000002</v>
      </c>
      <c r="CA44" s="7">
        <v>1668867.7200000002</v>
      </c>
      <c r="CB44" s="725"/>
      <c r="CC44" s="3"/>
      <c r="CD44" s="3"/>
      <c r="CE44" s="4">
        <f t="shared" si="40"/>
        <v>0</v>
      </c>
      <c r="CF44" s="4"/>
      <c r="CG44" s="7"/>
      <c r="CH44" s="725">
        <v>73</v>
      </c>
      <c r="CI44" s="3">
        <v>0</v>
      </c>
      <c r="CJ44" s="3">
        <v>115.32</v>
      </c>
      <c r="CK44" s="4">
        <f t="shared" si="41"/>
        <v>115.32</v>
      </c>
      <c r="CL44" s="4">
        <v>128.37444000000002</v>
      </c>
      <c r="CM44" s="7">
        <v>1668867.7200000002</v>
      </c>
      <c r="CN44" s="725">
        <v>121</v>
      </c>
      <c r="CO44" s="3">
        <v>0</v>
      </c>
      <c r="CP44" s="3">
        <v>168</v>
      </c>
      <c r="CQ44" s="4">
        <f t="shared" si="42"/>
        <v>168</v>
      </c>
      <c r="CR44" s="4">
        <v>563.98500000000001</v>
      </c>
      <c r="CS44" s="7">
        <v>7652238</v>
      </c>
    </row>
    <row r="45" spans="1:97" ht="16.5" x14ac:dyDescent="0.3">
      <c r="A45" s="709" t="s">
        <v>363</v>
      </c>
      <c r="B45" s="725"/>
      <c r="C45" s="3"/>
      <c r="D45" s="3"/>
      <c r="E45" s="4">
        <f t="shared" si="37"/>
        <v>0</v>
      </c>
      <c r="G45" s="7"/>
      <c r="H45" s="725"/>
      <c r="I45" s="3"/>
      <c r="J45" s="3"/>
      <c r="K45" s="4">
        <f t="shared" si="38"/>
        <v>0</v>
      </c>
      <c r="L45" s="4"/>
      <c r="M45" s="7"/>
      <c r="N45" s="725"/>
      <c r="O45" s="3"/>
      <c r="P45" s="3"/>
      <c r="Q45" s="4">
        <f t="shared" si="7"/>
        <v>0</v>
      </c>
      <c r="R45" s="4"/>
      <c r="S45" s="7"/>
      <c r="T45" s="725">
        <v>0</v>
      </c>
      <c r="U45" s="3">
        <v>0</v>
      </c>
      <c r="V45" s="3">
        <v>324.69</v>
      </c>
      <c r="W45" s="4">
        <f t="shared" si="8"/>
        <v>324.69</v>
      </c>
      <c r="X45" s="4">
        <v>326.24639999999999</v>
      </c>
      <c r="Y45" s="7">
        <v>5681966.3999999994</v>
      </c>
      <c r="Z45" s="725"/>
      <c r="AA45" s="3"/>
      <c r="AB45" s="3"/>
      <c r="AC45" s="4">
        <f t="shared" si="9"/>
        <v>0</v>
      </c>
      <c r="AD45" s="4"/>
      <c r="AE45" s="7"/>
      <c r="AF45" s="725">
        <v>156</v>
      </c>
      <c r="AG45" s="3">
        <v>0</v>
      </c>
      <c r="AH45" s="3">
        <v>181.25</v>
      </c>
      <c r="AI45" s="4">
        <f t="shared" si="10"/>
        <v>181.25</v>
      </c>
      <c r="AJ45" s="4">
        <v>122.07187500000001</v>
      </c>
      <c r="AK45" s="7">
        <v>2075221.875</v>
      </c>
      <c r="AL45" s="725"/>
      <c r="AM45" s="3"/>
      <c r="AN45" s="3"/>
      <c r="AO45" s="4">
        <f t="shared" si="11"/>
        <v>0</v>
      </c>
      <c r="AP45" s="4"/>
      <c r="AQ45" s="7"/>
      <c r="AR45" s="725">
        <v>12</v>
      </c>
      <c r="AS45" s="3">
        <v>0</v>
      </c>
      <c r="AT45" s="3">
        <v>16</v>
      </c>
      <c r="AU45" s="4">
        <f t="shared" si="12"/>
        <v>16</v>
      </c>
      <c r="AV45" s="4">
        <v>2.367</v>
      </c>
      <c r="AW45" s="7">
        <v>54689.9</v>
      </c>
      <c r="AX45" s="725">
        <v>550</v>
      </c>
      <c r="AY45" s="3">
        <v>0</v>
      </c>
      <c r="AZ45" s="3">
        <v>828.73</v>
      </c>
      <c r="BA45" s="4">
        <f t="shared" si="13"/>
        <v>828.73</v>
      </c>
      <c r="BB45" s="4">
        <v>433.42582000000004</v>
      </c>
      <c r="BC45" s="7">
        <v>7368238.9400000013</v>
      </c>
      <c r="BD45" s="725"/>
      <c r="BE45" s="3"/>
      <c r="BF45" s="3"/>
      <c r="BG45" s="4">
        <f t="shared" si="14"/>
        <v>0</v>
      </c>
      <c r="BH45" s="4"/>
      <c r="BI45" s="7"/>
      <c r="BJ45" s="8"/>
      <c r="BK45" s="3"/>
      <c r="BL45" s="3"/>
      <c r="BM45" s="4">
        <f t="shared" si="15"/>
        <v>0</v>
      </c>
      <c r="BN45" s="4"/>
      <c r="BO45" s="7"/>
      <c r="BP45" s="725"/>
      <c r="BQ45" s="3"/>
      <c r="BR45" s="3"/>
      <c r="BS45" s="4">
        <f t="shared" si="16"/>
        <v>0</v>
      </c>
      <c r="BT45" s="4"/>
      <c r="BU45" s="7"/>
      <c r="BV45" s="725">
        <v>92</v>
      </c>
      <c r="BW45" s="3">
        <v>0</v>
      </c>
      <c r="BX45" s="3">
        <v>115.31</v>
      </c>
      <c r="BY45" s="4">
        <f t="shared" si="39"/>
        <v>115.31</v>
      </c>
      <c r="BZ45" s="4">
        <v>132.01933</v>
      </c>
      <c r="CA45" s="7">
        <v>1716251.29</v>
      </c>
      <c r="CB45" s="725">
        <v>101</v>
      </c>
      <c r="CC45" s="3">
        <v>0</v>
      </c>
      <c r="CD45" s="3">
        <v>119.72999999999999</v>
      </c>
      <c r="CE45" s="4">
        <f t="shared" si="40"/>
        <v>119.72999999999999</v>
      </c>
      <c r="CF45" s="4">
        <v>138.08406500000001</v>
      </c>
      <c r="CG45" s="7">
        <v>1795092.845</v>
      </c>
      <c r="CH45" s="725">
        <v>92</v>
      </c>
      <c r="CI45" s="3">
        <v>0</v>
      </c>
      <c r="CJ45" s="3">
        <v>115.31</v>
      </c>
      <c r="CK45" s="4">
        <f t="shared" si="41"/>
        <v>115.31</v>
      </c>
      <c r="CL45" s="4">
        <v>132.01933</v>
      </c>
      <c r="CM45" s="7">
        <v>1716251.29</v>
      </c>
      <c r="CN45" s="725">
        <v>46</v>
      </c>
      <c r="CO45" s="3">
        <v>23</v>
      </c>
      <c r="CP45" s="3">
        <v>53.5</v>
      </c>
      <c r="CQ45" s="4">
        <f t="shared" si="42"/>
        <v>76.5</v>
      </c>
      <c r="CR45" s="4">
        <v>116.17574999999999</v>
      </c>
      <c r="CS45" s="7">
        <v>2088320.75</v>
      </c>
    </row>
    <row r="46" spans="1:97" ht="16.5" x14ac:dyDescent="0.3">
      <c r="A46" s="709" t="s">
        <v>369</v>
      </c>
      <c r="B46" s="725"/>
      <c r="C46" s="3"/>
      <c r="D46" s="3"/>
      <c r="E46" s="4">
        <f t="shared" si="37"/>
        <v>0</v>
      </c>
      <c r="G46" s="7"/>
      <c r="H46" s="725">
        <v>174</v>
      </c>
      <c r="I46" s="3">
        <v>2.5</v>
      </c>
      <c r="J46" s="3">
        <v>116</v>
      </c>
      <c r="K46" s="4">
        <f t="shared" si="38"/>
        <v>118.5</v>
      </c>
      <c r="L46" s="4">
        <v>83</v>
      </c>
      <c r="M46" s="7">
        <v>1478600.0000000002</v>
      </c>
      <c r="N46" s="725"/>
      <c r="O46" s="3"/>
      <c r="P46" s="3"/>
      <c r="Q46" s="4">
        <f t="shared" si="7"/>
        <v>0</v>
      </c>
      <c r="R46" s="4"/>
      <c r="S46" s="7"/>
      <c r="T46" s="725">
        <v>230</v>
      </c>
      <c r="U46" s="3">
        <v>1</v>
      </c>
      <c r="V46" s="3">
        <v>259</v>
      </c>
      <c r="W46" s="4">
        <f t="shared" si="8"/>
        <v>260</v>
      </c>
      <c r="X46" s="4">
        <v>419.58000000000004</v>
      </c>
      <c r="Y46" s="7">
        <v>7132860</v>
      </c>
      <c r="Z46" s="725"/>
      <c r="AA46" s="3"/>
      <c r="AB46" s="3"/>
      <c r="AC46" s="4">
        <f t="shared" si="9"/>
        <v>0</v>
      </c>
      <c r="AD46" s="4"/>
      <c r="AE46" s="7"/>
      <c r="AF46" s="725">
        <v>32</v>
      </c>
      <c r="AG46" s="3">
        <v>0</v>
      </c>
      <c r="AH46" s="3">
        <v>40</v>
      </c>
      <c r="AI46" s="4">
        <f t="shared" si="10"/>
        <v>40</v>
      </c>
      <c r="AJ46" s="4">
        <v>25.380000000000003</v>
      </c>
      <c r="AK46" s="7">
        <v>431460.00000000006</v>
      </c>
      <c r="AL46" s="725"/>
      <c r="AM46" s="3"/>
      <c r="AN46" s="3"/>
      <c r="AO46" s="4">
        <f t="shared" si="11"/>
        <v>0</v>
      </c>
      <c r="AP46" s="4"/>
      <c r="AQ46" s="7"/>
      <c r="AR46" s="725">
        <v>132</v>
      </c>
      <c r="AS46" s="3">
        <v>0</v>
      </c>
      <c r="AT46" s="3">
        <v>149.5</v>
      </c>
      <c r="AU46" s="4">
        <f t="shared" si="12"/>
        <v>149.5</v>
      </c>
      <c r="AV46" s="4">
        <v>69.667000000000002</v>
      </c>
      <c r="AW46" s="7">
        <v>1184339.0000000002</v>
      </c>
      <c r="AX46" s="725">
        <v>15</v>
      </c>
      <c r="AY46" s="3"/>
      <c r="AZ46" s="3">
        <v>10.8</v>
      </c>
      <c r="BA46" s="4">
        <f t="shared" si="13"/>
        <v>10.8</v>
      </c>
      <c r="BB46" s="4">
        <v>5.0327999999999999</v>
      </c>
      <c r="BC46" s="7">
        <v>85557.6</v>
      </c>
      <c r="BD46" s="725"/>
      <c r="BE46" s="3"/>
      <c r="BF46" s="3"/>
      <c r="BG46" s="4">
        <f t="shared" si="14"/>
        <v>0</v>
      </c>
      <c r="BH46" s="4"/>
      <c r="BI46" s="7"/>
      <c r="BJ46" s="8"/>
      <c r="BK46" s="3"/>
      <c r="BL46" s="3"/>
      <c r="BM46" s="4">
        <f t="shared" si="15"/>
        <v>0</v>
      </c>
      <c r="BN46" s="4"/>
      <c r="BO46" s="7"/>
      <c r="BP46" s="725"/>
      <c r="BQ46" s="3"/>
      <c r="BR46" s="3"/>
      <c r="BS46" s="4">
        <f t="shared" si="16"/>
        <v>0</v>
      </c>
      <c r="BT46" s="4"/>
      <c r="BU46" s="7"/>
      <c r="BV46" s="725"/>
      <c r="BW46" s="3"/>
      <c r="BX46" s="3"/>
      <c r="BY46" s="4">
        <f t="shared" si="39"/>
        <v>0</v>
      </c>
      <c r="BZ46" s="4"/>
      <c r="CA46" s="7"/>
      <c r="CB46" s="725"/>
      <c r="CC46" s="3"/>
      <c r="CD46" s="3"/>
      <c r="CE46" s="4">
        <f t="shared" si="40"/>
        <v>0</v>
      </c>
      <c r="CF46" s="4"/>
      <c r="CG46" s="7"/>
      <c r="CH46" s="725"/>
      <c r="CI46" s="3"/>
      <c r="CJ46" s="3"/>
      <c r="CK46" s="4">
        <f t="shared" ref="CK46:CK54" si="43">SUM(CI46:CJ46)</f>
        <v>0</v>
      </c>
      <c r="CL46" s="4"/>
      <c r="CM46" s="7"/>
      <c r="CN46" s="725"/>
      <c r="CO46" s="3"/>
      <c r="CP46" s="3"/>
      <c r="CQ46" s="4">
        <f t="shared" si="42"/>
        <v>0</v>
      </c>
      <c r="CR46" s="4"/>
      <c r="CS46" s="7"/>
    </row>
    <row r="47" spans="1:97" ht="16.5" x14ac:dyDescent="0.3">
      <c r="A47" s="709" t="s">
        <v>370</v>
      </c>
      <c r="B47" s="725"/>
      <c r="C47" s="3"/>
      <c r="D47" s="3"/>
      <c r="E47" s="4">
        <f t="shared" si="37"/>
        <v>0</v>
      </c>
      <c r="G47" s="7"/>
      <c r="H47" s="725">
        <v>0</v>
      </c>
      <c r="I47" s="3">
        <v>0</v>
      </c>
      <c r="J47" s="3">
        <v>18</v>
      </c>
      <c r="K47" s="4">
        <f t="shared" si="38"/>
        <v>18</v>
      </c>
      <c r="L47" s="4">
        <v>7.36</v>
      </c>
      <c r="M47" s="7">
        <v>125154</v>
      </c>
      <c r="N47" s="725"/>
      <c r="O47" s="3"/>
      <c r="P47" s="3"/>
      <c r="Q47" s="4">
        <f t="shared" si="7"/>
        <v>0</v>
      </c>
      <c r="R47" s="4"/>
      <c r="S47" s="7"/>
      <c r="T47" s="725">
        <v>80</v>
      </c>
      <c r="U47" s="3">
        <v>0</v>
      </c>
      <c r="V47" s="3">
        <v>120</v>
      </c>
      <c r="W47" s="4">
        <f t="shared" si="8"/>
        <v>120</v>
      </c>
      <c r="X47" s="4">
        <v>245.39999999999998</v>
      </c>
      <c r="Y47" s="7">
        <v>4171799.9999999991</v>
      </c>
      <c r="Z47" s="725"/>
      <c r="AA47" s="3"/>
      <c r="AB47" s="3"/>
      <c r="AC47" s="4">
        <f t="shared" si="9"/>
        <v>0</v>
      </c>
      <c r="AD47" s="4"/>
      <c r="AE47" s="7"/>
      <c r="AF47" s="725">
        <v>39</v>
      </c>
      <c r="AG47" s="3">
        <v>0</v>
      </c>
      <c r="AH47" s="3">
        <v>39</v>
      </c>
      <c r="AI47" s="4">
        <f t="shared" si="10"/>
        <v>39</v>
      </c>
      <c r="AJ47" s="4">
        <v>23.926499999999997</v>
      </c>
      <c r="AK47" s="7">
        <v>406750.49999999994</v>
      </c>
      <c r="AL47" s="725"/>
      <c r="AM47" s="3"/>
      <c r="AN47" s="3"/>
      <c r="AO47" s="4">
        <f t="shared" si="11"/>
        <v>0</v>
      </c>
      <c r="AP47" s="4"/>
      <c r="AQ47" s="7"/>
      <c r="AR47" s="725"/>
      <c r="AS47" s="3"/>
      <c r="AT47" s="3"/>
      <c r="AU47" s="4">
        <f t="shared" si="12"/>
        <v>0</v>
      </c>
      <c r="AV47" s="4"/>
      <c r="AW47" s="7"/>
      <c r="AX47" s="725"/>
      <c r="AY47" s="3"/>
      <c r="AZ47" s="3"/>
      <c r="BA47" s="4">
        <f t="shared" si="13"/>
        <v>0</v>
      </c>
      <c r="BB47" s="4"/>
      <c r="BC47" s="7"/>
      <c r="BD47" s="725"/>
      <c r="BE47" s="3"/>
      <c r="BF47" s="3"/>
      <c r="BG47" s="4">
        <f t="shared" si="14"/>
        <v>0</v>
      </c>
      <c r="BH47" s="4"/>
      <c r="BI47" s="7"/>
      <c r="BJ47" s="8"/>
      <c r="BK47" s="3"/>
      <c r="BL47" s="3"/>
      <c r="BM47" s="4">
        <f t="shared" si="15"/>
        <v>0</v>
      </c>
      <c r="BN47" s="4"/>
      <c r="BO47" s="7"/>
      <c r="BP47" s="725"/>
      <c r="BQ47" s="3"/>
      <c r="BR47" s="3"/>
      <c r="BS47" s="4">
        <f t="shared" si="16"/>
        <v>0</v>
      </c>
      <c r="BT47" s="4"/>
      <c r="BU47" s="7"/>
      <c r="BV47" s="725"/>
      <c r="BW47" s="3"/>
      <c r="BX47" s="3"/>
      <c r="BY47" s="4">
        <f t="shared" si="39"/>
        <v>0</v>
      </c>
      <c r="BZ47" s="4"/>
      <c r="CA47" s="7"/>
      <c r="CB47" s="725"/>
      <c r="CC47" s="3"/>
      <c r="CD47" s="3"/>
      <c r="CE47" s="4">
        <f t="shared" si="40"/>
        <v>0</v>
      </c>
      <c r="CF47" s="4"/>
      <c r="CG47" s="7"/>
      <c r="CH47" s="725"/>
      <c r="CI47" s="3"/>
      <c r="CJ47" s="3"/>
      <c r="CK47" s="4">
        <f t="shared" si="43"/>
        <v>0</v>
      </c>
      <c r="CL47" s="4"/>
      <c r="CM47" s="7"/>
      <c r="CN47" s="725">
        <v>28</v>
      </c>
      <c r="CO47" s="3">
        <v>0</v>
      </c>
      <c r="CP47" s="3">
        <v>25</v>
      </c>
      <c r="CQ47" s="4">
        <f t="shared" si="42"/>
        <v>25</v>
      </c>
      <c r="CR47" s="4">
        <v>61.949999999999996</v>
      </c>
      <c r="CS47" s="7">
        <v>805349.99999999988</v>
      </c>
    </row>
    <row r="48" spans="1:97" ht="16.5" x14ac:dyDescent="0.3">
      <c r="A48" s="709" t="s">
        <v>372</v>
      </c>
      <c r="B48" s="725"/>
      <c r="C48" s="3"/>
      <c r="D48" s="3"/>
      <c r="E48" s="4">
        <f t="shared" si="37"/>
        <v>0</v>
      </c>
      <c r="G48" s="7"/>
      <c r="H48" s="725">
        <v>0</v>
      </c>
      <c r="I48" s="3">
        <v>0</v>
      </c>
      <c r="J48" s="3">
        <v>6</v>
      </c>
      <c r="K48" s="4">
        <f t="shared" si="38"/>
        <v>6</v>
      </c>
      <c r="L48" s="4">
        <v>1.97</v>
      </c>
      <c r="M48" s="7">
        <v>36109</v>
      </c>
      <c r="N48" s="725"/>
      <c r="O48" s="3"/>
      <c r="P48" s="3"/>
      <c r="Q48" s="4">
        <f t="shared" si="7"/>
        <v>0</v>
      </c>
      <c r="R48" s="4"/>
      <c r="S48" s="7"/>
      <c r="T48" s="725">
        <v>113</v>
      </c>
      <c r="U48" s="3">
        <v>0</v>
      </c>
      <c r="V48" s="3">
        <v>59</v>
      </c>
      <c r="W48" s="4">
        <f t="shared" si="8"/>
        <v>59</v>
      </c>
      <c r="X48" s="4">
        <v>117.11500000000001</v>
      </c>
      <c r="Y48" s="7">
        <v>1990955.0000000002</v>
      </c>
      <c r="Z48" s="725"/>
      <c r="AA48" s="3"/>
      <c r="AB48" s="3"/>
      <c r="AC48" s="4">
        <f t="shared" si="9"/>
        <v>0</v>
      </c>
      <c r="AD48" s="4"/>
      <c r="AE48" s="7"/>
      <c r="AF48" s="725">
        <v>5</v>
      </c>
      <c r="AG48" s="3">
        <v>0</v>
      </c>
      <c r="AH48" s="3">
        <v>5.25</v>
      </c>
      <c r="AI48" s="4">
        <f t="shared" si="10"/>
        <v>5.25</v>
      </c>
      <c r="AJ48" s="4">
        <v>3.1263750000000003</v>
      </c>
      <c r="AK48" s="7">
        <v>53148.375000000007</v>
      </c>
      <c r="AL48" s="725"/>
      <c r="AM48" s="3"/>
      <c r="AN48" s="3"/>
      <c r="AO48" s="4">
        <f t="shared" si="11"/>
        <v>0</v>
      </c>
      <c r="AP48" s="4"/>
      <c r="AQ48" s="7"/>
      <c r="AR48" s="725">
        <v>4</v>
      </c>
      <c r="AS48" s="3">
        <v>0</v>
      </c>
      <c r="AT48" s="3">
        <v>1.75</v>
      </c>
      <c r="AU48" s="4">
        <f t="shared" si="12"/>
        <v>1.75</v>
      </c>
      <c r="AV48" s="4">
        <v>0.74724999999999997</v>
      </c>
      <c r="AW48" s="7">
        <v>12703.249999999998</v>
      </c>
      <c r="AX48" s="725"/>
      <c r="AY48" s="3"/>
      <c r="AZ48" s="3"/>
      <c r="BA48" s="4">
        <f t="shared" si="13"/>
        <v>0</v>
      </c>
      <c r="BB48" s="4"/>
      <c r="BC48" s="7"/>
      <c r="BD48" s="725"/>
      <c r="BE48" s="3"/>
      <c r="BF48" s="3"/>
      <c r="BG48" s="4">
        <f t="shared" si="14"/>
        <v>0</v>
      </c>
      <c r="BH48" s="4"/>
      <c r="BI48" s="7"/>
      <c r="BJ48" s="8"/>
      <c r="BK48" s="3"/>
      <c r="BL48" s="3"/>
      <c r="BM48" s="4">
        <f t="shared" si="15"/>
        <v>0</v>
      </c>
      <c r="BN48" s="4"/>
      <c r="BO48" s="7"/>
      <c r="BP48" s="725"/>
      <c r="BQ48" s="3"/>
      <c r="BR48" s="3"/>
      <c r="BS48" s="4">
        <f t="shared" si="16"/>
        <v>0</v>
      </c>
      <c r="BT48" s="4"/>
      <c r="BU48" s="7"/>
      <c r="BV48" s="725"/>
      <c r="BW48" s="3"/>
      <c r="BX48" s="3"/>
      <c r="BY48" s="4">
        <f t="shared" si="39"/>
        <v>0</v>
      </c>
      <c r="BZ48" s="4"/>
      <c r="CA48" s="7"/>
      <c r="CB48" s="725"/>
      <c r="CC48" s="3"/>
      <c r="CD48" s="3"/>
      <c r="CE48" s="4">
        <f t="shared" si="40"/>
        <v>0</v>
      </c>
      <c r="CF48" s="4"/>
      <c r="CG48" s="7"/>
      <c r="CH48" s="725"/>
      <c r="CI48" s="3"/>
      <c r="CJ48" s="3"/>
      <c r="CK48" s="4">
        <f t="shared" si="43"/>
        <v>0</v>
      </c>
      <c r="CL48" s="4"/>
      <c r="CM48" s="7"/>
      <c r="CN48" s="725"/>
      <c r="CO48" s="3"/>
      <c r="CP48" s="3"/>
      <c r="CQ48" s="4">
        <f t="shared" si="42"/>
        <v>0</v>
      </c>
      <c r="CR48" s="4"/>
      <c r="CS48" s="7"/>
    </row>
    <row r="49" spans="1:97" ht="16.5" x14ac:dyDescent="0.3">
      <c r="A49" s="709" t="s">
        <v>371</v>
      </c>
      <c r="B49" s="725">
        <v>1</v>
      </c>
      <c r="C49" s="3">
        <v>0.25</v>
      </c>
      <c r="D49" s="3">
        <v>0</v>
      </c>
      <c r="E49" s="4">
        <f t="shared" si="37"/>
        <v>0.25</v>
      </c>
      <c r="F49" s="4">
        <v>0</v>
      </c>
      <c r="G49" s="7">
        <v>5462.5</v>
      </c>
      <c r="H49" s="725">
        <v>605</v>
      </c>
      <c r="I49" s="3">
        <v>6</v>
      </c>
      <c r="J49" s="3">
        <v>968.8</v>
      </c>
      <c r="K49" s="4">
        <f t="shared" si="38"/>
        <v>974.8</v>
      </c>
      <c r="L49" s="4">
        <v>312.55</v>
      </c>
      <c r="M49" s="7">
        <v>5744509.0000000009</v>
      </c>
      <c r="N49" s="725">
        <v>727</v>
      </c>
      <c r="O49" s="3">
        <v>17</v>
      </c>
      <c r="P49" s="3">
        <v>500.5</v>
      </c>
      <c r="Q49" s="4">
        <f t="shared" si="7"/>
        <v>517.5</v>
      </c>
      <c r="R49" s="4">
        <v>167.35</v>
      </c>
      <c r="S49" s="7">
        <v>3285809.6</v>
      </c>
      <c r="T49" s="725">
        <v>2783</v>
      </c>
      <c r="U49" s="3">
        <v>5.5</v>
      </c>
      <c r="V49" s="3">
        <v>3099.95</v>
      </c>
      <c r="W49" s="4">
        <f t="shared" si="8"/>
        <v>3105.45</v>
      </c>
      <c r="X49" s="4">
        <v>5164.8258000000005</v>
      </c>
      <c r="Y49" s="7">
        <v>88975549.799999997</v>
      </c>
      <c r="Z49" s="725">
        <v>341</v>
      </c>
      <c r="AA49" s="3">
        <v>159</v>
      </c>
      <c r="AB49" s="3">
        <v>352.5</v>
      </c>
      <c r="AC49" s="4">
        <f t="shared" si="9"/>
        <v>511.5</v>
      </c>
      <c r="AD49" s="4">
        <v>67.838000000000008</v>
      </c>
      <c r="AE49" s="7">
        <v>5998126</v>
      </c>
      <c r="AF49" s="725">
        <v>1212</v>
      </c>
      <c r="AG49" s="3">
        <v>363</v>
      </c>
      <c r="AH49" s="3">
        <v>985.5</v>
      </c>
      <c r="AI49" s="4">
        <f t="shared" si="10"/>
        <v>1348.5</v>
      </c>
      <c r="AJ49" s="4">
        <v>489.20399999999995</v>
      </c>
      <c r="AK49" s="7">
        <v>23056386</v>
      </c>
      <c r="AL49" s="725">
        <v>194</v>
      </c>
      <c r="AM49" s="3">
        <v>245.5</v>
      </c>
      <c r="AN49" s="3">
        <v>38</v>
      </c>
      <c r="AO49" s="4">
        <f t="shared" si="11"/>
        <v>283.5</v>
      </c>
      <c r="AP49" s="4"/>
      <c r="AQ49" s="7">
        <v>6389963.1999999993</v>
      </c>
      <c r="AR49" s="725">
        <v>1331</v>
      </c>
      <c r="AS49" s="3">
        <v>0</v>
      </c>
      <c r="AT49" s="3">
        <v>1762</v>
      </c>
      <c r="AU49" s="4">
        <f t="shared" si="12"/>
        <v>1762</v>
      </c>
      <c r="AV49" s="4">
        <v>879.23800000000017</v>
      </c>
      <c r="AW49" s="7">
        <v>14947046.000000002</v>
      </c>
      <c r="AX49" s="725">
        <v>42</v>
      </c>
      <c r="AY49" s="3">
        <v>15.5</v>
      </c>
      <c r="AZ49" s="3">
        <v>43</v>
      </c>
      <c r="BA49" s="4">
        <f t="shared" si="13"/>
        <v>58.5</v>
      </c>
      <c r="BB49" s="4">
        <v>26.970000000000002</v>
      </c>
      <c r="BC49" s="7">
        <v>788975.8</v>
      </c>
      <c r="BD49" s="725"/>
      <c r="BE49" s="3"/>
      <c r="BF49" s="3"/>
      <c r="BG49" s="4">
        <f t="shared" si="14"/>
        <v>0</v>
      </c>
      <c r="BH49" s="4"/>
      <c r="BI49" s="7"/>
      <c r="BJ49" s="8">
        <v>9</v>
      </c>
      <c r="BK49" s="3">
        <v>0</v>
      </c>
      <c r="BL49" s="3">
        <v>15</v>
      </c>
      <c r="BM49" s="4">
        <f t="shared" si="15"/>
        <v>15</v>
      </c>
      <c r="BN49" s="4">
        <v>0</v>
      </c>
      <c r="BO49" s="7">
        <v>43981</v>
      </c>
      <c r="BP49" s="725"/>
      <c r="BQ49" s="3"/>
      <c r="BR49" s="3"/>
      <c r="BS49" s="4">
        <f t="shared" si="16"/>
        <v>0</v>
      </c>
      <c r="BT49" s="4"/>
      <c r="BU49" s="7"/>
      <c r="BV49" s="725">
        <v>259</v>
      </c>
      <c r="BW49" s="3">
        <v>111</v>
      </c>
      <c r="BX49" s="3">
        <v>318.20000000000005</v>
      </c>
      <c r="BY49" s="4">
        <f t="shared" si="39"/>
        <v>429.20000000000005</v>
      </c>
      <c r="BZ49" s="4">
        <v>993.75795000000005</v>
      </c>
      <c r="CA49" s="7">
        <v>8564539.3499999996</v>
      </c>
      <c r="CB49" s="725">
        <v>38</v>
      </c>
      <c r="CC49" s="3">
        <v>25.2</v>
      </c>
      <c r="CD49" s="3">
        <v>67</v>
      </c>
      <c r="CE49" s="4">
        <f t="shared" si="40"/>
        <v>92.2</v>
      </c>
      <c r="CF49" s="4">
        <v>92.34</v>
      </c>
      <c r="CG49" s="7">
        <v>2707781.6</v>
      </c>
      <c r="CH49" s="725">
        <v>259</v>
      </c>
      <c r="CI49" s="3">
        <v>111</v>
      </c>
      <c r="CJ49" s="3">
        <v>318.20000000000005</v>
      </c>
      <c r="CK49" s="4">
        <f t="shared" ref="CK49:CK51" si="44">SUM(CI49:CJ49)</f>
        <v>429.20000000000005</v>
      </c>
      <c r="CL49" s="4">
        <v>993.75795000000005</v>
      </c>
      <c r="CM49" s="7">
        <v>8564539.3499999996</v>
      </c>
      <c r="CN49" s="725">
        <v>514</v>
      </c>
      <c r="CO49" s="3">
        <v>0</v>
      </c>
      <c r="CP49" s="3">
        <v>855</v>
      </c>
      <c r="CQ49" s="4">
        <f t="shared" si="42"/>
        <v>855</v>
      </c>
      <c r="CR49" s="4">
        <v>1488.213</v>
      </c>
      <c r="CS49" s="7">
        <v>25771261</v>
      </c>
    </row>
    <row r="50" spans="1:97" ht="16.5" x14ac:dyDescent="0.3">
      <c r="A50" s="709" t="s">
        <v>373</v>
      </c>
      <c r="B50" s="725">
        <v>9</v>
      </c>
      <c r="C50" s="3">
        <v>3</v>
      </c>
      <c r="D50" s="3">
        <v>30</v>
      </c>
      <c r="E50" s="4">
        <f t="shared" si="37"/>
        <v>33</v>
      </c>
      <c r="F50" s="4">
        <v>12.6</v>
      </c>
      <c r="G50" s="7">
        <v>279750</v>
      </c>
      <c r="H50" s="725">
        <v>1686</v>
      </c>
      <c r="I50" s="3">
        <v>306</v>
      </c>
      <c r="J50" s="3">
        <v>2207.35</v>
      </c>
      <c r="K50" s="4">
        <f t="shared" si="38"/>
        <v>2513.35</v>
      </c>
      <c r="L50" s="4">
        <v>2337.31</v>
      </c>
      <c r="M50" s="7">
        <v>41110614.5</v>
      </c>
      <c r="N50" s="725"/>
      <c r="O50" s="3"/>
      <c r="P50" s="3"/>
      <c r="Q50" s="4">
        <f t="shared" si="7"/>
        <v>0</v>
      </c>
      <c r="R50" s="4"/>
      <c r="S50" s="7"/>
      <c r="T50" s="725">
        <v>0</v>
      </c>
      <c r="U50" s="3">
        <v>1105.8</v>
      </c>
      <c r="V50" s="3">
        <v>3200</v>
      </c>
      <c r="W50" s="4">
        <f t="shared" si="8"/>
        <v>4305.8</v>
      </c>
      <c r="X50" s="4">
        <v>9637.7139999999999</v>
      </c>
      <c r="Y50" s="7">
        <v>173388984.80000001</v>
      </c>
      <c r="Z50" s="725">
        <v>302</v>
      </c>
      <c r="AA50" s="3">
        <v>0</v>
      </c>
      <c r="AB50" s="3">
        <v>500</v>
      </c>
      <c r="AC50" s="4">
        <f t="shared" si="9"/>
        <v>500</v>
      </c>
      <c r="AD50" s="4"/>
      <c r="AE50" s="7">
        <v>628300</v>
      </c>
      <c r="AF50" s="725">
        <v>1306</v>
      </c>
      <c r="AG50" s="3">
        <v>0</v>
      </c>
      <c r="AH50" s="3">
        <v>1552.3</v>
      </c>
      <c r="AI50" s="4">
        <f t="shared" si="10"/>
        <v>1552.3</v>
      </c>
      <c r="AJ50" s="4">
        <v>885.50279999999998</v>
      </c>
      <c r="AK50" s="7">
        <v>19074667.600000001</v>
      </c>
      <c r="AL50" s="725"/>
      <c r="AM50" s="3"/>
      <c r="AN50" s="3"/>
      <c r="AO50" s="4">
        <f t="shared" si="11"/>
        <v>0</v>
      </c>
      <c r="AP50" s="4"/>
      <c r="AQ50" s="7"/>
      <c r="AR50" s="725">
        <v>2720</v>
      </c>
      <c r="AS50" s="3">
        <v>0</v>
      </c>
      <c r="AT50" s="3">
        <v>4272.63</v>
      </c>
      <c r="AU50" s="4">
        <f t="shared" si="12"/>
        <v>4272.63</v>
      </c>
      <c r="AV50" s="4">
        <v>1586.5626700000003</v>
      </c>
      <c r="AW50" s="7">
        <v>28881216.270000003</v>
      </c>
      <c r="AX50" s="725">
        <v>70</v>
      </c>
      <c r="AY50" s="3">
        <v>0</v>
      </c>
      <c r="AZ50" s="3">
        <v>173.1</v>
      </c>
      <c r="BA50" s="4">
        <f t="shared" si="13"/>
        <v>173.1</v>
      </c>
      <c r="BB50" s="4">
        <v>93.300899999999999</v>
      </c>
      <c r="BC50" s="7">
        <v>1586115.3</v>
      </c>
      <c r="BD50" s="725"/>
      <c r="BE50" s="3"/>
      <c r="BF50" s="3"/>
      <c r="BG50" s="4">
        <f t="shared" si="14"/>
        <v>0</v>
      </c>
      <c r="BH50" s="4"/>
      <c r="BI50" s="7"/>
      <c r="BJ50" s="8"/>
      <c r="BK50" s="3"/>
      <c r="BL50" s="3"/>
      <c r="BM50" s="4">
        <f t="shared" si="15"/>
        <v>0</v>
      </c>
      <c r="BN50" s="4"/>
      <c r="BO50" s="7"/>
      <c r="BP50" s="725">
        <v>16</v>
      </c>
      <c r="BQ50" s="3">
        <v>0</v>
      </c>
      <c r="BR50" s="3">
        <v>26</v>
      </c>
      <c r="BS50" s="4">
        <f t="shared" si="16"/>
        <v>26</v>
      </c>
      <c r="BT50" s="4">
        <v>20.318999999999999</v>
      </c>
      <c r="BU50" s="7">
        <v>345423</v>
      </c>
      <c r="BV50" s="725">
        <v>975</v>
      </c>
      <c r="BW50" s="3">
        <v>385.69999999999993</v>
      </c>
      <c r="BX50" s="3">
        <v>1119.9500000000003</v>
      </c>
      <c r="BY50" s="4">
        <f t="shared" si="39"/>
        <v>1505.65</v>
      </c>
      <c r="BZ50" s="4">
        <v>917.46199999999999</v>
      </c>
      <c r="CA50" s="7">
        <v>24356636.819999993</v>
      </c>
      <c r="CB50" s="725">
        <v>1213</v>
      </c>
      <c r="CC50" s="3">
        <v>769.40000000000009</v>
      </c>
      <c r="CD50" s="3">
        <v>1062.4299999999998</v>
      </c>
      <c r="CE50" s="4">
        <f t="shared" si="40"/>
        <v>1831.83</v>
      </c>
      <c r="CF50" s="4">
        <v>1487.4550000000002</v>
      </c>
      <c r="CG50" s="7">
        <v>39004510.640000001</v>
      </c>
      <c r="CH50" s="725">
        <v>975</v>
      </c>
      <c r="CI50" s="3">
        <v>385.69999999999993</v>
      </c>
      <c r="CJ50" s="3">
        <v>1119.9500000000003</v>
      </c>
      <c r="CK50" s="4">
        <f t="shared" si="44"/>
        <v>1505.65</v>
      </c>
      <c r="CL50" s="4">
        <v>917.46199999999999</v>
      </c>
      <c r="CM50" s="7">
        <v>24356636.819999993</v>
      </c>
      <c r="CN50" s="725">
        <v>645</v>
      </c>
      <c r="CO50" s="3">
        <v>498.2</v>
      </c>
      <c r="CP50" s="3">
        <v>583.79999999999995</v>
      </c>
      <c r="CQ50" s="4">
        <f t="shared" si="42"/>
        <v>1082</v>
      </c>
      <c r="CR50" s="4">
        <v>1097.2259999999999</v>
      </c>
      <c r="CS50" s="7">
        <v>31431311.600000001</v>
      </c>
    </row>
    <row r="51" spans="1:97" ht="16.5" x14ac:dyDescent="0.3">
      <c r="A51" s="709" t="s">
        <v>374</v>
      </c>
      <c r="B51" s="725"/>
      <c r="C51" s="3"/>
      <c r="D51" s="3"/>
      <c r="E51" s="4">
        <f t="shared" si="37"/>
        <v>0</v>
      </c>
      <c r="G51" s="7"/>
      <c r="H51" s="725">
        <v>624</v>
      </c>
      <c r="I51" s="3">
        <v>20</v>
      </c>
      <c r="J51" s="3">
        <v>701.5</v>
      </c>
      <c r="K51" s="4">
        <f t="shared" si="38"/>
        <v>721.5</v>
      </c>
      <c r="L51" s="4">
        <v>567.79</v>
      </c>
      <c r="M51" s="7">
        <v>11426211.5</v>
      </c>
      <c r="N51" s="725"/>
      <c r="O51" s="3"/>
      <c r="P51" s="3"/>
      <c r="Q51" s="4">
        <f t="shared" si="7"/>
        <v>0</v>
      </c>
      <c r="R51" s="4"/>
      <c r="S51" s="7"/>
      <c r="T51" s="725">
        <v>691</v>
      </c>
      <c r="U51" s="3">
        <v>450.5</v>
      </c>
      <c r="V51" s="3">
        <v>468</v>
      </c>
      <c r="W51" s="4">
        <f t="shared" si="8"/>
        <v>918.5</v>
      </c>
      <c r="X51" s="4">
        <v>3682.6099999999997</v>
      </c>
      <c r="Y51" s="7">
        <v>62604370</v>
      </c>
      <c r="Z51" s="725"/>
      <c r="AA51" s="3"/>
      <c r="AB51" s="3"/>
      <c r="AC51" s="4">
        <f t="shared" si="9"/>
        <v>0</v>
      </c>
      <c r="AD51" s="4"/>
      <c r="AE51" s="7"/>
      <c r="AF51" s="725">
        <v>270</v>
      </c>
      <c r="AG51" s="3">
        <v>4</v>
      </c>
      <c r="AH51" s="3">
        <v>358</v>
      </c>
      <c r="AI51" s="4">
        <f t="shared" si="10"/>
        <v>362</v>
      </c>
      <c r="AJ51" s="4">
        <v>278.78399999999999</v>
      </c>
      <c r="AK51" s="7">
        <v>4764460</v>
      </c>
      <c r="AL51" s="725"/>
      <c r="AM51" s="3"/>
      <c r="AN51" s="3"/>
      <c r="AO51" s="4">
        <f t="shared" si="11"/>
        <v>0</v>
      </c>
      <c r="AP51" s="4"/>
      <c r="AQ51" s="7"/>
      <c r="AR51" s="725">
        <v>161</v>
      </c>
      <c r="AS51" s="3">
        <v>140</v>
      </c>
      <c r="AT51" s="3">
        <v>67.099999999999994</v>
      </c>
      <c r="AU51" s="4">
        <f t="shared" si="12"/>
        <v>207.1</v>
      </c>
      <c r="AV51" s="4">
        <v>765.82619999999997</v>
      </c>
      <c r="AW51" s="7">
        <v>13019045.399999999</v>
      </c>
      <c r="AX51" s="725"/>
      <c r="AY51" s="3"/>
      <c r="AZ51" s="3"/>
      <c r="BA51" s="4">
        <f t="shared" si="13"/>
        <v>0</v>
      </c>
      <c r="BB51" s="4"/>
      <c r="BC51" s="7"/>
      <c r="BD51" s="725"/>
      <c r="BE51" s="3"/>
      <c r="BF51" s="3"/>
      <c r="BG51" s="4">
        <f t="shared" si="14"/>
        <v>0</v>
      </c>
      <c r="BH51" s="4"/>
      <c r="BI51" s="7"/>
      <c r="BJ51" s="8"/>
      <c r="BK51" s="3"/>
      <c r="BL51" s="3"/>
      <c r="BM51" s="4">
        <f t="shared" si="15"/>
        <v>0</v>
      </c>
      <c r="BN51" s="4"/>
      <c r="BO51" s="7"/>
      <c r="BP51" s="725">
        <v>67</v>
      </c>
      <c r="BQ51" s="3">
        <v>0</v>
      </c>
      <c r="BR51" s="3">
        <v>112</v>
      </c>
      <c r="BS51" s="4">
        <f t="shared" si="16"/>
        <v>112</v>
      </c>
      <c r="BT51" s="4">
        <v>372.86</v>
      </c>
      <c r="BU51" s="7">
        <v>6897910</v>
      </c>
      <c r="BV51" s="725">
        <v>44</v>
      </c>
      <c r="BW51" s="3">
        <v>0</v>
      </c>
      <c r="BX51" s="3">
        <v>55.519999999999996</v>
      </c>
      <c r="BY51" s="4">
        <f t="shared" si="39"/>
        <v>55.519999999999996</v>
      </c>
      <c r="BZ51" s="4">
        <v>184.51393999999999</v>
      </c>
      <c r="CA51" s="7">
        <v>2424543.62</v>
      </c>
      <c r="CB51" s="725">
        <v>19</v>
      </c>
      <c r="CC51" s="3">
        <v>28.02</v>
      </c>
      <c r="CD51" s="3">
        <v>0</v>
      </c>
      <c r="CE51" s="4">
        <f t="shared" si="40"/>
        <v>28.02</v>
      </c>
      <c r="CF51" s="4">
        <v>149.3466</v>
      </c>
      <c r="CG51" s="7">
        <v>1941505.7999999998</v>
      </c>
      <c r="CH51" s="725">
        <v>44</v>
      </c>
      <c r="CI51" s="3">
        <v>0</v>
      </c>
      <c r="CJ51" s="3">
        <v>55.519999999999996</v>
      </c>
      <c r="CK51" s="4">
        <f t="shared" si="44"/>
        <v>55.519999999999996</v>
      </c>
      <c r="CL51" s="4">
        <v>184.51393999999999</v>
      </c>
      <c r="CM51" s="7">
        <v>2424543.62</v>
      </c>
      <c r="CN51" s="725">
        <v>318</v>
      </c>
      <c r="CO51" s="3">
        <v>420.5</v>
      </c>
      <c r="CP51" s="3">
        <v>38</v>
      </c>
      <c r="CQ51" s="4">
        <f t="shared" si="42"/>
        <v>458.5</v>
      </c>
      <c r="CR51" s="4">
        <v>1064.1027499999998</v>
      </c>
      <c r="CS51" s="7">
        <v>18331785</v>
      </c>
    </row>
    <row r="52" spans="1:97" ht="16.5" x14ac:dyDescent="0.3">
      <c r="A52" s="709" t="s">
        <v>375</v>
      </c>
      <c r="B52" s="725"/>
      <c r="C52" s="3"/>
      <c r="D52" s="3"/>
      <c r="E52" s="4">
        <f t="shared" si="37"/>
        <v>0</v>
      </c>
      <c r="G52" s="7"/>
      <c r="H52" s="725">
        <v>10</v>
      </c>
      <c r="I52" s="3">
        <v>2</v>
      </c>
      <c r="J52" s="3">
        <v>14.5</v>
      </c>
      <c r="K52" s="4">
        <f t="shared" si="38"/>
        <v>16.5</v>
      </c>
      <c r="L52" s="4">
        <v>5.4</v>
      </c>
      <c r="M52" s="7">
        <v>169203</v>
      </c>
      <c r="N52" s="725">
        <v>0</v>
      </c>
      <c r="O52" s="3">
        <v>0</v>
      </c>
      <c r="P52" s="3">
        <v>11.5</v>
      </c>
      <c r="Q52" s="4">
        <f t="shared" si="7"/>
        <v>11.5</v>
      </c>
      <c r="R52" s="4">
        <v>2.37</v>
      </c>
      <c r="S52" s="7">
        <v>40370.75</v>
      </c>
      <c r="T52" s="725">
        <v>142</v>
      </c>
      <c r="U52" s="3">
        <v>0</v>
      </c>
      <c r="V52" s="3">
        <v>220.5</v>
      </c>
      <c r="W52" s="4">
        <f t="shared" si="8"/>
        <v>220.5</v>
      </c>
      <c r="X52" s="4">
        <v>401.22949999999997</v>
      </c>
      <c r="Y52" s="7">
        <v>6820901.5</v>
      </c>
      <c r="Z52" s="725"/>
      <c r="AA52" s="3"/>
      <c r="AB52" s="3"/>
      <c r="AC52" s="4">
        <f t="shared" si="9"/>
        <v>0</v>
      </c>
      <c r="AD52" s="4"/>
      <c r="AE52" s="7"/>
      <c r="AF52" s="725">
        <v>6</v>
      </c>
      <c r="AG52" s="3">
        <v>0</v>
      </c>
      <c r="AH52" s="3">
        <v>8.75</v>
      </c>
      <c r="AI52" s="4">
        <f t="shared" si="10"/>
        <v>8.75</v>
      </c>
      <c r="AJ52" s="4">
        <v>5.4663750000000002</v>
      </c>
      <c r="AK52" s="7">
        <v>92928.375</v>
      </c>
      <c r="AL52" s="725"/>
      <c r="AM52" s="3"/>
      <c r="AN52" s="3"/>
      <c r="AO52" s="4">
        <f t="shared" si="11"/>
        <v>0</v>
      </c>
      <c r="AP52" s="4"/>
      <c r="AQ52" s="7"/>
      <c r="AR52" s="725">
        <v>9</v>
      </c>
      <c r="AS52" s="3">
        <v>0</v>
      </c>
      <c r="AT52" s="3">
        <v>9.5</v>
      </c>
      <c r="AU52" s="4">
        <f t="shared" si="12"/>
        <v>9.5</v>
      </c>
      <c r="AV52" s="4">
        <v>4.1800000000000006</v>
      </c>
      <c r="AW52" s="7">
        <v>71060.000000000015</v>
      </c>
      <c r="AX52" s="725"/>
      <c r="AY52" s="3"/>
      <c r="AZ52" s="3"/>
      <c r="BA52" s="4">
        <f t="shared" si="13"/>
        <v>0</v>
      </c>
      <c r="BB52" s="4"/>
      <c r="BC52" s="7"/>
      <c r="BD52" s="725"/>
      <c r="BE52" s="3"/>
      <c r="BF52" s="3"/>
      <c r="BG52" s="4">
        <f t="shared" si="14"/>
        <v>0</v>
      </c>
      <c r="BH52" s="4"/>
      <c r="BI52" s="7"/>
      <c r="BJ52" s="8"/>
      <c r="BK52" s="3"/>
      <c r="BL52" s="3"/>
      <c r="BM52" s="4">
        <f t="shared" si="15"/>
        <v>0</v>
      </c>
      <c r="BN52" s="4"/>
      <c r="BO52" s="7"/>
      <c r="BP52" s="725"/>
      <c r="BQ52" s="3"/>
      <c r="BR52" s="3"/>
      <c r="BS52" s="4">
        <f t="shared" si="16"/>
        <v>0</v>
      </c>
      <c r="BT52" s="4"/>
      <c r="BU52" s="7"/>
      <c r="BV52" s="725"/>
      <c r="BW52" s="3"/>
      <c r="BX52" s="3"/>
      <c r="BY52" s="4">
        <f t="shared" si="39"/>
        <v>0</v>
      </c>
      <c r="BZ52" s="4"/>
      <c r="CA52" s="7"/>
      <c r="CB52" s="725"/>
      <c r="CC52" s="3"/>
      <c r="CD52" s="3"/>
      <c r="CE52" s="4">
        <f t="shared" si="40"/>
        <v>0</v>
      </c>
      <c r="CF52" s="4"/>
      <c r="CG52" s="7"/>
      <c r="CH52" s="725"/>
      <c r="CI52" s="3"/>
      <c r="CJ52" s="3"/>
      <c r="CK52" s="4">
        <f t="shared" si="43"/>
        <v>0</v>
      </c>
      <c r="CL52" s="4"/>
      <c r="CM52" s="7"/>
      <c r="CN52" s="725"/>
      <c r="CO52" s="3"/>
      <c r="CP52" s="3"/>
      <c r="CQ52" s="4">
        <f t="shared" si="42"/>
        <v>0</v>
      </c>
      <c r="CR52" s="4"/>
      <c r="CS52" s="7"/>
    </row>
    <row r="53" spans="1:97" ht="16.5" x14ac:dyDescent="0.3">
      <c r="A53" s="709" t="s">
        <v>376</v>
      </c>
      <c r="B53" s="725"/>
      <c r="C53" s="3"/>
      <c r="D53" s="3"/>
      <c r="E53" s="4">
        <f t="shared" si="37"/>
        <v>0</v>
      </c>
      <c r="G53" s="7"/>
      <c r="H53" s="725">
        <v>35</v>
      </c>
      <c r="I53" s="3">
        <v>0</v>
      </c>
      <c r="J53" s="3">
        <v>56.35</v>
      </c>
      <c r="K53" s="4">
        <f t="shared" si="38"/>
        <v>56.35</v>
      </c>
      <c r="L53" s="4">
        <v>8.3800000000000008</v>
      </c>
      <c r="M53" s="7">
        <v>258385.9</v>
      </c>
      <c r="N53" s="725"/>
      <c r="O53" s="3"/>
      <c r="P53" s="3"/>
      <c r="Q53" s="4">
        <f t="shared" si="7"/>
        <v>0</v>
      </c>
      <c r="R53" s="4"/>
      <c r="S53" s="7"/>
      <c r="T53" s="725">
        <v>22</v>
      </c>
      <c r="U53" s="3">
        <v>0</v>
      </c>
      <c r="V53" s="3">
        <v>32</v>
      </c>
      <c r="W53" s="4">
        <f t="shared" si="8"/>
        <v>32</v>
      </c>
      <c r="X53" s="4">
        <v>51.204999999999998</v>
      </c>
      <c r="Y53" s="7">
        <v>870485</v>
      </c>
      <c r="Z53" s="725"/>
      <c r="AA53" s="3"/>
      <c r="AB53" s="3"/>
      <c r="AC53" s="4">
        <f t="shared" si="9"/>
        <v>0</v>
      </c>
      <c r="AD53" s="4"/>
      <c r="AE53" s="7"/>
      <c r="AF53" s="725"/>
      <c r="AG53" s="3"/>
      <c r="AH53" s="3"/>
      <c r="AI53" s="4">
        <f t="shared" si="10"/>
        <v>0</v>
      </c>
      <c r="AJ53" s="4"/>
      <c r="AK53" s="7"/>
      <c r="AL53" s="725"/>
      <c r="AM53" s="3"/>
      <c r="AN53" s="3"/>
      <c r="AO53" s="4">
        <f t="shared" si="11"/>
        <v>0</v>
      </c>
      <c r="AP53" s="4"/>
      <c r="AQ53" s="7"/>
      <c r="AR53" s="725">
        <v>10</v>
      </c>
      <c r="AS53" s="3">
        <v>0</v>
      </c>
      <c r="AT53" s="3">
        <v>12.8</v>
      </c>
      <c r="AU53" s="4">
        <f t="shared" si="12"/>
        <v>12.8</v>
      </c>
      <c r="AV53" s="4">
        <v>3.7484999999999999</v>
      </c>
      <c r="AW53" s="7">
        <v>69902.740000000005</v>
      </c>
      <c r="AX53" s="725">
        <v>14</v>
      </c>
      <c r="AY53" s="3">
        <v>0</v>
      </c>
      <c r="AZ53" s="3">
        <v>16.649999999999999</v>
      </c>
      <c r="BA53" s="4">
        <f t="shared" si="13"/>
        <v>16.649999999999999</v>
      </c>
      <c r="BB53" s="4">
        <v>7.7921500000000012</v>
      </c>
      <c r="BC53" s="7">
        <v>132466.54999999999</v>
      </c>
      <c r="BD53" s="725"/>
      <c r="BE53" s="3"/>
      <c r="BF53" s="3"/>
      <c r="BG53" s="4">
        <f t="shared" si="14"/>
        <v>0</v>
      </c>
      <c r="BH53" s="4"/>
      <c r="BI53" s="7"/>
      <c r="BJ53" s="8"/>
      <c r="BK53" s="3"/>
      <c r="BL53" s="3"/>
      <c r="BM53" s="4">
        <f t="shared" si="15"/>
        <v>0</v>
      </c>
      <c r="BN53" s="4"/>
      <c r="BO53" s="7"/>
      <c r="BP53" s="725"/>
      <c r="BQ53" s="3"/>
      <c r="BR53" s="3"/>
      <c r="BS53" s="4">
        <f t="shared" si="16"/>
        <v>0</v>
      </c>
      <c r="BT53" s="4"/>
      <c r="BU53" s="7"/>
      <c r="BV53" s="725"/>
      <c r="BW53" s="3"/>
      <c r="BX53" s="3"/>
      <c r="BY53" s="4">
        <f t="shared" si="39"/>
        <v>0</v>
      </c>
      <c r="BZ53" s="4"/>
      <c r="CA53" s="7"/>
      <c r="CB53" s="725"/>
      <c r="CC53" s="3"/>
      <c r="CD53" s="3"/>
      <c r="CE53" s="4">
        <f t="shared" si="40"/>
        <v>0</v>
      </c>
      <c r="CF53" s="4"/>
      <c r="CG53" s="7"/>
      <c r="CH53" s="725"/>
      <c r="CI53" s="3"/>
      <c r="CJ53" s="3"/>
      <c r="CK53" s="4">
        <f t="shared" si="43"/>
        <v>0</v>
      </c>
      <c r="CL53" s="4"/>
      <c r="CM53" s="7"/>
      <c r="CN53" s="725">
        <v>1</v>
      </c>
      <c r="CO53" s="3">
        <v>0</v>
      </c>
      <c r="CP53" s="3">
        <v>2</v>
      </c>
      <c r="CQ53" s="4">
        <f t="shared" si="42"/>
        <v>2</v>
      </c>
      <c r="CR53" s="4">
        <v>5.1239999999999997</v>
      </c>
      <c r="CS53" s="7">
        <v>66612</v>
      </c>
    </row>
    <row r="54" spans="1:97" ht="16.5" x14ac:dyDescent="0.3">
      <c r="A54" s="709" t="s">
        <v>377</v>
      </c>
      <c r="B54" s="725">
        <v>2</v>
      </c>
      <c r="C54" s="3">
        <v>0</v>
      </c>
      <c r="D54" s="4">
        <v>2</v>
      </c>
      <c r="E54" s="4">
        <f t="shared" si="37"/>
        <v>2</v>
      </c>
      <c r="F54" s="4">
        <v>0.86</v>
      </c>
      <c r="G54" s="7">
        <v>14620</v>
      </c>
      <c r="H54" s="725"/>
      <c r="I54" s="3"/>
      <c r="J54" s="3"/>
      <c r="K54" s="4">
        <f t="shared" si="38"/>
        <v>0</v>
      </c>
      <c r="L54" s="4"/>
      <c r="M54" s="7"/>
      <c r="N54" s="725">
        <v>0</v>
      </c>
      <c r="O54" s="3">
        <v>0</v>
      </c>
      <c r="P54" s="3">
        <v>9.5</v>
      </c>
      <c r="Q54" s="4">
        <f t="shared" si="7"/>
        <v>9.5</v>
      </c>
      <c r="R54" s="4">
        <v>2.67</v>
      </c>
      <c r="S54" s="7">
        <v>45475</v>
      </c>
      <c r="T54" s="725">
        <v>91</v>
      </c>
      <c r="U54" s="3">
        <v>0</v>
      </c>
      <c r="V54" s="3">
        <v>103.49000000000001</v>
      </c>
      <c r="W54" s="4">
        <f t="shared" si="8"/>
        <v>103.49000000000001</v>
      </c>
      <c r="X54" s="4">
        <v>129.38012000000003</v>
      </c>
      <c r="Y54" s="7">
        <v>2199462.0400000005</v>
      </c>
      <c r="Z54" s="725"/>
      <c r="AA54" s="3"/>
      <c r="AB54" s="3"/>
      <c r="AC54" s="4">
        <f t="shared" si="9"/>
        <v>0</v>
      </c>
      <c r="AD54" s="4"/>
      <c r="AE54" s="7"/>
      <c r="AF54" s="725">
        <v>22</v>
      </c>
      <c r="AG54" s="3">
        <v>0</v>
      </c>
      <c r="AH54" s="3">
        <v>24.080000000000002</v>
      </c>
      <c r="AI54" s="4">
        <f t="shared" si="10"/>
        <v>24.080000000000002</v>
      </c>
      <c r="AJ54" s="4">
        <v>15.475259999999999</v>
      </c>
      <c r="AK54" s="7">
        <v>263079.42</v>
      </c>
      <c r="AL54" s="725"/>
      <c r="AM54" s="3"/>
      <c r="AN54" s="3"/>
      <c r="AO54" s="4">
        <f t="shared" si="11"/>
        <v>0</v>
      </c>
      <c r="AP54" s="4"/>
      <c r="AQ54" s="7"/>
      <c r="AR54" s="725"/>
      <c r="AS54" s="3"/>
      <c r="AT54" s="3"/>
      <c r="AU54" s="4">
        <f t="shared" si="12"/>
        <v>0</v>
      </c>
      <c r="AV54" s="4"/>
      <c r="AW54" s="7"/>
      <c r="AX54" s="725"/>
      <c r="AY54" s="3"/>
      <c r="AZ54" s="3"/>
      <c r="BA54" s="4">
        <f t="shared" si="13"/>
        <v>0</v>
      </c>
      <c r="BB54" s="4"/>
      <c r="BC54" s="7"/>
      <c r="BD54" s="725"/>
      <c r="BE54" s="3"/>
      <c r="BF54" s="3"/>
      <c r="BG54" s="4">
        <f t="shared" si="14"/>
        <v>0</v>
      </c>
      <c r="BH54" s="4"/>
      <c r="BI54" s="7"/>
      <c r="BJ54" s="8"/>
      <c r="BK54" s="3"/>
      <c r="BL54" s="3"/>
      <c r="BM54" s="4">
        <f t="shared" si="15"/>
        <v>0</v>
      </c>
      <c r="BN54" s="4"/>
      <c r="BO54" s="7"/>
      <c r="BP54" s="725"/>
      <c r="BQ54" s="3"/>
      <c r="BR54" s="3"/>
      <c r="BS54" s="4">
        <f t="shared" si="16"/>
        <v>0</v>
      </c>
      <c r="BT54" s="4"/>
      <c r="BU54" s="7"/>
      <c r="BV54" s="725"/>
      <c r="BW54" s="3"/>
      <c r="BX54" s="3"/>
      <c r="BY54" s="4">
        <f t="shared" si="39"/>
        <v>0</v>
      </c>
      <c r="BZ54" s="4"/>
      <c r="CA54" s="7"/>
      <c r="CB54" s="725"/>
      <c r="CC54" s="3"/>
      <c r="CD54" s="3"/>
      <c r="CE54" s="4">
        <f t="shared" si="40"/>
        <v>0</v>
      </c>
      <c r="CF54" s="4"/>
      <c r="CG54" s="7"/>
      <c r="CH54" s="725"/>
      <c r="CI54" s="3"/>
      <c r="CJ54" s="3"/>
      <c r="CK54" s="4">
        <f t="shared" si="43"/>
        <v>0</v>
      </c>
      <c r="CL54" s="4"/>
      <c r="CM54" s="7"/>
      <c r="CN54" s="725">
        <v>31</v>
      </c>
      <c r="CO54" s="3">
        <v>0</v>
      </c>
      <c r="CP54" s="3">
        <v>23.42</v>
      </c>
      <c r="CQ54" s="4">
        <f t="shared" si="42"/>
        <v>23.42</v>
      </c>
      <c r="CR54" s="4">
        <v>61.407240000000002</v>
      </c>
      <c r="CS54" s="7">
        <v>798294.12</v>
      </c>
    </row>
    <row r="55" spans="1:97" ht="16.5" x14ac:dyDescent="0.3">
      <c r="A55" s="709" t="s">
        <v>378</v>
      </c>
      <c r="B55" s="725"/>
      <c r="C55" s="3"/>
      <c r="D55" s="3"/>
      <c r="E55" s="4">
        <f t="shared" si="37"/>
        <v>0</v>
      </c>
      <c r="G55" s="7"/>
      <c r="H55" s="725"/>
      <c r="I55" s="3"/>
      <c r="J55" s="3"/>
      <c r="K55" s="4">
        <f t="shared" si="38"/>
        <v>0</v>
      </c>
      <c r="L55" s="4"/>
      <c r="M55" s="7"/>
      <c r="N55" s="725"/>
      <c r="O55" s="3"/>
      <c r="P55" s="3"/>
      <c r="Q55" s="4">
        <f t="shared" si="7"/>
        <v>0</v>
      </c>
      <c r="R55" s="4"/>
      <c r="S55" s="7"/>
      <c r="T55" s="725">
        <v>417</v>
      </c>
      <c r="U55" s="3">
        <v>0</v>
      </c>
      <c r="V55" s="3">
        <v>627.79999999999995</v>
      </c>
      <c r="W55" s="4">
        <f t="shared" si="8"/>
        <v>627.79999999999995</v>
      </c>
      <c r="X55" s="4">
        <v>1384.299</v>
      </c>
      <c r="Y55" s="7">
        <v>23533083</v>
      </c>
      <c r="Z55" s="725"/>
      <c r="AA55" s="3"/>
      <c r="AB55" s="3"/>
      <c r="AC55" s="4">
        <f t="shared" si="9"/>
        <v>0</v>
      </c>
      <c r="AD55" s="4"/>
      <c r="AE55" s="7"/>
      <c r="AF55" s="725">
        <v>100</v>
      </c>
      <c r="AG55" s="3">
        <v>0</v>
      </c>
      <c r="AH55" s="3">
        <v>113.1</v>
      </c>
      <c r="AI55" s="4">
        <f t="shared" si="10"/>
        <v>113.1</v>
      </c>
      <c r="AJ55" s="4">
        <v>72.9495</v>
      </c>
      <c r="AK55" s="7">
        <v>1240141.5</v>
      </c>
      <c r="AL55" s="725"/>
      <c r="AM55" s="3"/>
      <c r="AN55" s="3"/>
      <c r="AO55" s="4">
        <f t="shared" si="11"/>
        <v>0</v>
      </c>
      <c r="AP55" s="4"/>
      <c r="AQ55" s="7"/>
      <c r="AR55" s="725">
        <v>20</v>
      </c>
      <c r="AS55" s="3">
        <v>0</v>
      </c>
      <c r="AT55" s="3">
        <v>27</v>
      </c>
      <c r="AU55" s="4">
        <f t="shared" si="12"/>
        <v>27</v>
      </c>
      <c r="AV55" s="4">
        <v>12.042000000000002</v>
      </c>
      <c r="AW55" s="7">
        <v>204714.00000000003</v>
      </c>
      <c r="AX55" s="725">
        <v>31</v>
      </c>
      <c r="AY55" s="3"/>
      <c r="AZ55" s="3">
        <v>39.4</v>
      </c>
      <c r="BA55" s="4">
        <f t="shared" si="13"/>
        <v>39.4</v>
      </c>
      <c r="BB55" s="4">
        <v>17.572400000000002</v>
      </c>
      <c r="BC55" s="7">
        <v>298730.8</v>
      </c>
      <c r="BD55" s="725"/>
      <c r="BE55" s="3"/>
      <c r="BF55" s="3"/>
      <c r="BG55" s="4">
        <f t="shared" si="14"/>
        <v>0</v>
      </c>
      <c r="BH55" s="4"/>
      <c r="BI55" s="7"/>
      <c r="BJ55" s="8"/>
      <c r="BK55" s="3"/>
      <c r="BL55" s="3"/>
      <c r="BM55" s="4">
        <f t="shared" si="15"/>
        <v>0</v>
      </c>
      <c r="BN55" s="4"/>
      <c r="BO55" s="7"/>
      <c r="BP55" s="725"/>
      <c r="BQ55" s="3"/>
      <c r="BR55" s="3"/>
      <c r="BS55" s="4">
        <f t="shared" si="16"/>
        <v>0</v>
      </c>
      <c r="BT55" s="4"/>
      <c r="BU55" s="7"/>
      <c r="BV55" s="725">
        <v>4</v>
      </c>
      <c r="BW55" s="3">
        <v>0</v>
      </c>
      <c r="BX55" s="3">
        <v>4.8</v>
      </c>
      <c r="BY55" s="4">
        <f t="shared" si="39"/>
        <v>4.8</v>
      </c>
      <c r="BZ55" s="4">
        <v>3.6369000000000007</v>
      </c>
      <c r="CA55" s="7">
        <v>47279.700000000004</v>
      </c>
      <c r="CB55" s="725"/>
      <c r="CC55" s="3"/>
      <c r="CD55" s="3"/>
      <c r="CE55" s="4">
        <f t="shared" si="40"/>
        <v>0</v>
      </c>
      <c r="CF55" s="4"/>
      <c r="CG55" s="7"/>
      <c r="CH55" s="725">
        <v>4</v>
      </c>
      <c r="CI55" s="3">
        <v>0</v>
      </c>
      <c r="CJ55" s="3">
        <v>4.8</v>
      </c>
      <c r="CK55" s="4">
        <f t="shared" ref="CK55" si="45">SUM(CI55:CJ55)</f>
        <v>4.8</v>
      </c>
      <c r="CL55" s="4">
        <v>3.6369000000000007</v>
      </c>
      <c r="CM55" s="7">
        <v>47279.700000000004</v>
      </c>
      <c r="CN55" s="725">
        <v>73</v>
      </c>
      <c r="CO55" s="3">
        <v>0</v>
      </c>
      <c r="CP55" s="3">
        <v>102.4</v>
      </c>
      <c r="CQ55" s="4">
        <f t="shared" si="42"/>
        <v>102.4</v>
      </c>
      <c r="CR55" s="4">
        <v>335.49280000000005</v>
      </c>
      <c r="CS55" s="7">
        <v>4497119.2</v>
      </c>
    </row>
    <row r="56" spans="1:97" s="719" customFormat="1" ht="16.5" x14ac:dyDescent="0.3">
      <c r="A56" s="720" t="s">
        <v>332</v>
      </c>
      <c r="B56" s="726">
        <f t="shared" ref="B56:S56" si="46">SUM(B57:B88)</f>
        <v>0</v>
      </c>
      <c r="C56" s="722">
        <f t="shared" si="46"/>
        <v>0</v>
      </c>
      <c r="D56" s="722">
        <f t="shared" si="46"/>
        <v>0</v>
      </c>
      <c r="E56" s="717">
        <f t="shared" si="46"/>
        <v>0</v>
      </c>
      <c r="F56" s="717">
        <f t="shared" si="46"/>
        <v>0</v>
      </c>
      <c r="G56" s="718">
        <f t="shared" si="46"/>
        <v>0</v>
      </c>
      <c r="H56" s="726">
        <f t="shared" si="46"/>
        <v>0</v>
      </c>
      <c r="I56" s="722">
        <f t="shared" si="46"/>
        <v>321</v>
      </c>
      <c r="J56" s="722">
        <f t="shared" si="46"/>
        <v>21837.019999999997</v>
      </c>
      <c r="K56" s="717">
        <f t="shared" si="46"/>
        <v>22158.019999999997</v>
      </c>
      <c r="L56" s="717">
        <f t="shared" si="46"/>
        <v>17595.91403</v>
      </c>
      <c r="M56" s="718">
        <f t="shared" si="46"/>
        <v>300607459.90999997</v>
      </c>
      <c r="N56" s="726">
        <f t="shared" si="46"/>
        <v>0</v>
      </c>
      <c r="O56" s="722">
        <f t="shared" si="46"/>
        <v>533.48</v>
      </c>
      <c r="P56" s="722">
        <f t="shared" si="46"/>
        <v>57454.87999999999</v>
      </c>
      <c r="Q56" s="717">
        <f t="shared" si="46"/>
        <v>57988.359999999993</v>
      </c>
      <c r="R56" s="717">
        <f t="shared" si="46"/>
        <v>44065.317414999998</v>
      </c>
      <c r="S56" s="718">
        <f t="shared" si="46"/>
        <v>667343102.53500009</v>
      </c>
      <c r="T56" s="726">
        <f t="shared" ref="T56:AY56" si="47">SUM(T57:T88)</f>
        <v>0</v>
      </c>
      <c r="U56" s="722">
        <f t="shared" si="47"/>
        <v>6915.1</v>
      </c>
      <c r="V56" s="722">
        <f t="shared" si="47"/>
        <v>130413.63</v>
      </c>
      <c r="W56" s="717">
        <f t="shared" si="47"/>
        <v>137328.73000000001</v>
      </c>
      <c r="X56" s="717">
        <f t="shared" si="47"/>
        <v>229754.61651000005</v>
      </c>
      <c r="Y56" s="718">
        <f t="shared" si="47"/>
        <v>3253741489.3479996</v>
      </c>
      <c r="Z56" s="726">
        <f t="shared" si="47"/>
        <v>0</v>
      </c>
      <c r="AA56" s="722">
        <f t="shared" si="47"/>
        <v>3765</v>
      </c>
      <c r="AB56" s="722">
        <f t="shared" si="47"/>
        <v>5003.7</v>
      </c>
      <c r="AC56" s="717">
        <f t="shared" si="47"/>
        <v>8768.7000000000007</v>
      </c>
      <c r="AD56" s="717">
        <f t="shared" si="47"/>
        <v>88.62</v>
      </c>
      <c r="AE56" s="718">
        <f t="shared" si="47"/>
        <v>298260353.24000001</v>
      </c>
      <c r="AF56" s="726">
        <f t="shared" si="47"/>
        <v>38358</v>
      </c>
      <c r="AG56" s="722">
        <f t="shared" si="47"/>
        <v>190.5</v>
      </c>
      <c r="AH56" s="722">
        <f t="shared" si="47"/>
        <v>64562.840999999993</v>
      </c>
      <c r="AI56" s="717">
        <f t="shared" si="47"/>
        <v>64753.340999999993</v>
      </c>
      <c r="AJ56" s="717">
        <f t="shared" si="47"/>
        <v>54612.175692000004</v>
      </c>
      <c r="AK56" s="718">
        <f t="shared" si="47"/>
        <v>713140520.1960001</v>
      </c>
      <c r="AL56" s="726">
        <f t="shared" si="47"/>
        <v>0</v>
      </c>
      <c r="AM56" s="722">
        <f t="shared" si="47"/>
        <v>0</v>
      </c>
      <c r="AN56" s="722">
        <f t="shared" si="47"/>
        <v>0</v>
      </c>
      <c r="AO56" s="717">
        <f t="shared" si="47"/>
        <v>0</v>
      </c>
      <c r="AP56" s="717">
        <f t="shared" si="47"/>
        <v>0</v>
      </c>
      <c r="AQ56" s="718">
        <f t="shared" si="47"/>
        <v>0</v>
      </c>
      <c r="AR56" s="726">
        <f t="shared" si="47"/>
        <v>59760</v>
      </c>
      <c r="AS56" s="722">
        <f t="shared" si="47"/>
        <v>253.5</v>
      </c>
      <c r="AT56" s="722">
        <f t="shared" si="47"/>
        <v>75427.88</v>
      </c>
      <c r="AU56" s="717">
        <f t="shared" si="47"/>
        <v>75681.38</v>
      </c>
      <c r="AV56" s="717">
        <f t="shared" si="47"/>
        <v>66739.664999999994</v>
      </c>
      <c r="AW56" s="718">
        <f t="shared" si="47"/>
        <v>1163011427.76</v>
      </c>
      <c r="AX56" s="726">
        <f t="shared" si="47"/>
        <v>4754</v>
      </c>
      <c r="AY56" s="722">
        <f t="shared" si="47"/>
        <v>0</v>
      </c>
      <c r="AZ56" s="722">
        <f t="shared" ref="AZ56:BT56" si="48">SUM(AZ57:AZ88)</f>
        <v>9110.6299999999992</v>
      </c>
      <c r="BA56" s="717">
        <f t="shared" si="48"/>
        <v>9110.6299999999992</v>
      </c>
      <c r="BB56" s="717">
        <f t="shared" si="48"/>
        <v>7028.4318249999997</v>
      </c>
      <c r="BC56" s="718">
        <f t="shared" si="48"/>
        <v>119483341.02500001</v>
      </c>
      <c r="BD56" s="726">
        <f t="shared" si="48"/>
        <v>0</v>
      </c>
      <c r="BE56" s="722">
        <f t="shared" si="48"/>
        <v>0</v>
      </c>
      <c r="BF56" s="722">
        <f t="shared" si="48"/>
        <v>0</v>
      </c>
      <c r="BG56" s="717">
        <f t="shared" si="48"/>
        <v>0</v>
      </c>
      <c r="BH56" s="717">
        <f t="shared" si="48"/>
        <v>0</v>
      </c>
      <c r="BI56" s="718">
        <f t="shared" si="48"/>
        <v>0</v>
      </c>
      <c r="BJ56" s="721">
        <f t="shared" si="48"/>
        <v>0</v>
      </c>
      <c r="BK56" s="722">
        <f t="shared" si="48"/>
        <v>0</v>
      </c>
      <c r="BL56" s="722">
        <f t="shared" si="48"/>
        <v>0</v>
      </c>
      <c r="BM56" s="717">
        <f t="shared" si="48"/>
        <v>0</v>
      </c>
      <c r="BN56" s="717">
        <f t="shared" si="48"/>
        <v>0</v>
      </c>
      <c r="BO56" s="718">
        <f t="shared" si="48"/>
        <v>0</v>
      </c>
      <c r="BP56" s="726">
        <f t="shared" si="48"/>
        <v>107</v>
      </c>
      <c r="BQ56" s="722">
        <f t="shared" si="48"/>
        <v>0</v>
      </c>
      <c r="BR56" s="722">
        <f t="shared" si="48"/>
        <v>15</v>
      </c>
      <c r="BS56" s="717">
        <f t="shared" si="48"/>
        <v>15</v>
      </c>
      <c r="BT56" s="717">
        <f t="shared" si="48"/>
        <v>10.83</v>
      </c>
      <c r="BU56" s="718">
        <f t="shared" ref="BU56:CF56" si="49">SUM(BU57:BU88)</f>
        <v>213541</v>
      </c>
      <c r="BV56" s="726">
        <f t="shared" si="49"/>
        <v>1855</v>
      </c>
      <c r="BW56" s="722">
        <f t="shared" si="49"/>
        <v>0</v>
      </c>
      <c r="BX56" s="722">
        <f t="shared" si="49"/>
        <v>3354.6600000000003</v>
      </c>
      <c r="BY56" s="717">
        <f t="shared" si="49"/>
        <v>3354.6600000000003</v>
      </c>
      <c r="BZ56" s="717">
        <f t="shared" si="49"/>
        <v>2374.1734999999999</v>
      </c>
      <c r="CA56" s="718">
        <f t="shared" si="49"/>
        <v>29288074.960000001</v>
      </c>
      <c r="CB56" s="726">
        <f t="shared" si="49"/>
        <v>1878</v>
      </c>
      <c r="CC56" s="722">
        <f t="shared" si="49"/>
        <v>407.3</v>
      </c>
      <c r="CD56" s="722">
        <f t="shared" si="49"/>
        <v>2680.52</v>
      </c>
      <c r="CE56" s="717">
        <f t="shared" si="49"/>
        <v>3087.82</v>
      </c>
      <c r="CF56" s="717">
        <f t="shared" si="49"/>
        <v>4930.1728499999999</v>
      </c>
      <c r="CG56" s="718">
        <f t="shared" ref="CG56:CS56" si="50">SUM(CG57:CG88)</f>
        <v>71566991</v>
      </c>
      <c r="CH56" s="726">
        <f t="shared" si="50"/>
        <v>1855</v>
      </c>
      <c r="CI56" s="722">
        <f t="shared" si="50"/>
        <v>0</v>
      </c>
      <c r="CJ56" s="722">
        <f t="shared" si="50"/>
        <v>3354.6600000000003</v>
      </c>
      <c r="CK56" s="717">
        <f t="shared" si="50"/>
        <v>3354.6600000000003</v>
      </c>
      <c r="CL56" s="717">
        <f t="shared" si="50"/>
        <v>2374.1734999999999</v>
      </c>
      <c r="CM56" s="718">
        <f t="shared" si="50"/>
        <v>29288074.960000001</v>
      </c>
      <c r="CN56" s="726">
        <f t="shared" si="50"/>
        <v>5037</v>
      </c>
      <c r="CO56" s="722">
        <f t="shared" si="50"/>
        <v>15</v>
      </c>
      <c r="CP56" s="722">
        <f t="shared" si="50"/>
        <v>8131.9400000000005</v>
      </c>
      <c r="CQ56" s="717">
        <f t="shared" si="50"/>
        <v>8146.9400000000005</v>
      </c>
      <c r="CR56" s="717">
        <f t="shared" si="50"/>
        <v>15357.509699999999</v>
      </c>
      <c r="CS56" s="718">
        <f t="shared" si="50"/>
        <v>193759212.03999999</v>
      </c>
    </row>
    <row r="57" spans="1:97" ht="16.5" x14ac:dyDescent="0.3">
      <c r="A57" s="709" t="s">
        <v>379</v>
      </c>
      <c r="B57" s="725"/>
      <c r="C57" s="3"/>
      <c r="D57" s="3"/>
      <c r="E57" s="4">
        <f t="shared" ref="E57:E88" si="51">SUM(C57:D57)</f>
        <v>0</v>
      </c>
      <c r="G57" s="7"/>
      <c r="H57" s="725"/>
      <c r="I57" s="3"/>
      <c r="J57" s="3"/>
      <c r="K57" s="4">
        <f t="shared" ref="K57:K88" si="52">SUM(I57:J57)</f>
        <v>0</v>
      </c>
      <c r="L57" s="4"/>
      <c r="M57" s="7"/>
      <c r="N57" s="725">
        <v>0</v>
      </c>
      <c r="O57" s="3">
        <v>0</v>
      </c>
      <c r="P57" s="3">
        <v>537.5</v>
      </c>
      <c r="Q57" s="4">
        <f t="shared" si="7"/>
        <v>537.5</v>
      </c>
      <c r="R57" s="4">
        <v>262.70749999999998</v>
      </c>
      <c r="S57" s="7">
        <v>3940612.4999999995</v>
      </c>
      <c r="T57" s="3">
        <v>0</v>
      </c>
      <c r="U57" s="3">
        <v>0</v>
      </c>
      <c r="V57" s="3">
        <v>4671</v>
      </c>
      <c r="W57" s="4">
        <f t="shared" si="8"/>
        <v>4671</v>
      </c>
      <c r="X57" s="4">
        <v>6319.8629999999994</v>
      </c>
      <c r="Y57" s="7">
        <v>88478082</v>
      </c>
      <c r="Z57" s="725">
        <v>0</v>
      </c>
      <c r="AA57" s="3">
        <v>14</v>
      </c>
      <c r="AB57" s="3">
        <v>34</v>
      </c>
      <c r="AC57" s="4">
        <f t="shared" si="9"/>
        <v>48</v>
      </c>
      <c r="AD57" s="4"/>
      <c r="AE57" s="7">
        <v>3166532</v>
      </c>
      <c r="AF57" s="725">
        <v>2230</v>
      </c>
      <c r="AG57" s="3">
        <v>0</v>
      </c>
      <c r="AH57" s="3">
        <v>3387.05</v>
      </c>
      <c r="AI57" s="4">
        <f>SUM(AG57:AH57)</f>
        <v>3387.05</v>
      </c>
      <c r="AJ57" s="4">
        <v>2660.482825</v>
      </c>
      <c r="AK57" s="7">
        <v>34586276.725000001</v>
      </c>
      <c r="AL57" s="725"/>
      <c r="AM57" s="3"/>
      <c r="AN57" s="3"/>
      <c r="AO57" s="4">
        <f t="shared" si="11"/>
        <v>0</v>
      </c>
      <c r="AP57" s="4"/>
      <c r="AQ57" s="7"/>
      <c r="AR57" s="725">
        <v>992</v>
      </c>
      <c r="AS57" s="3">
        <v>0</v>
      </c>
      <c r="AT57" s="3">
        <v>1013.6</v>
      </c>
      <c r="AU57" s="4">
        <f t="shared" ref="AU57:AU88" si="53">SUM(AS57:AT57)</f>
        <v>1013.6</v>
      </c>
      <c r="AV57" s="4">
        <v>698.3</v>
      </c>
      <c r="AW57" s="7">
        <v>12211621.6</v>
      </c>
      <c r="AX57" s="725"/>
      <c r="AY57" s="3"/>
      <c r="AZ57" s="3"/>
      <c r="BA57" s="4">
        <f t="shared" si="13"/>
        <v>0</v>
      </c>
      <c r="BB57" s="4"/>
      <c r="BC57" s="7"/>
      <c r="BD57" s="725"/>
      <c r="BE57" s="3"/>
      <c r="BF57" s="3"/>
      <c r="BG57" s="4">
        <f t="shared" si="14"/>
        <v>0</v>
      </c>
      <c r="BH57" s="4"/>
      <c r="BI57" s="7"/>
      <c r="BJ57" s="8"/>
      <c r="BK57" s="3"/>
      <c r="BL57" s="3"/>
      <c r="BM57" s="4">
        <f t="shared" si="15"/>
        <v>0</v>
      </c>
      <c r="BN57" s="4"/>
      <c r="BO57" s="7"/>
      <c r="BP57" s="725"/>
      <c r="BQ57" s="3"/>
      <c r="BR57" s="3"/>
      <c r="BS57" s="4">
        <f t="shared" si="16"/>
        <v>0</v>
      </c>
      <c r="BT57" s="4"/>
      <c r="BU57" s="7"/>
      <c r="BV57" s="725">
        <v>94</v>
      </c>
      <c r="BW57" s="3">
        <v>0</v>
      </c>
      <c r="BX57" s="3">
        <v>215.57</v>
      </c>
      <c r="BY57" s="4">
        <f t="shared" ref="BY57:BY88" si="54">SUM(BW57:BX57)</f>
        <v>215.57</v>
      </c>
      <c r="BZ57" s="4">
        <v>177.84524999999999</v>
      </c>
      <c r="CA57" s="7">
        <v>2182143</v>
      </c>
      <c r="CB57" s="725">
        <v>126</v>
      </c>
      <c r="CC57" s="3">
        <v>0</v>
      </c>
      <c r="CD57" s="3">
        <v>255.7</v>
      </c>
      <c r="CE57" s="4">
        <f t="shared" ref="CE57:CE88" si="55">SUM(CC57:CD57)</f>
        <v>255.7</v>
      </c>
      <c r="CF57" s="4">
        <v>168.86139999999997</v>
      </c>
      <c r="CG57" s="7">
        <v>2026336.7999999996</v>
      </c>
      <c r="CH57" s="725">
        <v>94</v>
      </c>
      <c r="CI57" s="3">
        <v>0</v>
      </c>
      <c r="CJ57" s="3">
        <v>215.57</v>
      </c>
      <c r="CK57" s="4">
        <f t="shared" ref="CK57:CK88" si="56">SUM(CI57:CJ57)</f>
        <v>215.57</v>
      </c>
      <c r="CL57" s="4">
        <v>177.84524999999999</v>
      </c>
      <c r="CM57" s="7">
        <v>2182143</v>
      </c>
      <c r="CN57" s="725">
        <v>17</v>
      </c>
      <c r="CO57" s="3">
        <v>0</v>
      </c>
      <c r="CP57" s="3">
        <v>0</v>
      </c>
      <c r="CQ57" s="4">
        <f t="shared" ref="CQ57:CQ88" si="57">SUM(CO57:CP57)</f>
        <v>0</v>
      </c>
      <c r="CR57" s="4">
        <v>0</v>
      </c>
      <c r="CS57" s="7">
        <v>210050</v>
      </c>
    </row>
    <row r="58" spans="1:97" ht="16.5" x14ac:dyDescent="0.3">
      <c r="A58" s="709" t="s">
        <v>387</v>
      </c>
      <c r="B58" s="725"/>
      <c r="C58" s="3"/>
      <c r="D58" s="3"/>
      <c r="E58" s="4">
        <f t="shared" si="51"/>
        <v>0</v>
      </c>
      <c r="G58" s="7"/>
      <c r="H58" s="3">
        <v>0</v>
      </c>
      <c r="I58" s="3">
        <v>0</v>
      </c>
      <c r="J58" s="3">
        <v>1594.58</v>
      </c>
      <c r="K58" s="4">
        <f t="shared" si="52"/>
        <v>1594.58</v>
      </c>
      <c r="L58" s="4">
        <v>1078.7333699999999</v>
      </c>
      <c r="M58" s="7">
        <v>18338467.289999999</v>
      </c>
      <c r="N58" s="725">
        <v>0</v>
      </c>
      <c r="O58" s="3">
        <v>0</v>
      </c>
      <c r="P58" s="3">
        <v>776.31</v>
      </c>
      <c r="Q58" s="4">
        <f t="shared" si="7"/>
        <v>776.31</v>
      </c>
      <c r="R58" s="4">
        <v>777.57586499999991</v>
      </c>
      <c r="S58" s="7">
        <v>11663637.974999998</v>
      </c>
      <c r="T58" s="3">
        <v>0</v>
      </c>
      <c r="U58" s="3">
        <v>0</v>
      </c>
      <c r="V58" s="3">
        <v>6435.46</v>
      </c>
      <c r="W58" s="4">
        <f t="shared" si="8"/>
        <v>6435.46</v>
      </c>
      <c r="X58" s="4">
        <v>7610.1785099999997</v>
      </c>
      <c r="Y58" s="7">
        <v>106542499.14</v>
      </c>
      <c r="Z58" s="725"/>
      <c r="AA58" s="3"/>
      <c r="AB58" s="3"/>
      <c r="AC58" s="4">
        <f t="shared" si="9"/>
        <v>0</v>
      </c>
      <c r="AD58" s="4"/>
      <c r="AE58" s="7"/>
      <c r="AF58" s="725">
        <v>2507</v>
      </c>
      <c r="AG58" s="3">
        <v>0</v>
      </c>
      <c r="AH58" s="3">
        <v>3215.31</v>
      </c>
      <c r="AI58" s="4">
        <f t="shared" ref="AI58:AI121" si="58">SUM(AG58:AH58)</f>
        <v>3215.31</v>
      </c>
      <c r="AJ58" s="4">
        <v>2852.7847149999998</v>
      </c>
      <c r="AK58" s="7">
        <v>37200121.295000002</v>
      </c>
      <c r="AL58" s="725"/>
      <c r="AM58" s="3"/>
      <c r="AN58" s="3"/>
      <c r="AO58" s="4">
        <f t="shared" si="11"/>
        <v>0</v>
      </c>
      <c r="AP58" s="4"/>
      <c r="AQ58" s="7"/>
      <c r="AR58" s="725">
        <v>3039</v>
      </c>
      <c r="AS58" s="3">
        <v>0</v>
      </c>
      <c r="AT58" s="3">
        <v>3782.23</v>
      </c>
      <c r="AU58" s="4">
        <f t="shared" si="53"/>
        <v>3782.23</v>
      </c>
      <c r="AV58" s="4">
        <v>5237.4699999999993</v>
      </c>
      <c r="AW58" s="7">
        <v>89036989.999999985</v>
      </c>
      <c r="AX58" s="725"/>
      <c r="AY58" s="3"/>
      <c r="AZ58" s="3"/>
      <c r="BA58" s="4">
        <f t="shared" si="13"/>
        <v>0</v>
      </c>
      <c r="BB58" s="4"/>
      <c r="BC58" s="7"/>
      <c r="BD58" s="725"/>
      <c r="BE58" s="3"/>
      <c r="BF58" s="3"/>
      <c r="BG58" s="4">
        <f t="shared" si="14"/>
        <v>0</v>
      </c>
      <c r="BH58" s="4"/>
      <c r="BI58" s="7"/>
      <c r="BJ58" s="8"/>
      <c r="BK58" s="3"/>
      <c r="BL58" s="3"/>
      <c r="BM58" s="4">
        <f t="shared" si="15"/>
        <v>0</v>
      </c>
      <c r="BN58" s="4"/>
      <c r="BO58" s="7"/>
      <c r="BP58" s="725"/>
      <c r="BQ58" s="3"/>
      <c r="BR58" s="3"/>
      <c r="BS58" s="4">
        <f t="shared" si="16"/>
        <v>0</v>
      </c>
      <c r="BT58" s="4"/>
      <c r="BU58" s="7"/>
      <c r="BV58" s="725">
        <v>174</v>
      </c>
      <c r="BW58" s="3">
        <v>0</v>
      </c>
      <c r="BX58" s="3">
        <v>213.76</v>
      </c>
      <c r="BY58" s="4">
        <f t="shared" si="54"/>
        <v>213.76</v>
      </c>
      <c r="BZ58" s="4">
        <v>117.56799999999998</v>
      </c>
      <c r="CA58" s="7">
        <v>1413815.9999999998</v>
      </c>
      <c r="CB58" s="725">
        <v>16</v>
      </c>
      <c r="CC58" s="3">
        <v>15.3</v>
      </c>
      <c r="CD58" s="3">
        <v>9.67</v>
      </c>
      <c r="CE58" s="4">
        <f t="shared" si="55"/>
        <v>24.97</v>
      </c>
      <c r="CF58" s="4">
        <v>4.7866500000000007</v>
      </c>
      <c r="CG58" s="7">
        <v>463319.4</v>
      </c>
      <c r="CH58" s="725">
        <v>174</v>
      </c>
      <c r="CI58" s="3">
        <v>0</v>
      </c>
      <c r="CJ58" s="3">
        <v>213.76</v>
      </c>
      <c r="CK58" s="4">
        <f t="shared" si="56"/>
        <v>213.76</v>
      </c>
      <c r="CL58" s="4">
        <v>117.56799999999998</v>
      </c>
      <c r="CM58" s="7">
        <v>1413815.9999999998</v>
      </c>
      <c r="CN58" s="725">
        <v>11</v>
      </c>
      <c r="CO58" s="3">
        <v>0</v>
      </c>
      <c r="CP58" s="3">
        <v>16.3</v>
      </c>
      <c r="CQ58" s="4">
        <f t="shared" si="57"/>
        <v>16.3</v>
      </c>
      <c r="CR58" s="4">
        <v>10.9047</v>
      </c>
      <c r="CS58" s="7">
        <v>130856.40000000001</v>
      </c>
    </row>
    <row r="59" spans="1:97" ht="16.5" x14ac:dyDescent="0.3">
      <c r="A59" s="709" t="s">
        <v>386</v>
      </c>
      <c r="B59" s="725"/>
      <c r="C59" s="3"/>
      <c r="D59" s="3"/>
      <c r="E59" s="4">
        <f t="shared" si="51"/>
        <v>0</v>
      </c>
      <c r="G59" s="7"/>
      <c r="H59" s="3">
        <v>0</v>
      </c>
      <c r="I59" s="3">
        <v>0</v>
      </c>
      <c r="J59" s="3">
        <v>825</v>
      </c>
      <c r="K59" s="4">
        <f t="shared" si="52"/>
        <v>825</v>
      </c>
      <c r="L59" s="4">
        <v>372.07500000000005</v>
      </c>
      <c r="M59" s="7">
        <v>6325275.0000000009</v>
      </c>
      <c r="N59" s="725">
        <v>0</v>
      </c>
      <c r="O59" s="3">
        <v>0</v>
      </c>
      <c r="P59" s="3">
        <v>1053</v>
      </c>
      <c r="Q59" s="4">
        <f t="shared" si="7"/>
        <v>1053</v>
      </c>
      <c r="R59" s="4">
        <v>901.77449999999999</v>
      </c>
      <c r="S59" s="7">
        <v>13526617.499999998</v>
      </c>
      <c r="T59" s="3">
        <v>0</v>
      </c>
      <c r="U59" s="3">
        <v>0</v>
      </c>
      <c r="V59" s="3">
        <v>8000</v>
      </c>
      <c r="W59" s="4">
        <f t="shared" si="8"/>
        <v>8000</v>
      </c>
      <c r="X59" s="4">
        <v>14432</v>
      </c>
      <c r="Y59" s="7">
        <v>202048000</v>
      </c>
      <c r="Z59" s="725"/>
      <c r="AA59" s="3"/>
      <c r="AB59" s="3"/>
      <c r="AC59" s="4">
        <f t="shared" si="9"/>
        <v>0</v>
      </c>
      <c r="AD59" s="4"/>
      <c r="AE59" s="7">
        <v>5340000</v>
      </c>
      <c r="AF59" s="725">
        <v>1127</v>
      </c>
      <c r="AG59" s="3">
        <v>0</v>
      </c>
      <c r="AH59" s="3">
        <v>1156.32</v>
      </c>
      <c r="AI59" s="4">
        <f t="shared" si="58"/>
        <v>1156.32</v>
      </c>
      <c r="AJ59" s="4">
        <v>782.25047999999992</v>
      </c>
      <c r="AK59" s="7">
        <v>10169256.239999998</v>
      </c>
      <c r="AL59" s="725"/>
      <c r="AM59" s="3"/>
      <c r="AN59" s="3"/>
      <c r="AO59" s="4">
        <f t="shared" si="11"/>
        <v>0</v>
      </c>
      <c r="AP59" s="4"/>
      <c r="AQ59" s="7"/>
      <c r="AR59" s="725">
        <v>1000</v>
      </c>
      <c r="AS59" s="3">
        <v>0</v>
      </c>
      <c r="AT59" s="3">
        <v>1095.3</v>
      </c>
      <c r="AU59" s="4">
        <f t="shared" si="53"/>
        <v>1095.3</v>
      </c>
      <c r="AV59" s="4">
        <v>719.02499999999998</v>
      </c>
      <c r="AW59" s="7">
        <v>12223425</v>
      </c>
      <c r="AX59" s="725"/>
      <c r="AY59" s="3"/>
      <c r="AZ59" s="3"/>
      <c r="BA59" s="4">
        <f t="shared" si="13"/>
        <v>0</v>
      </c>
      <c r="BB59" s="4"/>
      <c r="BC59" s="7"/>
      <c r="BD59" s="725"/>
      <c r="BE59" s="3"/>
      <c r="BF59" s="3"/>
      <c r="BG59" s="4">
        <f t="shared" si="14"/>
        <v>0</v>
      </c>
      <c r="BH59" s="4"/>
      <c r="BI59" s="7"/>
      <c r="BJ59" s="8"/>
      <c r="BK59" s="3"/>
      <c r="BL59" s="3"/>
      <c r="BM59" s="4">
        <f t="shared" si="15"/>
        <v>0</v>
      </c>
      <c r="BN59" s="4"/>
      <c r="BO59" s="7"/>
      <c r="BP59" s="725"/>
      <c r="BQ59" s="3"/>
      <c r="BR59" s="3"/>
      <c r="BS59" s="4">
        <f t="shared" si="16"/>
        <v>0</v>
      </c>
      <c r="BT59" s="4"/>
      <c r="BU59" s="7"/>
      <c r="BV59" s="725">
        <v>0</v>
      </c>
      <c r="BW59" s="3">
        <v>0</v>
      </c>
      <c r="BX59" s="3">
        <v>60</v>
      </c>
      <c r="BY59" s="4">
        <f t="shared" si="54"/>
        <v>60</v>
      </c>
      <c r="BZ59" s="4">
        <v>33</v>
      </c>
      <c r="CA59" s="7">
        <v>396000</v>
      </c>
      <c r="CB59" s="725"/>
      <c r="CC59" s="3"/>
      <c r="CD59" s="3"/>
      <c r="CE59" s="4">
        <f t="shared" si="55"/>
        <v>0</v>
      </c>
      <c r="CF59" s="4"/>
      <c r="CG59" s="7"/>
      <c r="CH59" s="725">
        <v>0</v>
      </c>
      <c r="CI59" s="3">
        <v>0</v>
      </c>
      <c r="CJ59" s="3">
        <v>60</v>
      </c>
      <c r="CK59" s="4">
        <f t="shared" si="56"/>
        <v>60</v>
      </c>
      <c r="CL59" s="4">
        <v>33</v>
      </c>
      <c r="CM59" s="7">
        <v>396000</v>
      </c>
      <c r="CN59" s="725"/>
      <c r="CO59" s="3"/>
      <c r="CP59" s="3"/>
      <c r="CQ59" s="4">
        <f t="shared" si="57"/>
        <v>0</v>
      </c>
      <c r="CR59" s="4"/>
      <c r="CS59" s="7"/>
    </row>
    <row r="60" spans="1:97" ht="16.5" x14ac:dyDescent="0.3">
      <c r="A60" s="709" t="s">
        <v>385</v>
      </c>
      <c r="B60" s="725"/>
      <c r="C60" s="3"/>
      <c r="D60" s="3"/>
      <c r="E60" s="4">
        <f t="shared" si="51"/>
        <v>0</v>
      </c>
      <c r="G60" s="7"/>
      <c r="H60" s="3">
        <v>0</v>
      </c>
      <c r="I60" s="3">
        <v>0</v>
      </c>
      <c r="J60" s="3">
        <v>1648</v>
      </c>
      <c r="K60" s="4">
        <f t="shared" si="52"/>
        <v>1648</v>
      </c>
      <c r="L60" s="4">
        <v>4310.8383999999996</v>
      </c>
      <c r="M60" s="7">
        <v>73284252.799999982</v>
      </c>
      <c r="N60" s="725"/>
      <c r="O60" s="3"/>
      <c r="P60" s="3">
        <v>300</v>
      </c>
      <c r="Q60" s="4">
        <f t="shared" si="7"/>
        <v>300</v>
      </c>
      <c r="R60" s="4">
        <v>202.95</v>
      </c>
      <c r="S60" s="7">
        <v>3044250</v>
      </c>
      <c r="T60" s="3">
        <v>0</v>
      </c>
      <c r="U60" s="3">
        <v>0</v>
      </c>
      <c r="V60" s="3">
        <v>1920</v>
      </c>
      <c r="W60" s="4">
        <f t="shared" si="8"/>
        <v>1920</v>
      </c>
      <c r="X60" s="4">
        <v>2597.7599999999998</v>
      </c>
      <c r="Y60" s="7">
        <v>36368640</v>
      </c>
      <c r="Z60" s="725"/>
      <c r="AA60" s="3"/>
      <c r="AB60" s="3"/>
      <c r="AC60" s="4">
        <f t="shared" si="9"/>
        <v>0</v>
      </c>
      <c r="AD60" s="4"/>
      <c r="AE60" s="7"/>
      <c r="AF60" s="725">
        <v>235</v>
      </c>
      <c r="AG60" s="3">
        <v>0</v>
      </c>
      <c r="AH60" s="3">
        <v>357.85</v>
      </c>
      <c r="AI60" s="4">
        <f t="shared" si="58"/>
        <v>357.85</v>
      </c>
      <c r="AJ60" s="4">
        <v>242.08552500000002</v>
      </c>
      <c r="AK60" s="7">
        <v>3147111.8250000002</v>
      </c>
      <c r="AL60" s="725"/>
      <c r="AM60" s="3"/>
      <c r="AN60" s="3"/>
      <c r="AO60" s="4">
        <f t="shared" si="11"/>
        <v>0</v>
      </c>
      <c r="AP60" s="4"/>
      <c r="AQ60" s="7"/>
      <c r="AR60" s="725">
        <v>2134</v>
      </c>
      <c r="AS60" s="3">
        <v>204</v>
      </c>
      <c r="AT60" s="3">
        <v>3038.24</v>
      </c>
      <c r="AU60" s="4">
        <f t="shared" si="53"/>
        <v>3242.24</v>
      </c>
      <c r="AV60" s="4">
        <v>1931.472</v>
      </c>
      <c r="AW60" s="7">
        <v>32835024</v>
      </c>
      <c r="AX60" s="725"/>
      <c r="AY60" s="3"/>
      <c r="AZ60" s="3"/>
      <c r="BA60" s="4">
        <f t="shared" si="13"/>
        <v>0</v>
      </c>
      <c r="BB60" s="4"/>
      <c r="BC60" s="7"/>
      <c r="BD60" s="725"/>
      <c r="BE60" s="3"/>
      <c r="BF60" s="3"/>
      <c r="BG60" s="4">
        <f t="shared" si="14"/>
        <v>0</v>
      </c>
      <c r="BH60" s="4"/>
      <c r="BI60" s="7"/>
      <c r="BJ60" s="8"/>
      <c r="BK60" s="3"/>
      <c r="BL60" s="3"/>
      <c r="BM60" s="4">
        <f t="shared" si="15"/>
        <v>0</v>
      </c>
      <c r="BN60" s="4"/>
      <c r="BO60" s="7"/>
      <c r="BP60" s="725"/>
      <c r="BQ60" s="3"/>
      <c r="BR60" s="3"/>
      <c r="BS60" s="4">
        <f t="shared" si="16"/>
        <v>0</v>
      </c>
      <c r="BT60" s="4"/>
      <c r="BU60" s="7"/>
      <c r="BV60" s="725"/>
      <c r="BW60" s="3"/>
      <c r="BX60" s="3"/>
      <c r="BY60" s="4">
        <f t="shared" si="54"/>
        <v>0</v>
      </c>
      <c r="BZ60" s="4"/>
      <c r="CA60" s="7"/>
      <c r="CB60" s="725"/>
      <c r="CC60" s="3"/>
      <c r="CD60" s="3"/>
      <c r="CE60" s="4">
        <f t="shared" si="55"/>
        <v>0</v>
      </c>
      <c r="CF60" s="4"/>
      <c r="CG60" s="7"/>
      <c r="CH60" s="725"/>
      <c r="CI60" s="3"/>
      <c r="CJ60" s="3"/>
      <c r="CK60" s="4">
        <f t="shared" si="56"/>
        <v>0</v>
      </c>
      <c r="CL60" s="4"/>
      <c r="CM60" s="7"/>
      <c r="CN60" s="725"/>
      <c r="CO60" s="3"/>
      <c r="CP60" s="3"/>
      <c r="CQ60" s="4">
        <f t="shared" si="57"/>
        <v>0</v>
      </c>
      <c r="CR60" s="4"/>
      <c r="CS60" s="7"/>
    </row>
    <row r="61" spans="1:97" ht="16.5" x14ac:dyDescent="0.3">
      <c r="A61" s="709" t="s">
        <v>384</v>
      </c>
      <c r="B61" s="725"/>
      <c r="C61" s="3"/>
      <c r="D61" s="3"/>
      <c r="E61" s="4">
        <f t="shared" si="51"/>
        <v>0</v>
      </c>
      <c r="G61" s="7"/>
      <c r="H61" s="3">
        <v>0</v>
      </c>
      <c r="I61" s="3">
        <v>0</v>
      </c>
      <c r="J61" s="3">
        <v>855</v>
      </c>
      <c r="K61" s="4">
        <f t="shared" si="52"/>
        <v>855</v>
      </c>
      <c r="L61" s="4">
        <v>380.86949999999996</v>
      </c>
      <c r="M61" s="7">
        <v>6485597.5</v>
      </c>
      <c r="N61" s="725">
        <v>0</v>
      </c>
      <c r="O61" s="3">
        <v>0</v>
      </c>
      <c r="P61" s="3">
        <v>849.5</v>
      </c>
      <c r="Q61" s="4">
        <f t="shared" si="7"/>
        <v>849.5</v>
      </c>
      <c r="R61" s="4">
        <v>901.99999999999989</v>
      </c>
      <c r="S61" s="7">
        <v>13529999.999999998</v>
      </c>
      <c r="T61" s="3">
        <v>0</v>
      </c>
      <c r="U61" s="3">
        <v>0</v>
      </c>
      <c r="V61" s="3">
        <v>1602.47</v>
      </c>
      <c r="W61" s="4">
        <f t="shared" si="8"/>
        <v>1602.47</v>
      </c>
      <c r="X61" s="4">
        <v>2471.2590100000002</v>
      </c>
      <c r="Y61" s="7">
        <v>34597626.140000001</v>
      </c>
      <c r="Z61" s="725">
        <v>0</v>
      </c>
      <c r="AA61" s="3">
        <v>0</v>
      </c>
      <c r="AB61" s="3">
        <v>80</v>
      </c>
      <c r="AC61" s="4">
        <f t="shared" si="9"/>
        <v>80</v>
      </c>
      <c r="AD61" s="4"/>
      <c r="AE61" s="7">
        <v>1539280</v>
      </c>
      <c r="AF61" s="725">
        <v>979</v>
      </c>
      <c r="AG61" s="3">
        <v>0</v>
      </c>
      <c r="AH61" s="3">
        <v>1568</v>
      </c>
      <c r="AI61" s="4">
        <f t="shared" si="58"/>
        <v>1568</v>
      </c>
      <c r="AJ61" s="4">
        <v>1053.99</v>
      </c>
      <c r="AK61" s="7">
        <v>13739528.999999998</v>
      </c>
      <c r="AL61" s="725"/>
      <c r="AM61" s="3"/>
      <c r="AN61" s="3"/>
      <c r="AO61" s="4">
        <f t="shared" si="11"/>
        <v>0</v>
      </c>
      <c r="AP61" s="4"/>
      <c r="AQ61" s="7"/>
      <c r="AR61" s="725">
        <v>583</v>
      </c>
      <c r="AS61" s="3">
        <v>23</v>
      </c>
      <c r="AT61" s="3">
        <v>620.5</v>
      </c>
      <c r="AU61" s="4">
        <f t="shared" si="53"/>
        <v>643.5</v>
      </c>
      <c r="AV61" s="4">
        <v>580.75</v>
      </c>
      <c r="AW61" s="7">
        <v>11753259.6</v>
      </c>
      <c r="AX61" s="725">
        <v>179</v>
      </c>
      <c r="AY61" s="3">
        <v>0</v>
      </c>
      <c r="AZ61" s="3">
        <v>178</v>
      </c>
      <c r="BA61" s="4">
        <f t="shared" si="13"/>
        <v>178</v>
      </c>
      <c r="BB61" s="4">
        <v>113.47499999999999</v>
      </c>
      <c r="BC61" s="7">
        <v>1929074.9999999998</v>
      </c>
      <c r="BD61" s="725"/>
      <c r="BE61" s="3"/>
      <c r="BF61" s="3"/>
      <c r="BG61" s="4">
        <f t="shared" si="14"/>
        <v>0</v>
      </c>
      <c r="BH61" s="4"/>
      <c r="BI61" s="7"/>
      <c r="BJ61" s="8"/>
      <c r="BK61" s="3"/>
      <c r="BL61" s="3"/>
      <c r="BM61" s="4">
        <f t="shared" si="15"/>
        <v>0</v>
      </c>
      <c r="BN61" s="4"/>
      <c r="BO61" s="7"/>
      <c r="BP61" s="725">
        <v>9</v>
      </c>
      <c r="BQ61" s="3">
        <v>0</v>
      </c>
      <c r="BR61" s="3">
        <v>15</v>
      </c>
      <c r="BS61" s="4">
        <f t="shared" si="16"/>
        <v>15</v>
      </c>
      <c r="BT61" s="4">
        <v>10.83</v>
      </c>
      <c r="BU61" s="7">
        <v>205770</v>
      </c>
      <c r="BV61" s="725">
        <v>34</v>
      </c>
      <c r="BW61" s="3">
        <v>0</v>
      </c>
      <c r="BX61" s="3">
        <v>50.65</v>
      </c>
      <c r="BY61" s="4">
        <f t="shared" si="54"/>
        <v>50.65</v>
      </c>
      <c r="BZ61" s="4">
        <v>27.857500000000002</v>
      </c>
      <c r="CA61" s="7">
        <v>318760.16000000003</v>
      </c>
      <c r="CB61" s="725"/>
      <c r="CC61" s="3"/>
      <c r="CD61" s="3"/>
      <c r="CE61" s="4">
        <f t="shared" si="55"/>
        <v>0</v>
      </c>
      <c r="CF61" s="4"/>
      <c r="CG61" s="7"/>
      <c r="CH61" s="725">
        <v>34</v>
      </c>
      <c r="CI61" s="3">
        <v>0</v>
      </c>
      <c r="CJ61" s="3">
        <v>50.65</v>
      </c>
      <c r="CK61" s="4">
        <f t="shared" si="56"/>
        <v>50.65</v>
      </c>
      <c r="CL61" s="4">
        <v>27.857500000000002</v>
      </c>
      <c r="CM61" s="7">
        <v>318760.16000000003</v>
      </c>
      <c r="CN61" s="725">
        <v>41</v>
      </c>
      <c r="CO61" s="3">
        <v>0</v>
      </c>
      <c r="CP61" s="3">
        <v>59.8</v>
      </c>
      <c r="CQ61" s="4">
        <f t="shared" si="57"/>
        <v>59.8</v>
      </c>
      <c r="CR61" s="4">
        <v>0</v>
      </c>
      <c r="CS61" s="7">
        <v>85920.639999999999</v>
      </c>
    </row>
    <row r="62" spans="1:97" ht="16.5" x14ac:dyDescent="0.3">
      <c r="A62" s="709" t="s">
        <v>383</v>
      </c>
      <c r="B62" s="725"/>
      <c r="C62" s="3"/>
      <c r="D62" s="3"/>
      <c r="E62" s="4">
        <f t="shared" si="51"/>
        <v>0</v>
      </c>
      <c r="G62" s="7"/>
      <c r="H62" s="3">
        <v>0</v>
      </c>
      <c r="I62" s="3">
        <v>0</v>
      </c>
      <c r="J62" s="3">
        <v>1385.63</v>
      </c>
      <c r="K62" s="4">
        <f t="shared" si="52"/>
        <v>1385.63</v>
      </c>
      <c r="L62" s="4">
        <v>1629.0074899999997</v>
      </c>
      <c r="M62" s="7">
        <v>27693127.329999994</v>
      </c>
      <c r="N62" s="725">
        <v>0</v>
      </c>
      <c r="O62" s="3">
        <v>0</v>
      </c>
      <c r="P62" s="3">
        <v>511.5</v>
      </c>
      <c r="Q62" s="4">
        <f t="shared" si="7"/>
        <v>511.5</v>
      </c>
      <c r="R62" s="4">
        <v>346.02974999999992</v>
      </c>
      <c r="S62" s="7">
        <v>5190446.2499999991</v>
      </c>
      <c r="T62" s="3">
        <v>0</v>
      </c>
      <c r="U62" s="3">
        <v>0</v>
      </c>
      <c r="V62" s="3">
        <v>1457</v>
      </c>
      <c r="W62" s="4">
        <f t="shared" si="8"/>
        <v>1457</v>
      </c>
      <c r="X62" s="4">
        <v>1642.7674999999999</v>
      </c>
      <c r="Y62" s="7">
        <v>22998744.999999996</v>
      </c>
      <c r="Z62" s="725"/>
      <c r="AA62" s="3"/>
      <c r="AB62" s="3"/>
      <c r="AC62" s="4">
        <f t="shared" si="9"/>
        <v>0</v>
      </c>
      <c r="AD62" s="4"/>
      <c r="AE62" s="7">
        <v>3399190</v>
      </c>
      <c r="AF62" s="725">
        <v>180</v>
      </c>
      <c r="AG62" s="3">
        <v>0</v>
      </c>
      <c r="AH62" s="3">
        <v>362.5</v>
      </c>
      <c r="AI62" s="4">
        <f t="shared" si="58"/>
        <v>362.5</v>
      </c>
      <c r="AJ62" s="4">
        <v>337.91174999999998</v>
      </c>
      <c r="AK62" s="7">
        <v>4392852.75</v>
      </c>
      <c r="AL62" s="725"/>
      <c r="AM62" s="3"/>
      <c r="AN62" s="3"/>
      <c r="AO62" s="4">
        <f t="shared" si="11"/>
        <v>0</v>
      </c>
      <c r="AP62" s="4"/>
      <c r="AQ62" s="7"/>
      <c r="AR62" s="725">
        <v>727</v>
      </c>
      <c r="AS62" s="3">
        <v>0</v>
      </c>
      <c r="AT62" s="3">
        <v>1296.0999999999999</v>
      </c>
      <c r="AU62" s="4">
        <f t="shared" si="53"/>
        <v>1296.0999999999999</v>
      </c>
      <c r="AV62" s="4">
        <v>858.85</v>
      </c>
      <c r="AW62" s="7">
        <v>14600450</v>
      </c>
      <c r="AX62" s="725"/>
      <c r="AY62" s="3"/>
      <c r="AZ62" s="3"/>
      <c r="BA62" s="4">
        <f t="shared" si="13"/>
        <v>0</v>
      </c>
      <c r="BB62" s="4"/>
      <c r="BC62" s="7"/>
      <c r="BD62" s="725"/>
      <c r="BE62" s="3"/>
      <c r="BF62" s="3"/>
      <c r="BG62" s="4">
        <f t="shared" si="14"/>
        <v>0</v>
      </c>
      <c r="BH62" s="4"/>
      <c r="BI62" s="7"/>
      <c r="BJ62" s="8"/>
      <c r="BK62" s="3"/>
      <c r="BL62" s="3"/>
      <c r="BM62" s="4">
        <f t="shared" si="15"/>
        <v>0</v>
      </c>
      <c r="BN62" s="4"/>
      <c r="BO62" s="7"/>
      <c r="BP62" s="725"/>
      <c r="BQ62" s="3"/>
      <c r="BR62" s="3"/>
      <c r="BS62" s="4">
        <f t="shared" si="16"/>
        <v>0</v>
      </c>
      <c r="BT62" s="4"/>
      <c r="BU62" s="7"/>
      <c r="BV62" s="725">
        <v>77</v>
      </c>
      <c r="BW62" s="3">
        <v>0</v>
      </c>
      <c r="BX62" s="3">
        <v>122.50999999999999</v>
      </c>
      <c r="BY62" s="4">
        <f t="shared" si="54"/>
        <v>122.50999999999999</v>
      </c>
      <c r="BZ62" s="4">
        <v>91.882499999999993</v>
      </c>
      <c r="CA62" s="7">
        <v>1102590</v>
      </c>
      <c r="CB62" s="725"/>
      <c r="CC62" s="3"/>
      <c r="CD62" s="3"/>
      <c r="CE62" s="4">
        <f t="shared" si="55"/>
        <v>0</v>
      </c>
      <c r="CF62" s="4"/>
      <c r="CG62" s="7"/>
      <c r="CH62" s="725">
        <v>77</v>
      </c>
      <c r="CI62" s="3">
        <v>0</v>
      </c>
      <c r="CJ62" s="3">
        <v>122.50999999999999</v>
      </c>
      <c r="CK62" s="4">
        <f t="shared" si="56"/>
        <v>122.50999999999999</v>
      </c>
      <c r="CL62" s="4">
        <v>91.882499999999993</v>
      </c>
      <c r="CM62" s="7">
        <v>1102590</v>
      </c>
      <c r="CN62" s="725"/>
      <c r="CO62" s="3"/>
      <c r="CP62" s="3"/>
      <c r="CQ62" s="4">
        <f t="shared" si="57"/>
        <v>0</v>
      </c>
      <c r="CR62" s="4"/>
      <c r="CS62" s="7"/>
    </row>
    <row r="63" spans="1:97" ht="16.5" x14ac:dyDescent="0.3">
      <c r="A63" s="709" t="s">
        <v>382</v>
      </c>
      <c r="B63" s="725"/>
      <c r="C63" s="3"/>
      <c r="D63" s="3"/>
      <c r="E63" s="4">
        <f t="shared" si="51"/>
        <v>0</v>
      </c>
      <c r="G63" s="7"/>
      <c r="H63" s="3">
        <v>0</v>
      </c>
      <c r="I63" s="3">
        <v>0</v>
      </c>
      <c r="J63" s="3">
        <v>1531.55</v>
      </c>
      <c r="K63" s="4">
        <f t="shared" si="52"/>
        <v>1531.55</v>
      </c>
      <c r="L63" s="4">
        <v>1381.4580999999998</v>
      </c>
      <c r="M63" s="7">
        <v>23484787.699999996</v>
      </c>
      <c r="N63" s="725">
        <v>0</v>
      </c>
      <c r="O63" s="3">
        <v>0</v>
      </c>
      <c r="P63" s="3">
        <v>1915.8</v>
      </c>
      <c r="Q63" s="4">
        <f t="shared" si="7"/>
        <v>1915.8</v>
      </c>
      <c r="R63" s="4">
        <v>1565.8719999999998</v>
      </c>
      <c r="S63" s="7">
        <v>23488079.999999996</v>
      </c>
      <c r="T63" s="3">
        <v>0</v>
      </c>
      <c r="U63" s="3">
        <v>0</v>
      </c>
      <c r="V63" s="3">
        <v>3007.2</v>
      </c>
      <c r="W63" s="4">
        <f t="shared" si="8"/>
        <v>3007.2</v>
      </c>
      <c r="X63" s="4">
        <v>4068.7415999999994</v>
      </c>
      <c r="Y63" s="7">
        <v>56962382.399999999</v>
      </c>
      <c r="Z63" s="725">
        <v>0</v>
      </c>
      <c r="AA63" s="3">
        <v>0</v>
      </c>
      <c r="AB63" s="3">
        <v>15</v>
      </c>
      <c r="AC63" s="4">
        <f t="shared" si="9"/>
        <v>15</v>
      </c>
      <c r="AD63" s="4"/>
      <c r="AE63" s="7">
        <v>1922210</v>
      </c>
      <c r="AF63" s="725">
        <v>160</v>
      </c>
      <c r="AG63" s="3">
        <v>0</v>
      </c>
      <c r="AH63" s="3">
        <v>268.75</v>
      </c>
      <c r="AI63" s="4">
        <f t="shared" si="58"/>
        <v>268.75</v>
      </c>
      <c r="AJ63" s="4">
        <v>181.80937499999999</v>
      </c>
      <c r="AK63" s="7">
        <v>2363521.875</v>
      </c>
      <c r="AL63" s="725"/>
      <c r="AM63" s="3"/>
      <c r="AN63" s="3"/>
      <c r="AO63" s="4">
        <f t="shared" si="11"/>
        <v>0</v>
      </c>
      <c r="AP63" s="4"/>
      <c r="AQ63" s="7"/>
      <c r="AR63" s="725">
        <v>468</v>
      </c>
      <c r="AS63" s="3">
        <v>0</v>
      </c>
      <c r="AT63" s="3">
        <v>535.92000000000007</v>
      </c>
      <c r="AU63" s="4">
        <f t="shared" si="53"/>
        <v>535.92000000000007</v>
      </c>
      <c r="AV63" s="4">
        <v>229.23000000000002</v>
      </c>
      <c r="AW63" s="7">
        <v>3896910</v>
      </c>
      <c r="AX63" s="725"/>
      <c r="AY63" s="3"/>
      <c r="AZ63" s="3"/>
      <c r="BA63" s="4">
        <f t="shared" si="13"/>
        <v>0</v>
      </c>
      <c r="BB63" s="4"/>
      <c r="BC63" s="7"/>
      <c r="BD63" s="725"/>
      <c r="BE63" s="3"/>
      <c r="BF63" s="3"/>
      <c r="BG63" s="4">
        <f t="shared" si="14"/>
        <v>0</v>
      </c>
      <c r="BH63" s="4"/>
      <c r="BI63" s="7"/>
      <c r="BJ63" s="8"/>
      <c r="BK63" s="3"/>
      <c r="BL63" s="3"/>
      <c r="BM63" s="4">
        <f t="shared" si="15"/>
        <v>0</v>
      </c>
      <c r="BN63" s="4"/>
      <c r="BO63" s="7"/>
      <c r="BP63" s="725"/>
      <c r="BQ63" s="3"/>
      <c r="BR63" s="3"/>
      <c r="BS63" s="4">
        <f t="shared" si="16"/>
        <v>0</v>
      </c>
      <c r="BT63" s="4"/>
      <c r="BU63" s="7"/>
      <c r="BV63" s="725"/>
      <c r="BW63" s="3"/>
      <c r="BX63" s="3"/>
      <c r="BY63" s="4">
        <f t="shared" si="54"/>
        <v>0</v>
      </c>
      <c r="BZ63" s="4"/>
      <c r="CA63" s="7"/>
      <c r="CB63" s="725"/>
      <c r="CC63" s="3"/>
      <c r="CD63" s="3"/>
      <c r="CE63" s="4">
        <f t="shared" si="55"/>
        <v>0</v>
      </c>
      <c r="CF63" s="4"/>
      <c r="CG63" s="7"/>
      <c r="CH63" s="725"/>
      <c r="CI63" s="3"/>
      <c r="CJ63" s="3"/>
      <c r="CK63" s="4">
        <f t="shared" si="56"/>
        <v>0</v>
      </c>
      <c r="CL63" s="4"/>
      <c r="CM63" s="7"/>
      <c r="CN63" s="725"/>
      <c r="CO63" s="3"/>
      <c r="CP63" s="3"/>
      <c r="CQ63" s="4">
        <f t="shared" si="57"/>
        <v>0</v>
      </c>
      <c r="CR63" s="4"/>
      <c r="CS63" s="7"/>
    </row>
    <row r="64" spans="1:97" ht="16.5" x14ac:dyDescent="0.3">
      <c r="A64" s="709" t="s">
        <v>381</v>
      </c>
      <c r="B64" s="725"/>
      <c r="C64" s="3"/>
      <c r="D64" s="3"/>
      <c r="E64" s="4">
        <f t="shared" si="51"/>
        <v>0</v>
      </c>
      <c r="G64" s="7"/>
      <c r="H64" s="3">
        <v>0</v>
      </c>
      <c r="I64" s="3">
        <v>0</v>
      </c>
      <c r="J64" s="3">
        <v>3211.65</v>
      </c>
      <c r="K64" s="4">
        <f t="shared" si="52"/>
        <v>3211.65</v>
      </c>
      <c r="L64" s="4">
        <v>724.2270749999999</v>
      </c>
      <c r="M64" s="7">
        <v>12311860.274999999</v>
      </c>
      <c r="N64" s="725">
        <v>0</v>
      </c>
      <c r="O64" s="3">
        <v>0</v>
      </c>
      <c r="P64" s="3">
        <v>3622.7200000000003</v>
      </c>
      <c r="Q64" s="4">
        <f t="shared" si="7"/>
        <v>3622.7200000000003</v>
      </c>
      <c r="R64" s="4">
        <v>2157.72921</v>
      </c>
      <c r="S64" s="7">
        <v>32365938.150000002</v>
      </c>
      <c r="T64" s="3">
        <v>0</v>
      </c>
      <c r="U64" s="3">
        <v>0</v>
      </c>
      <c r="V64" s="3">
        <v>5815.6900000000005</v>
      </c>
      <c r="W64" s="4">
        <f t="shared" si="8"/>
        <v>5815.6900000000005</v>
      </c>
      <c r="X64" s="4">
        <v>10767.23263</v>
      </c>
      <c r="Y64" s="7">
        <v>150751936.81999999</v>
      </c>
      <c r="Z64" s="725"/>
      <c r="AA64" s="3"/>
      <c r="AB64" s="3"/>
      <c r="AC64" s="4">
        <f t="shared" si="9"/>
        <v>0</v>
      </c>
      <c r="AD64" s="4"/>
      <c r="AE64" s="7">
        <v>11264338.4</v>
      </c>
      <c r="AF64" s="725">
        <v>298</v>
      </c>
      <c r="AG64" s="3">
        <v>76.5</v>
      </c>
      <c r="AH64" s="3">
        <v>355.5</v>
      </c>
      <c r="AI64" s="4">
        <f t="shared" si="58"/>
        <v>432</v>
      </c>
      <c r="AJ64" s="4">
        <v>602.76149999999996</v>
      </c>
      <c r="AK64" s="7">
        <v>7835899.5</v>
      </c>
      <c r="AL64" s="725"/>
      <c r="AM64" s="3"/>
      <c r="AN64" s="3"/>
      <c r="AO64" s="4">
        <f t="shared" si="11"/>
        <v>0</v>
      </c>
      <c r="AP64" s="4"/>
      <c r="AQ64" s="7"/>
      <c r="AR64" s="725">
        <v>2579</v>
      </c>
      <c r="AS64" s="3">
        <v>20</v>
      </c>
      <c r="AT64" s="3">
        <v>5615.51</v>
      </c>
      <c r="AU64" s="4">
        <f t="shared" si="53"/>
        <v>5635.51</v>
      </c>
      <c r="AV64" s="4">
        <v>9358.5429999999997</v>
      </c>
      <c r="AW64" s="7">
        <v>159095231</v>
      </c>
      <c r="AX64" s="725"/>
      <c r="AY64" s="3"/>
      <c r="AZ64" s="3"/>
      <c r="BA64" s="4">
        <f t="shared" si="13"/>
        <v>0</v>
      </c>
      <c r="BB64" s="4"/>
      <c r="BC64" s="7"/>
      <c r="BD64" s="725"/>
      <c r="BE64" s="3"/>
      <c r="BF64" s="3"/>
      <c r="BG64" s="4">
        <f t="shared" si="14"/>
        <v>0</v>
      </c>
      <c r="BH64" s="4"/>
      <c r="BI64" s="7"/>
      <c r="BJ64" s="8"/>
      <c r="BK64" s="3"/>
      <c r="BL64" s="3"/>
      <c r="BM64" s="4">
        <f t="shared" si="15"/>
        <v>0</v>
      </c>
      <c r="BN64" s="4"/>
      <c r="BO64" s="7"/>
      <c r="BP64" s="725"/>
      <c r="BQ64" s="3"/>
      <c r="BR64" s="3"/>
      <c r="BS64" s="4">
        <f t="shared" si="16"/>
        <v>0</v>
      </c>
      <c r="BT64" s="4"/>
      <c r="BU64" s="7"/>
      <c r="BV64" s="725"/>
      <c r="BW64" s="3"/>
      <c r="BX64" s="3"/>
      <c r="BY64" s="4">
        <f t="shared" si="54"/>
        <v>0</v>
      </c>
      <c r="BZ64" s="4"/>
      <c r="CA64" s="7"/>
      <c r="CB64" s="725"/>
      <c r="CC64" s="3"/>
      <c r="CD64" s="3"/>
      <c r="CE64" s="4">
        <f t="shared" si="55"/>
        <v>0</v>
      </c>
      <c r="CF64" s="4"/>
      <c r="CG64" s="7"/>
      <c r="CH64" s="725"/>
      <c r="CI64" s="3"/>
      <c r="CJ64" s="3"/>
      <c r="CK64" s="4">
        <f t="shared" si="56"/>
        <v>0</v>
      </c>
      <c r="CL64" s="4"/>
      <c r="CM64" s="7"/>
      <c r="CN64" s="725">
        <v>7</v>
      </c>
      <c r="CO64" s="3">
        <v>0</v>
      </c>
      <c r="CP64" s="3">
        <v>0</v>
      </c>
      <c r="CQ64" s="4">
        <f t="shared" si="57"/>
        <v>0</v>
      </c>
      <c r="CR64" s="4">
        <v>0</v>
      </c>
      <c r="CS64" s="7">
        <v>32040</v>
      </c>
    </row>
    <row r="65" spans="1:97" ht="16.5" x14ac:dyDescent="0.3">
      <c r="A65" s="709" t="s">
        <v>380</v>
      </c>
      <c r="B65" s="725"/>
      <c r="C65" s="3"/>
      <c r="D65" s="3"/>
      <c r="E65" s="4">
        <f t="shared" si="51"/>
        <v>0</v>
      </c>
      <c r="G65" s="7"/>
      <c r="H65" s="3">
        <v>0</v>
      </c>
      <c r="I65" s="3">
        <v>0</v>
      </c>
      <c r="J65" s="3">
        <v>1158</v>
      </c>
      <c r="K65" s="4">
        <f t="shared" si="52"/>
        <v>1158</v>
      </c>
      <c r="L65" s="4">
        <v>612.54820000000007</v>
      </c>
      <c r="M65" s="7">
        <v>10413319.4</v>
      </c>
      <c r="N65" s="725">
        <v>0</v>
      </c>
      <c r="O65" s="3">
        <v>0</v>
      </c>
      <c r="P65" s="3">
        <v>746</v>
      </c>
      <c r="Q65" s="4">
        <f t="shared" si="7"/>
        <v>746</v>
      </c>
      <c r="R65" s="4">
        <v>459.56899999999996</v>
      </c>
      <c r="S65" s="7">
        <v>6893535</v>
      </c>
      <c r="T65" s="3">
        <v>0</v>
      </c>
      <c r="U65" s="3">
        <v>0</v>
      </c>
      <c r="V65" s="3">
        <v>3893.86</v>
      </c>
      <c r="W65" s="4">
        <f t="shared" si="8"/>
        <v>3893.86</v>
      </c>
      <c r="X65" s="4">
        <v>6117.4451799999988</v>
      </c>
      <c r="Y65" s="7">
        <v>85644232.519999996</v>
      </c>
      <c r="Z65" s="725">
        <v>0</v>
      </c>
      <c r="AA65" s="3">
        <v>371</v>
      </c>
      <c r="AB65" s="3">
        <v>687</v>
      </c>
      <c r="AC65" s="4">
        <f t="shared" si="9"/>
        <v>1058</v>
      </c>
      <c r="AD65" s="4"/>
      <c r="AE65" s="7">
        <v>47103129.600000001</v>
      </c>
      <c r="AF65" s="725">
        <v>720</v>
      </c>
      <c r="AG65" s="3">
        <v>75</v>
      </c>
      <c r="AH65" s="3">
        <v>1099</v>
      </c>
      <c r="AI65" s="4">
        <f t="shared" si="58"/>
        <v>1174</v>
      </c>
      <c r="AJ65" s="4">
        <v>1156.5895</v>
      </c>
      <c r="AK65" s="7">
        <v>15035663.5</v>
      </c>
      <c r="AL65" s="725"/>
      <c r="AM65" s="3"/>
      <c r="AN65" s="3"/>
      <c r="AO65" s="4">
        <f t="shared" si="11"/>
        <v>0</v>
      </c>
      <c r="AP65" s="4"/>
      <c r="AQ65" s="7"/>
      <c r="AR65" s="725">
        <v>177</v>
      </c>
      <c r="AS65" s="3">
        <v>0</v>
      </c>
      <c r="AT65" s="3">
        <v>253.7</v>
      </c>
      <c r="AU65" s="4">
        <f t="shared" si="53"/>
        <v>253.7</v>
      </c>
      <c r="AV65" s="4">
        <v>328.29999999999995</v>
      </c>
      <c r="AW65" s="7">
        <v>5581100</v>
      </c>
      <c r="AX65" s="725"/>
      <c r="AY65" s="3"/>
      <c r="AZ65" s="3"/>
      <c r="BA65" s="4">
        <f t="shared" si="13"/>
        <v>0</v>
      </c>
      <c r="BB65" s="4"/>
      <c r="BC65" s="7"/>
      <c r="BD65" s="725"/>
      <c r="BE65" s="3"/>
      <c r="BF65" s="3"/>
      <c r="BG65" s="4">
        <f t="shared" si="14"/>
        <v>0</v>
      </c>
      <c r="BH65" s="4"/>
      <c r="BI65" s="7"/>
      <c r="BJ65" s="8"/>
      <c r="BK65" s="3"/>
      <c r="BL65" s="3"/>
      <c r="BM65" s="4">
        <f t="shared" si="15"/>
        <v>0</v>
      </c>
      <c r="BN65" s="4"/>
      <c r="BO65" s="7"/>
      <c r="BP65" s="725"/>
      <c r="BQ65" s="3"/>
      <c r="BR65" s="3"/>
      <c r="BS65" s="4">
        <f t="shared" si="16"/>
        <v>0</v>
      </c>
      <c r="BT65" s="4"/>
      <c r="BU65" s="7"/>
      <c r="BV65" s="725"/>
      <c r="BW65" s="3"/>
      <c r="BX65" s="3"/>
      <c r="BY65" s="4">
        <f t="shared" si="54"/>
        <v>0</v>
      </c>
      <c r="BZ65" s="4"/>
      <c r="CA65" s="7"/>
      <c r="CB65" s="725"/>
      <c r="CC65" s="3"/>
      <c r="CD65" s="3"/>
      <c r="CE65" s="4">
        <f t="shared" si="55"/>
        <v>0</v>
      </c>
      <c r="CF65" s="4"/>
      <c r="CG65" s="7"/>
      <c r="CH65" s="725"/>
      <c r="CI65" s="3"/>
      <c r="CJ65" s="3"/>
      <c r="CK65" s="4">
        <f t="shared" si="56"/>
        <v>0</v>
      </c>
      <c r="CL65" s="4"/>
      <c r="CM65" s="7"/>
      <c r="CN65" s="725">
        <v>154</v>
      </c>
      <c r="CO65" s="3">
        <v>0</v>
      </c>
      <c r="CP65" s="3">
        <v>0</v>
      </c>
      <c r="CQ65" s="4">
        <f t="shared" si="57"/>
        <v>0</v>
      </c>
      <c r="CR65" s="4">
        <v>0</v>
      </c>
      <c r="CS65" s="7">
        <v>1660772</v>
      </c>
    </row>
    <row r="66" spans="1:97" ht="16.5" x14ac:dyDescent="0.3">
      <c r="A66" s="709" t="s">
        <v>395</v>
      </c>
      <c r="B66" s="725"/>
      <c r="C66" s="3"/>
      <c r="D66" s="3"/>
      <c r="E66" s="4">
        <f t="shared" si="51"/>
        <v>0</v>
      </c>
      <c r="G66" s="7"/>
      <c r="H66" s="725"/>
      <c r="I66" s="3"/>
      <c r="J66" s="3"/>
      <c r="K66" s="4">
        <f t="shared" si="52"/>
        <v>0</v>
      </c>
      <c r="L66" s="4"/>
      <c r="M66" s="7"/>
      <c r="N66" s="725">
        <v>0</v>
      </c>
      <c r="O66" s="3">
        <v>0</v>
      </c>
      <c r="P66" s="3">
        <v>7156.14</v>
      </c>
      <c r="Q66" s="4">
        <f t="shared" si="7"/>
        <v>7156.14</v>
      </c>
      <c r="R66" s="4">
        <v>3227.41914</v>
      </c>
      <c r="S66" s="7">
        <v>51638706.240000002</v>
      </c>
      <c r="T66" s="3">
        <v>0</v>
      </c>
      <c r="U66" s="3">
        <v>0</v>
      </c>
      <c r="V66" s="3">
        <v>4441.55</v>
      </c>
      <c r="W66" s="4">
        <f t="shared" si="8"/>
        <v>4441.55</v>
      </c>
      <c r="X66" s="4">
        <v>4094.8996000000006</v>
      </c>
      <c r="Y66" s="7">
        <v>57328594.400000006</v>
      </c>
      <c r="Z66" s="725"/>
      <c r="AA66" s="3"/>
      <c r="AB66" s="3"/>
      <c r="AC66" s="4">
        <f t="shared" si="9"/>
        <v>0</v>
      </c>
      <c r="AD66" s="4"/>
      <c r="AE66" s="7"/>
      <c r="AF66" s="725">
        <v>3693</v>
      </c>
      <c r="AG66" s="3">
        <v>0</v>
      </c>
      <c r="AH66" s="3">
        <v>4655.0600000000004</v>
      </c>
      <c r="AI66" s="4">
        <f t="shared" si="58"/>
        <v>4655.0600000000004</v>
      </c>
      <c r="AJ66" s="4">
        <v>2099.4320600000001</v>
      </c>
      <c r="AK66" s="7">
        <v>27292616.780000001</v>
      </c>
      <c r="AL66" s="725"/>
      <c r="AM66" s="3"/>
      <c r="AN66" s="3"/>
      <c r="AO66" s="4">
        <f t="shared" si="11"/>
        <v>0</v>
      </c>
      <c r="AP66" s="4"/>
      <c r="AQ66" s="7"/>
      <c r="AR66" s="725">
        <v>9022</v>
      </c>
      <c r="AS66" s="3">
        <v>0</v>
      </c>
      <c r="AT66" s="3">
        <v>9030.41</v>
      </c>
      <c r="AU66" s="4">
        <f t="shared" si="53"/>
        <v>9030.41</v>
      </c>
      <c r="AV66" s="4">
        <v>5229.4050000000007</v>
      </c>
      <c r="AW66" s="7">
        <v>88899885.000000015</v>
      </c>
      <c r="AX66" s="725"/>
      <c r="AY66" s="3"/>
      <c r="AZ66" s="3"/>
      <c r="BA66" s="4">
        <f t="shared" si="13"/>
        <v>0</v>
      </c>
      <c r="BB66" s="4"/>
      <c r="BC66" s="7"/>
      <c r="BD66" s="725"/>
      <c r="BE66" s="3"/>
      <c r="BF66" s="3"/>
      <c r="BG66" s="4">
        <f t="shared" si="14"/>
        <v>0</v>
      </c>
      <c r="BH66" s="4"/>
      <c r="BI66" s="7"/>
      <c r="BJ66" s="8"/>
      <c r="BK66" s="3"/>
      <c r="BL66" s="3"/>
      <c r="BM66" s="4">
        <f t="shared" si="15"/>
        <v>0</v>
      </c>
      <c r="BN66" s="4"/>
      <c r="BO66" s="7"/>
      <c r="BP66" s="725"/>
      <c r="BQ66" s="3"/>
      <c r="BR66" s="3"/>
      <c r="BS66" s="4">
        <f t="shared" si="16"/>
        <v>0</v>
      </c>
      <c r="BT66" s="4"/>
      <c r="BU66" s="7"/>
      <c r="BV66" s="725"/>
      <c r="BW66" s="3"/>
      <c r="BX66" s="3"/>
      <c r="BY66" s="4">
        <f t="shared" si="54"/>
        <v>0</v>
      </c>
      <c r="BZ66" s="4"/>
      <c r="CA66" s="7"/>
      <c r="CB66" s="725"/>
      <c r="CC66" s="3"/>
      <c r="CD66" s="3"/>
      <c r="CE66" s="4">
        <f t="shared" si="55"/>
        <v>0</v>
      </c>
      <c r="CF66" s="4"/>
      <c r="CG66" s="7"/>
      <c r="CH66" s="725"/>
      <c r="CI66" s="3"/>
      <c r="CJ66" s="3"/>
      <c r="CK66" s="4">
        <f t="shared" si="56"/>
        <v>0</v>
      </c>
      <c r="CL66" s="4"/>
      <c r="CM66" s="7"/>
      <c r="CN66" s="725">
        <v>18</v>
      </c>
      <c r="CO66" s="3">
        <v>0</v>
      </c>
      <c r="CP66" s="3">
        <v>15.4</v>
      </c>
      <c r="CQ66" s="4">
        <f t="shared" si="57"/>
        <v>15.4</v>
      </c>
      <c r="CR66" s="4">
        <v>11.549999999999999</v>
      </c>
      <c r="CS66" s="7">
        <v>138600</v>
      </c>
    </row>
    <row r="67" spans="1:97" ht="16.5" x14ac:dyDescent="0.3">
      <c r="A67" s="709" t="s">
        <v>394</v>
      </c>
      <c r="B67" s="725"/>
      <c r="C67" s="3"/>
      <c r="D67" s="3"/>
      <c r="E67" s="4">
        <f t="shared" si="51"/>
        <v>0</v>
      </c>
      <c r="G67" s="7"/>
      <c r="H67" s="725"/>
      <c r="I67" s="3"/>
      <c r="J67" s="3"/>
      <c r="K67" s="4">
        <f t="shared" si="52"/>
        <v>0</v>
      </c>
      <c r="L67" s="4"/>
      <c r="M67" s="7"/>
      <c r="N67" s="725">
        <v>0</v>
      </c>
      <c r="O67" s="3">
        <v>0</v>
      </c>
      <c r="P67" s="3">
        <v>1667</v>
      </c>
      <c r="Q67" s="4">
        <f t="shared" si="7"/>
        <v>1667</v>
      </c>
      <c r="R67" s="4">
        <v>534.08799999999997</v>
      </c>
      <c r="S67" s="7">
        <v>7477232</v>
      </c>
      <c r="T67" s="3">
        <v>0</v>
      </c>
      <c r="U67" s="3">
        <v>0</v>
      </c>
      <c r="V67" s="3">
        <v>1660</v>
      </c>
      <c r="W67" s="4">
        <f t="shared" si="8"/>
        <v>1660</v>
      </c>
      <c r="X67" s="4">
        <v>2844.0059999999994</v>
      </c>
      <c r="Y67" s="7">
        <v>39816084</v>
      </c>
      <c r="Z67" s="725"/>
      <c r="AA67" s="3"/>
      <c r="AB67" s="3"/>
      <c r="AC67" s="4">
        <f t="shared" si="9"/>
        <v>0</v>
      </c>
      <c r="AD67" s="4"/>
      <c r="AE67" s="7"/>
      <c r="AF67" s="725">
        <v>1170</v>
      </c>
      <c r="AG67" s="3">
        <v>0</v>
      </c>
      <c r="AH67" s="3">
        <v>3252.5</v>
      </c>
      <c r="AI67" s="4">
        <f t="shared" si="58"/>
        <v>3252.5</v>
      </c>
      <c r="AJ67" s="4">
        <v>2955.6284999999998</v>
      </c>
      <c r="AK67" s="7">
        <v>38423170.5</v>
      </c>
      <c r="AL67" s="725"/>
      <c r="AM67" s="3"/>
      <c r="AN67" s="3"/>
      <c r="AO67" s="4">
        <f t="shared" si="11"/>
        <v>0</v>
      </c>
      <c r="AP67" s="4"/>
      <c r="AQ67" s="7"/>
      <c r="AR67" s="725">
        <v>655</v>
      </c>
      <c r="AS67" s="3">
        <v>0</v>
      </c>
      <c r="AT67" s="3">
        <v>1111.45</v>
      </c>
      <c r="AU67" s="4">
        <f t="shared" si="53"/>
        <v>1111.45</v>
      </c>
      <c r="AV67" s="4">
        <v>1283.1000000000001</v>
      </c>
      <c r="AW67" s="7">
        <v>22359689.759999998</v>
      </c>
      <c r="AX67" s="725">
        <v>22</v>
      </c>
      <c r="AY67" s="3"/>
      <c r="AZ67" s="3">
        <v>26</v>
      </c>
      <c r="BA67" s="4">
        <f t="shared" si="13"/>
        <v>26</v>
      </c>
      <c r="BB67" s="4">
        <v>12.3125</v>
      </c>
      <c r="BC67" s="7">
        <v>209312.5</v>
      </c>
      <c r="BD67" s="725"/>
      <c r="BE67" s="3"/>
      <c r="BF67" s="3"/>
      <c r="BG67" s="4">
        <f t="shared" si="14"/>
        <v>0</v>
      </c>
      <c r="BH67" s="4"/>
      <c r="BI67" s="7"/>
      <c r="BJ67" s="8"/>
      <c r="BK67" s="3"/>
      <c r="BL67" s="3"/>
      <c r="BM67" s="4">
        <f t="shared" si="15"/>
        <v>0</v>
      </c>
      <c r="BN67" s="4"/>
      <c r="BO67" s="7"/>
      <c r="BP67" s="725"/>
      <c r="BQ67" s="3"/>
      <c r="BR67" s="3"/>
      <c r="BS67" s="4">
        <f t="shared" si="16"/>
        <v>0</v>
      </c>
      <c r="BT67" s="4"/>
      <c r="BU67" s="7"/>
      <c r="BV67" s="725">
        <v>2</v>
      </c>
      <c r="BW67" s="3">
        <v>0</v>
      </c>
      <c r="BX67" s="3">
        <v>3</v>
      </c>
      <c r="BY67" s="4">
        <f t="shared" si="54"/>
        <v>3</v>
      </c>
      <c r="BZ67" s="4">
        <v>3.3000000000000003</v>
      </c>
      <c r="CA67" s="7">
        <v>39600</v>
      </c>
      <c r="CB67" s="725"/>
      <c r="CC67" s="3"/>
      <c r="CD67" s="3"/>
      <c r="CE67" s="4">
        <f t="shared" si="55"/>
        <v>0</v>
      </c>
      <c r="CF67" s="4"/>
      <c r="CG67" s="7"/>
      <c r="CH67" s="725">
        <v>2</v>
      </c>
      <c r="CI67" s="3">
        <v>0</v>
      </c>
      <c r="CJ67" s="3">
        <v>3</v>
      </c>
      <c r="CK67" s="4">
        <f t="shared" si="56"/>
        <v>3</v>
      </c>
      <c r="CL67" s="4">
        <v>3.3000000000000003</v>
      </c>
      <c r="CM67" s="7">
        <v>39600</v>
      </c>
      <c r="CN67" s="725">
        <v>151</v>
      </c>
      <c r="CO67" s="3">
        <v>0</v>
      </c>
      <c r="CP67" s="3">
        <v>237.79999999999998</v>
      </c>
      <c r="CQ67" s="4">
        <f t="shared" si="57"/>
        <v>237.79999999999998</v>
      </c>
      <c r="CR67" s="4">
        <v>131.67500000000001</v>
      </c>
      <c r="CS67" s="7">
        <v>1662600</v>
      </c>
    </row>
    <row r="68" spans="1:97" ht="16.5" x14ac:dyDescent="0.3">
      <c r="A68" s="709" t="s">
        <v>393</v>
      </c>
      <c r="B68" s="725"/>
      <c r="C68" s="3"/>
      <c r="D68" s="3"/>
      <c r="E68" s="4">
        <f t="shared" si="51"/>
        <v>0</v>
      </c>
      <c r="G68" s="7"/>
      <c r="H68" s="725"/>
      <c r="I68" s="3"/>
      <c r="J68" s="3"/>
      <c r="K68" s="4">
        <f t="shared" si="52"/>
        <v>0</v>
      </c>
      <c r="L68" s="4"/>
      <c r="M68" s="7"/>
      <c r="N68" s="725">
        <v>0</v>
      </c>
      <c r="O68" s="3">
        <v>0</v>
      </c>
      <c r="P68" s="3">
        <v>4485</v>
      </c>
      <c r="Q68" s="4">
        <f t="shared" si="7"/>
        <v>4485</v>
      </c>
      <c r="R68" s="4">
        <v>2770.7748750000001</v>
      </c>
      <c r="S68" s="7">
        <v>41561623.125</v>
      </c>
      <c r="T68" s="3">
        <v>0</v>
      </c>
      <c r="U68" s="3">
        <v>0</v>
      </c>
      <c r="V68" s="3">
        <v>6915.25</v>
      </c>
      <c r="W68" s="4">
        <f t="shared" si="8"/>
        <v>6915.25</v>
      </c>
      <c r="X68" s="4">
        <v>8766.4816250000003</v>
      </c>
      <c r="Y68" s="7">
        <v>122730742.75</v>
      </c>
      <c r="Z68" s="725">
        <v>0</v>
      </c>
      <c r="AA68" s="3">
        <v>0</v>
      </c>
      <c r="AB68" s="3">
        <v>81</v>
      </c>
      <c r="AC68" s="4">
        <f t="shared" si="9"/>
        <v>81</v>
      </c>
      <c r="AD68" s="4"/>
      <c r="AE68" s="7">
        <v>1674506</v>
      </c>
      <c r="AF68" s="725">
        <v>704</v>
      </c>
      <c r="AG68" s="3">
        <v>0</v>
      </c>
      <c r="AH68" s="3">
        <v>955</v>
      </c>
      <c r="AI68" s="4">
        <f t="shared" si="58"/>
        <v>955</v>
      </c>
      <c r="AJ68" s="4">
        <v>705.58949999999993</v>
      </c>
      <c r="AK68" s="7">
        <v>9172663.4999999981</v>
      </c>
      <c r="AL68" s="725"/>
      <c r="AM68" s="3"/>
      <c r="AN68" s="3"/>
      <c r="AO68" s="4">
        <f t="shared" si="11"/>
        <v>0</v>
      </c>
      <c r="AP68" s="4"/>
      <c r="AQ68" s="7"/>
      <c r="AR68" s="725">
        <v>3753</v>
      </c>
      <c r="AS68" s="3">
        <v>0</v>
      </c>
      <c r="AT68" s="3">
        <v>7703</v>
      </c>
      <c r="AU68" s="4">
        <f t="shared" si="53"/>
        <v>7703</v>
      </c>
      <c r="AV68" s="4">
        <v>10480.299999999999</v>
      </c>
      <c r="AW68" s="7">
        <v>178165100</v>
      </c>
      <c r="AX68" s="725"/>
      <c r="AY68" s="3"/>
      <c r="AZ68" s="3"/>
      <c r="BA68" s="4">
        <f t="shared" si="13"/>
        <v>0</v>
      </c>
      <c r="BB68" s="4"/>
      <c r="BC68" s="7"/>
      <c r="BD68" s="725"/>
      <c r="BE68" s="3"/>
      <c r="BF68" s="3"/>
      <c r="BG68" s="4">
        <f t="shared" si="14"/>
        <v>0</v>
      </c>
      <c r="BH68" s="4"/>
      <c r="BI68" s="7"/>
      <c r="BJ68" s="8"/>
      <c r="BK68" s="3"/>
      <c r="BL68" s="3"/>
      <c r="BM68" s="4">
        <f t="shared" si="15"/>
        <v>0</v>
      </c>
      <c r="BN68" s="4"/>
      <c r="BO68" s="7"/>
      <c r="BP68" s="725"/>
      <c r="BQ68" s="3"/>
      <c r="BR68" s="3"/>
      <c r="BS68" s="4">
        <f t="shared" si="16"/>
        <v>0</v>
      </c>
      <c r="BT68" s="4"/>
      <c r="BU68" s="7"/>
      <c r="BV68" s="725"/>
      <c r="BW68" s="3"/>
      <c r="BX68" s="3"/>
      <c r="BY68" s="4">
        <f t="shared" si="54"/>
        <v>0</v>
      </c>
      <c r="BZ68" s="4"/>
      <c r="CA68" s="7"/>
      <c r="CB68" s="725"/>
      <c r="CC68" s="3"/>
      <c r="CD68" s="3"/>
      <c r="CE68" s="4">
        <f t="shared" si="55"/>
        <v>0</v>
      </c>
      <c r="CF68" s="4"/>
      <c r="CG68" s="7"/>
      <c r="CH68" s="725"/>
      <c r="CI68" s="3"/>
      <c r="CJ68" s="3"/>
      <c r="CK68" s="4">
        <f t="shared" si="56"/>
        <v>0</v>
      </c>
      <c r="CL68" s="4"/>
      <c r="CM68" s="7"/>
      <c r="CN68" s="725"/>
      <c r="CO68" s="3"/>
      <c r="CP68" s="3"/>
      <c r="CQ68" s="4">
        <f t="shared" si="57"/>
        <v>0</v>
      </c>
      <c r="CR68" s="4"/>
      <c r="CS68" s="7"/>
    </row>
    <row r="69" spans="1:97" ht="16.5" x14ac:dyDescent="0.3">
      <c r="A69" s="709" t="s">
        <v>392</v>
      </c>
      <c r="B69" s="725"/>
      <c r="C69" s="3"/>
      <c r="D69" s="3"/>
      <c r="E69" s="4">
        <f t="shared" si="51"/>
        <v>0</v>
      </c>
      <c r="G69" s="7"/>
      <c r="H69" s="725"/>
      <c r="I69" s="3"/>
      <c r="J69" s="3"/>
      <c r="K69" s="4">
        <f t="shared" si="52"/>
        <v>0</v>
      </c>
      <c r="L69" s="4"/>
      <c r="M69" s="7"/>
      <c r="N69" s="725">
        <v>0</v>
      </c>
      <c r="O69" s="3">
        <v>0</v>
      </c>
      <c r="P69" s="3">
        <v>2483</v>
      </c>
      <c r="Q69" s="4">
        <f t="shared" si="7"/>
        <v>2483</v>
      </c>
      <c r="R69" s="4">
        <v>2190.7104999999997</v>
      </c>
      <c r="S69" s="7">
        <v>32860657.499999996</v>
      </c>
      <c r="T69" s="3">
        <v>0</v>
      </c>
      <c r="U69" s="3">
        <v>0</v>
      </c>
      <c r="V69" s="3">
        <v>3902.24</v>
      </c>
      <c r="W69" s="4">
        <f t="shared" si="8"/>
        <v>3902.24</v>
      </c>
      <c r="X69" s="4">
        <v>2104.1855999999998</v>
      </c>
      <c r="Y69" s="7">
        <v>30245324.799999997</v>
      </c>
      <c r="Z69" s="725">
        <v>0</v>
      </c>
      <c r="AA69" s="3">
        <v>0</v>
      </c>
      <c r="AB69" s="3">
        <v>131</v>
      </c>
      <c r="AC69" s="4">
        <f t="shared" si="9"/>
        <v>131</v>
      </c>
      <c r="AD69" s="4">
        <v>88.62</v>
      </c>
      <c r="AE69" s="7">
        <v>1240700.9999999998</v>
      </c>
      <c r="AF69" s="725">
        <v>1426</v>
      </c>
      <c r="AG69" s="3">
        <v>0</v>
      </c>
      <c r="AH69" s="3">
        <v>1650</v>
      </c>
      <c r="AI69" s="4">
        <f t="shared" si="58"/>
        <v>1650</v>
      </c>
      <c r="AJ69" s="4">
        <v>1163.8054999999999</v>
      </c>
      <c r="AK69" s="7">
        <v>17180936.5</v>
      </c>
      <c r="AL69" s="725"/>
      <c r="AM69" s="3"/>
      <c r="AN69" s="3"/>
      <c r="AO69" s="4">
        <f t="shared" si="11"/>
        <v>0</v>
      </c>
      <c r="AP69" s="4"/>
      <c r="AQ69" s="7"/>
      <c r="AR69" s="725">
        <v>449</v>
      </c>
      <c r="AS69" s="3">
        <v>0</v>
      </c>
      <c r="AT69" s="3">
        <v>542.25</v>
      </c>
      <c r="AU69" s="4">
        <f t="shared" si="53"/>
        <v>542.25</v>
      </c>
      <c r="AV69" s="4">
        <v>406.6875</v>
      </c>
      <c r="AW69" s="7">
        <v>6913687.5</v>
      </c>
      <c r="AX69" s="725">
        <v>6</v>
      </c>
      <c r="AY69" s="3">
        <v>0</v>
      </c>
      <c r="AZ69" s="3">
        <v>8.25</v>
      </c>
      <c r="BA69" s="4">
        <f t="shared" si="13"/>
        <v>8.25</v>
      </c>
      <c r="BB69" s="4">
        <v>5.94</v>
      </c>
      <c r="BC69" s="7">
        <v>100980</v>
      </c>
      <c r="BD69" s="725"/>
      <c r="BE69" s="3"/>
      <c r="BF69" s="3"/>
      <c r="BG69" s="4">
        <f t="shared" si="14"/>
        <v>0</v>
      </c>
      <c r="BH69" s="4"/>
      <c r="BI69" s="7"/>
      <c r="BJ69" s="8"/>
      <c r="BK69" s="3"/>
      <c r="BL69" s="3"/>
      <c r="BM69" s="4">
        <f t="shared" si="15"/>
        <v>0</v>
      </c>
      <c r="BN69" s="4"/>
      <c r="BO69" s="7"/>
      <c r="BP69" s="725"/>
      <c r="BQ69" s="3"/>
      <c r="BR69" s="3"/>
      <c r="BS69" s="4">
        <f t="shared" si="16"/>
        <v>0</v>
      </c>
      <c r="BT69" s="4"/>
      <c r="BU69" s="7"/>
      <c r="BV69" s="725"/>
      <c r="BW69" s="3"/>
      <c r="BX69" s="3"/>
      <c r="BY69" s="4">
        <f t="shared" si="54"/>
        <v>0</v>
      </c>
      <c r="BZ69" s="4"/>
      <c r="CA69" s="7"/>
      <c r="CB69" s="725"/>
      <c r="CC69" s="3"/>
      <c r="CD69" s="3"/>
      <c r="CE69" s="4">
        <f t="shared" si="55"/>
        <v>0</v>
      </c>
      <c r="CF69" s="4"/>
      <c r="CG69" s="7"/>
      <c r="CH69" s="725"/>
      <c r="CI69" s="3"/>
      <c r="CJ69" s="3"/>
      <c r="CK69" s="4">
        <f t="shared" si="56"/>
        <v>0</v>
      </c>
      <c r="CL69" s="4"/>
      <c r="CM69" s="7"/>
      <c r="CN69" s="725">
        <v>33</v>
      </c>
      <c r="CO69" s="3">
        <v>0</v>
      </c>
      <c r="CP69" s="3">
        <v>25.7</v>
      </c>
      <c r="CQ69" s="4">
        <f t="shared" si="57"/>
        <v>25.7</v>
      </c>
      <c r="CR69" s="4">
        <v>20.149999999999999</v>
      </c>
      <c r="CS69" s="7">
        <v>281316</v>
      </c>
    </row>
    <row r="70" spans="1:97" ht="16.5" x14ac:dyDescent="0.3">
      <c r="A70" s="709" t="s">
        <v>391</v>
      </c>
      <c r="B70" s="725"/>
      <c r="C70" s="3"/>
      <c r="D70" s="3"/>
      <c r="E70" s="4">
        <f t="shared" si="51"/>
        <v>0</v>
      </c>
      <c r="G70" s="7"/>
      <c r="H70" s="3">
        <v>0</v>
      </c>
      <c r="I70" s="3">
        <v>0</v>
      </c>
      <c r="J70" s="3">
        <v>3417.61</v>
      </c>
      <c r="K70" s="4">
        <f t="shared" si="52"/>
        <v>3417.61</v>
      </c>
      <c r="L70" s="4">
        <v>1541.3421099999998</v>
      </c>
      <c r="M70" s="7">
        <v>26202815.870000001</v>
      </c>
      <c r="N70" s="725">
        <v>0</v>
      </c>
      <c r="O70" s="3">
        <v>0</v>
      </c>
      <c r="P70" s="3">
        <v>4702.5</v>
      </c>
      <c r="Q70" s="4">
        <f t="shared" si="7"/>
        <v>4702.5</v>
      </c>
      <c r="R70" s="4">
        <v>2761.0708749999994</v>
      </c>
      <c r="S70" s="7">
        <v>35893921.375</v>
      </c>
      <c r="T70" s="3">
        <v>0</v>
      </c>
      <c r="U70" s="3">
        <v>0</v>
      </c>
      <c r="V70" s="3">
        <v>7392</v>
      </c>
      <c r="W70" s="4">
        <f t="shared" si="8"/>
        <v>7392</v>
      </c>
      <c r="X70" s="4">
        <v>10001.375999999998</v>
      </c>
      <c r="Y70" s="7">
        <v>140019263.99999997</v>
      </c>
      <c r="Z70" s="725"/>
      <c r="AA70" s="3"/>
      <c r="AB70" s="3"/>
      <c r="AC70" s="4">
        <f t="shared" si="9"/>
        <v>0</v>
      </c>
      <c r="AD70" s="4"/>
      <c r="AE70" s="7"/>
      <c r="AF70" s="725">
        <v>1911</v>
      </c>
      <c r="AG70" s="3">
        <v>0</v>
      </c>
      <c r="AH70" s="3">
        <v>3091.8509999999997</v>
      </c>
      <c r="AI70" s="4">
        <f t="shared" si="58"/>
        <v>3091.8509999999997</v>
      </c>
      <c r="AJ70" s="4">
        <v>2788.8496019999998</v>
      </c>
      <c r="AK70" s="7">
        <v>36255044.825999998</v>
      </c>
      <c r="AL70" s="725"/>
      <c r="AM70" s="3"/>
      <c r="AN70" s="3"/>
      <c r="AO70" s="4">
        <f t="shared" si="11"/>
        <v>0</v>
      </c>
      <c r="AP70" s="4"/>
      <c r="AQ70" s="7"/>
      <c r="AR70" s="725">
        <v>5514</v>
      </c>
      <c r="AS70" s="3">
        <v>0</v>
      </c>
      <c r="AT70" s="3">
        <v>8396.9</v>
      </c>
      <c r="AU70" s="4">
        <f t="shared" si="53"/>
        <v>8396.9</v>
      </c>
      <c r="AV70" s="4">
        <v>7530.7</v>
      </c>
      <c r="AW70" s="7">
        <v>128021900</v>
      </c>
      <c r="AX70" s="725"/>
      <c r="AY70" s="3"/>
      <c r="AZ70" s="3"/>
      <c r="BA70" s="4">
        <f t="shared" si="13"/>
        <v>0</v>
      </c>
      <c r="BB70" s="4"/>
      <c r="BC70" s="7"/>
      <c r="BD70" s="725"/>
      <c r="BE70" s="3"/>
      <c r="BF70" s="3"/>
      <c r="BG70" s="4">
        <f t="shared" si="14"/>
        <v>0</v>
      </c>
      <c r="BH70" s="4"/>
      <c r="BI70" s="7"/>
      <c r="BJ70" s="8"/>
      <c r="BK70" s="3"/>
      <c r="BL70" s="3"/>
      <c r="BM70" s="4">
        <f t="shared" si="15"/>
        <v>0</v>
      </c>
      <c r="BN70" s="4"/>
      <c r="BO70" s="7"/>
      <c r="BP70" s="725"/>
      <c r="BQ70" s="3"/>
      <c r="BR70" s="3"/>
      <c r="BS70" s="4">
        <f t="shared" si="16"/>
        <v>0</v>
      </c>
      <c r="BT70" s="4"/>
      <c r="BU70" s="7"/>
      <c r="BV70" s="725"/>
      <c r="BW70" s="3"/>
      <c r="BX70" s="3"/>
      <c r="BY70" s="4">
        <f t="shared" si="54"/>
        <v>0</v>
      </c>
      <c r="BZ70" s="4"/>
      <c r="CA70" s="7"/>
      <c r="CB70" s="725"/>
      <c r="CC70" s="3"/>
      <c r="CD70" s="3"/>
      <c r="CE70" s="4">
        <f t="shared" si="55"/>
        <v>0</v>
      </c>
      <c r="CF70" s="4"/>
      <c r="CG70" s="7"/>
      <c r="CH70" s="725"/>
      <c r="CI70" s="3"/>
      <c r="CJ70" s="3"/>
      <c r="CK70" s="4">
        <f t="shared" si="56"/>
        <v>0</v>
      </c>
      <c r="CL70" s="4"/>
      <c r="CM70" s="7"/>
      <c r="CN70" s="725">
        <v>41</v>
      </c>
      <c r="CO70" s="3">
        <v>0</v>
      </c>
      <c r="CP70" s="3">
        <v>72</v>
      </c>
      <c r="CQ70" s="4">
        <f t="shared" si="57"/>
        <v>72</v>
      </c>
      <c r="CR70" s="4">
        <v>48.6</v>
      </c>
      <c r="CS70" s="7">
        <v>729000</v>
      </c>
    </row>
    <row r="71" spans="1:97" ht="16.5" x14ac:dyDescent="0.3">
      <c r="A71" s="709" t="s">
        <v>390</v>
      </c>
      <c r="B71" s="725"/>
      <c r="C71" s="3"/>
      <c r="D71" s="3"/>
      <c r="E71" s="4">
        <f t="shared" si="51"/>
        <v>0</v>
      </c>
      <c r="G71" s="7"/>
      <c r="H71" s="3">
        <v>0</v>
      </c>
      <c r="I71" s="3">
        <v>0</v>
      </c>
      <c r="J71" s="3">
        <v>126</v>
      </c>
      <c r="K71" s="4">
        <f t="shared" si="52"/>
        <v>126</v>
      </c>
      <c r="L71" s="4">
        <v>81.180000000000007</v>
      </c>
      <c r="M71" s="7">
        <v>1477404.0000000002</v>
      </c>
      <c r="N71" s="725">
        <v>0</v>
      </c>
      <c r="O71" s="3">
        <v>0</v>
      </c>
      <c r="P71" s="3">
        <v>395</v>
      </c>
      <c r="Q71" s="4">
        <f t="shared" si="7"/>
        <v>395</v>
      </c>
      <c r="R71" s="4">
        <v>226.51474999999999</v>
      </c>
      <c r="S71" s="7">
        <v>3397721.25</v>
      </c>
      <c r="T71" s="3">
        <v>0</v>
      </c>
      <c r="U71" s="3">
        <v>5</v>
      </c>
      <c r="V71" s="3">
        <v>782.52</v>
      </c>
      <c r="W71" s="4">
        <f t="shared" si="8"/>
        <v>787.52</v>
      </c>
      <c r="X71" s="4">
        <v>1277.4845599999999</v>
      </c>
      <c r="Y71" s="7">
        <v>17884783.84</v>
      </c>
      <c r="Z71" s="725"/>
      <c r="AA71" s="3"/>
      <c r="AB71" s="3"/>
      <c r="AC71" s="4">
        <f t="shared" si="9"/>
        <v>0</v>
      </c>
      <c r="AD71" s="4"/>
      <c r="AE71" s="7">
        <v>89000</v>
      </c>
      <c r="AF71" s="725">
        <v>511</v>
      </c>
      <c r="AG71" s="3">
        <v>19</v>
      </c>
      <c r="AH71" s="3">
        <v>532</v>
      </c>
      <c r="AI71" s="4">
        <f t="shared" si="58"/>
        <v>551</v>
      </c>
      <c r="AJ71" s="4">
        <v>445.58799999999997</v>
      </c>
      <c r="AK71" s="7">
        <v>5792644</v>
      </c>
      <c r="AL71" s="725"/>
      <c r="AM71" s="3"/>
      <c r="AN71" s="3"/>
      <c r="AO71" s="4">
        <f t="shared" si="11"/>
        <v>0</v>
      </c>
      <c r="AP71" s="4"/>
      <c r="AQ71" s="7"/>
      <c r="AR71" s="725">
        <v>193</v>
      </c>
      <c r="AS71" s="3">
        <v>3.5</v>
      </c>
      <c r="AT71" s="3">
        <v>178.2</v>
      </c>
      <c r="AU71" s="4">
        <f t="shared" si="53"/>
        <v>181.7</v>
      </c>
      <c r="AV71" s="4">
        <v>195.70000000000002</v>
      </c>
      <c r="AW71" s="7">
        <v>3326900</v>
      </c>
      <c r="AX71" s="725"/>
      <c r="AY71" s="3"/>
      <c r="AZ71" s="3"/>
      <c r="BA71" s="4">
        <f t="shared" si="13"/>
        <v>0</v>
      </c>
      <c r="BB71" s="4"/>
      <c r="BC71" s="7"/>
      <c r="BD71" s="725"/>
      <c r="BE71" s="3"/>
      <c r="BF71" s="3"/>
      <c r="BG71" s="4">
        <f t="shared" si="14"/>
        <v>0</v>
      </c>
      <c r="BH71" s="4"/>
      <c r="BI71" s="7"/>
      <c r="BJ71" s="8"/>
      <c r="BK71" s="3"/>
      <c r="BL71" s="3"/>
      <c r="BM71" s="4">
        <f t="shared" si="15"/>
        <v>0</v>
      </c>
      <c r="BN71" s="4"/>
      <c r="BO71" s="7"/>
      <c r="BP71" s="725"/>
      <c r="BQ71" s="3"/>
      <c r="BR71" s="3"/>
      <c r="BS71" s="4">
        <f t="shared" si="16"/>
        <v>0</v>
      </c>
      <c r="BT71" s="4"/>
      <c r="BU71" s="7"/>
      <c r="BV71" s="725">
        <v>34</v>
      </c>
      <c r="BW71" s="3">
        <v>0</v>
      </c>
      <c r="BX71" s="3">
        <v>48.85</v>
      </c>
      <c r="BY71" s="4">
        <f t="shared" si="54"/>
        <v>48.85</v>
      </c>
      <c r="BZ71" s="4">
        <v>25.767500000000002</v>
      </c>
      <c r="CA71" s="7">
        <v>315753.20000000007</v>
      </c>
      <c r="CB71" s="725">
        <v>1</v>
      </c>
      <c r="CC71" s="3">
        <v>0</v>
      </c>
      <c r="CD71" s="3">
        <v>0.5</v>
      </c>
      <c r="CE71" s="4">
        <f t="shared" si="55"/>
        <v>0.5</v>
      </c>
      <c r="CF71" s="4">
        <v>2</v>
      </c>
      <c r="CG71" s="7">
        <v>24000</v>
      </c>
      <c r="CH71" s="725">
        <v>34</v>
      </c>
      <c r="CI71" s="3">
        <v>0</v>
      </c>
      <c r="CJ71" s="3">
        <v>48.85</v>
      </c>
      <c r="CK71" s="4">
        <f t="shared" si="56"/>
        <v>48.85</v>
      </c>
      <c r="CL71" s="4">
        <v>25.767500000000002</v>
      </c>
      <c r="CM71" s="7">
        <v>315753.20000000007</v>
      </c>
      <c r="CN71" s="725"/>
      <c r="CO71" s="3"/>
      <c r="CP71" s="3"/>
      <c r="CQ71" s="4">
        <f t="shared" si="57"/>
        <v>0</v>
      </c>
      <c r="CR71" s="4"/>
      <c r="CS71" s="7"/>
    </row>
    <row r="72" spans="1:97" ht="16.5" x14ac:dyDescent="0.3">
      <c r="A72" s="709" t="s">
        <v>389</v>
      </c>
      <c r="B72" s="725"/>
      <c r="C72" s="3"/>
      <c r="D72" s="3"/>
      <c r="E72" s="4">
        <f t="shared" si="51"/>
        <v>0</v>
      </c>
      <c r="G72" s="7"/>
      <c r="H72" s="3">
        <v>0</v>
      </c>
      <c r="I72" s="3">
        <v>0</v>
      </c>
      <c r="J72" s="3">
        <v>520</v>
      </c>
      <c r="K72" s="4">
        <f t="shared" si="52"/>
        <v>520</v>
      </c>
      <c r="L72" s="4">
        <v>234.51999999999998</v>
      </c>
      <c r="M72" s="7">
        <v>3986839.9999999995</v>
      </c>
      <c r="N72" s="725">
        <v>0</v>
      </c>
      <c r="O72" s="3">
        <v>0</v>
      </c>
      <c r="P72" s="3">
        <v>3947.75</v>
      </c>
      <c r="Q72" s="4">
        <f t="shared" si="7"/>
        <v>3947.75</v>
      </c>
      <c r="R72" s="4">
        <v>2576.6</v>
      </c>
      <c r="S72" s="7">
        <v>38648979</v>
      </c>
      <c r="T72" s="3">
        <v>0</v>
      </c>
      <c r="U72" s="3">
        <v>422.5</v>
      </c>
      <c r="V72" s="3">
        <v>5535.96</v>
      </c>
      <c r="W72" s="4">
        <f t="shared" si="8"/>
        <v>5958.46</v>
      </c>
      <c r="X72" s="4">
        <v>13641.446379999998</v>
      </c>
      <c r="Y72" s="7">
        <v>190980249.31999999</v>
      </c>
      <c r="Z72" s="725">
        <v>0</v>
      </c>
      <c r="AA72" s="3">
        <v>0</v>
      </c>
      <c r="AB72" s="3">
        <v>555</v>
      </c>
      <c r="AC72" s="4">
        <f t="shared" si="9"/>
        <v>555</v>
      </c>
      <c r="AD72" s="4"/>
      <c r="AE72" s="7">
        <v>11735630</v>
      </c>
      <c r="AF72" s="725">
        <v>1447</v>
      </c>
      <c r="AG72" s="3">
        <v>20</v>
      </c>
      <c r="AH72" s="3">
        <v>2046.5</v>
      </c>
      <c r="AI72" s="4">
        <f t="shared" si="58"/>
        <v>2066.5</v>
      </c>
      <c r="AJ72" s="4">
        <v>1590.5642500000001</v>
      </c>
      <c r="AK72" s="7">
        <v>20677335.25</v>
      </c>
      <c r="AL72" s="725"/>
      <c r="AM72" s="3"/>
      <c r="AN72" s="3"/>
      <c r="AO72" s="4">
        <f t="shared" si="11"/>
        <v>0</v>
      </c>
      <c r="AP72" s="4"/>
      <c r="AQ72" s="7"/>
      <c r="AR72" s="725">
        <v>12277</v>
      </c>
      <c r="AS72" s="3">
        <v>0</v>
      </c>
      <c r="AT72" s="3">
        <v>8347.51</v>
      </c>
      <c r="AU72" s="4">
        <f t="shared" si="53"/>
        <v>8347.51</v>
      </c>
      <c r="AV72" s="4">
        <v>2522.4425000000001</v>
      </c>
      <c r="AW72" s="7">
        <v>65628747.82</v>
      </c>
      <c r="AX72" s="725"/>
      <c r="AY72" s="3"/>
      <c r="AZ72" s="3"/>
      <c r="BA72" s="4">
        <f t="shared" si="13"/>
        <v>0</v>
      </c>
      <c r="BB72" s="4"/>
      <c r="BC72" s="7"/>
      <c r="BD72" s="725"/>
      <c r="BE72" s="3"/>
      <c r="BF72" s="3"/>
      <c r="BG72" s="4">
        <f t="shared" si="14"/>
        <v>0</v>
      </c>
      <c r="BH72" s="4"/>
      <c r="BI72" s="7"/>
      <c r="BJ72" s="8"/>
      <c r="BK72" s="3"/>
      <c r="BL72" s="3"/>
      <c r="BM72" s="4">
        <f t="shared" si="15"/>
        <v>0</v>
      </c>
      <c r="BN72" s="4"/>
      <c r="BO72" s="7"/>
      <c r="BP72" s="725"/>
      <c r="BQ72" s="3"/>
      <c r="BR72" s="3"/>
      <c r="BS72" s="4">
        <f t="shared" si="16"/>
        <v>0</v>
      </c>
      <c r="BT72" s="4"/>
      <c r="BU72" s="7"/>
      <c r="BV72" s="725"/>
      <c r="BW72" s="3"/>
      <c r="BX72" s="3"/>
      <c r="BY72" s="4">
        <f t="shared" si="54"/>
        <v>0</v>
      </c>
      <c r="BZ72" s="4"/>
      <c r="CA72" s="7"/>
      <c r="CB72" s="725"/>
      <c r="CC72" s="3"/>
      <c r="CD72" s="3"/>
      <c r="CE72" s="4">
        <f t="shared" si="55"/>
        <v>0</v>
      </c>
      <c r="CF72" s="4"/>
      <c r="CG72" s="7"/>
      <c r="CH72" s="725"/>
      <c r="CI72" s="3"/>
      <c r="CJ72" s="3"/>
      <c r="CK72" s="4">
        <f t="shared" si="56"/>
        <v>0</v>
      </c>
      <c r="CL72" s="4"/>
      <c r="CM72" s="7"/>
      <c r="CN72" s="725">
        <v>60</v>
      </c>
      <c r="CO72" s="3">
        <v>0</v>
      </c>
      <c r="CP72" s="3">
        <v>68</v>
      </c>
      <c r="CQ72" s="4">
        <f t="shared" si="57"/>
        <v>68</v>
      </c>
      <c r="CR72" s="4">
        <v>45.9</v>
      </c>
      <c r="CS72" s="7">
        <v>550800</v>
      </c>
    </row>
    <row r="73" spans="1:97" ht="16.5" x14ac:dyDescent="0.3">
      <c r="A73" s="709" t="s">
        <v>388</v>
      </c>
      <c r="B73" s="725"/>
      <c r="C73" s="3"/>
      <c r="D73" s="3"/>
      <c r="E73" s="4">
        <f t="shared" si="51"/>
        <v>0</v>
      </c>
      <c r="G73" s="7"/>
      <c r="H73" s="3">
        <v>0</v>
      </c>
      <c r="I73" s="3">
        <v>0</v>
      </c>
      <c r="J73" s="3">
        <v>366</v>
      </c>
      <c r="K73" s="4">
        <f t="shared" si="52"/>
        <v>366</v>
      </c>
      <c r="L73" s="4">
        <v>82.533000000000001</v>
      </c>
      <c r="M73" s="7">
        <v>1403061</v>
      </c>
      <c r="N73" s="725">
        <v>0</v>
      </c>
      <c r="O73" s="3">
        <v>0</v>
      </c>
      <c r="P73" s="3">
        <v>2519.75</v>
      </c>
      <c r="Q73" s="4">
        <f t="shared" si="7"/>
        <v>2519.75</v>
      </c>
      <c r="R73" s="4">
        <v>1601.1523749999997</v>
      </c>
      <c r="S73" s="7">
        <v>24017285.624999996</v>
      </c>
      <c r="T73" s="3">
        <v>0</v>
      </c>
      <c r="U73" s="3">
        <v>0</v>
      </c>
      <c r="V73" s="3">
        <v>6332.96</v>
      </c>
      <c r="W73" s="4">
        <f t="shared" si="8"/>
        <v>6332.96</v>
      </c>
      <c r="X73" s="4">
        <v>7396.1474400000006</v>
      </c>
      <c r="Y73" s="7">
        <v>103546064.16000001</v>
      </c>
      <c r="Z73" s="725"/>
      <c r="AA73" s="3"/>
      <c r="AB73" s="3"/>
      <c r="AC73" s="4">
        <f t="shared" si="9"/>
        <v>0</v>
      </c>
      <c r="AD73" s="4"/>
      <c r="AE73" s="7"/>
      <c r="AF73" s="725">
        <v>1258</v>
      </c>
      <c r="AG73" s="3">
        <v>0</v>
      </c>
      <c r="AH73" s="3">
        <v>3215</v>
      </c>
      <c r="AI73" s="4">
        <f t="shared" si="58"/>
        <v>3215</v>
      </c>
      <c r="AJ73" s="4">
        <v>2174.9474999999998</v>
      </c>
      <c r="AK73" s="7">
        <v>28274317.499999996</v>
      </c>
      <c r="AL73" s="725"/>
      <c r="AM73" s="3"/>
      <c r="AN73" s="3"/>
      <c r="AO73" s="4">
        <f t="shared" si="11"/>
        <v>0</v>
      </c>
      <c r="AP73" s="4"/>
      <c r="AQ73" s="7"/>
      <c r="AR73" s="725">
        <v>4093</v>
      </c>
      <c r="AS73" s="3">
        <v>0</v>
      </c>
      <c r="AT73" s="3">
        <v>6168</v>
      </c>
      <c r="AU73" s="4">
        <f t="shared" si="53"/>
        <v>6168</v>
      </c>
      <c r="AV73" s="4">
        <v>4894.25</v>
      </c>
      <c r="AW73" s="7">
        <v>83202250</v>
      </c>
      <c r="AX73" s="725"/>
      <c r="AY73" s="3"/>
      <c r="AZ73" s="3"/>
      <c r="BA73" s="4">
        <f t="shared" si="13"/>
        <v>0</v>
      </c>
      <c r="BB73" s="4"/>
      <c r="BC73" s="7"/>
      <c r="BD73" s="725"/>
      <c r="BE73" s="3"/>
      <c r="BF73" s="3"/>
      <c r="BG73" s="4">
        <f t="shared" si="14"/>
        <v>0</v>
      </c>
      <c r="BH73" s="4"/>
      <c r="BI73" s="7"/>
      <c r="BJ73" s="8"/>
      <c r="BK73" s="3"/>
      <c r="BL73" s="3"/>
      <c r="BM73" s="4">
        <f t="shared" si="15"/>
        <v>0</v>
      </c>
      <c r="BN73" s="4"/>
      <c r="BO73" s="7"/>
      <c r="BP73" s="725"/>
      <c r="BQ73" s="3"/>
      <c r="BR73" s="3"/>
      <c r="BS73" s="4">
        <f t="shared" si="16"/>
        <v>0</v>
      </c>
      <c r="BT73" s="4"/>
      <c r="BU73" s="7"/>
      <c r="BV73" s="725"/>
      <c r="BW73" s="3"/>
      <c r="BX73" s="3"/>
      <c r="BY73" s="4">
        <f t="shared" si="54"/>
        <v>0</v>
      </c>
      <c r="BZ73" s="4"/>
      <c r="CA73" s="7"/>
      <c r="CB73" s="725"/>
      <c r="CC73" s="3"/>
      <c r="CD73" s="3"/>
      <c r="CE73" s="4">
        <f t="shared" si="55"/>
        <v>0</v>
      </c>
      <c r="CF73" s="4"/>
      <c r="CG73" s="7"/>
      <c r="CH73" s="725"/>
      <c r="CI73" s="3"/>
      <c r="CJ73" s="3"/>
      <c r="CK73" s="4">
        <f t="shared" si="56"/>
        <v>0</v>
      </c>
      <c r="CL73" s="4"/>
      <c r="CM73" s="7"/>
      <c r="CN73" s="725"/>
      <c r="CO73" s="3"/>
      <c r="CP73" s="3"/>
      <c r="CQ73" s="4">
        <f t="shared" si="57"/>
        <v>0</v>
      </c>
      <c r="CR73" s="4"/>
      <c r="CS73" s="7"/>
    </row>
    <row r="74" spans="1:97" ht="16.5" x14ac:dyDescent="0.3">
      <c r="A74" s="709" t="s">
        <v>462</v>
      </c>
      <c r="B74" s="725"/>
      <c r="C74" s="3"/>
      <c r="D74" s="3"/>
      <c r="E74" s="4">
        <f t="shared" si="51"/>
        <v>0</v>
      </c>
      <c r="G74" s="7"/>
      <c r="H74" s="3">
        <v>0</v>
      </c>
      <c r="I74" s="3">
        <v>0</v>
      </c>
      <c r="J74" s="3">
        <v>393.1</v>
      </c>
      <c r="K74" s="4">
        <f t="shared" si="52"/>
        <v>393.1</v>
      </c>
      <c r="L74" s="4">
        <v>75.515439999999998</v>
      </c>
      <c r="M74" s="7">
        <v>1491835.28</v>
      </c>
      <c r="N74" s="725">
        <v>0</v>
      </c>
      <c r="O74" s="3">
        <v>220.58</v>
      </c>
      <c r="P74" s="3">
        <v>2964.81</v>
      </c>
      <c r="Q74" s="4">
        <f t="shared" si="7"/>
        <v>3185.39</v>
      </c>
      <c r="R74" s="4">
        <v>4191.3684999999996</v>
      </c>
      <c r="S74" s="7">
        <v>63802507.819999993</v>
      </c>
      <c r="T74" s="3">
        <v>0</v>
      </c>
      <c r="U74" s="3">
        <v>0</v>
      </c>
      <c r="V74" s="3">
        <v>9966.48</v>
      </c>
      <c r="W74" s="4">
        <f t="shared" si="8"/>
        <v>9966.48</v>
      </c>
      <c r="X74" s="4">
        <v>15213.977625</v>
      </c>
      <c r="Y74" s="7">
        <v>227399032.03</v>
      </c>
      <c r="Z74" s="725"/>
      <c r="AA74" s="3"/>
      <c r="AB74" s="3"/>
      <c r="AC74" s="4">
        <f t="shared" si="9"/>
        <v>0</v>
      </c>
      <c r="AD74" s="4"/>
      <c r="AE74" s="7">
        <v>6194550</v>
      </c>
      <c r="AF74" s="725">
        <v>4625</v>
      </c>
      <c r="AG74" s="3">
        <v>0</v>
      </c>
      <c r="AH74" s="3">
        <v>9280.5300000000007</v>
      </c>
      <c r="AI74" s="4">
        <f t="shared" si="58"/>
        <v>9280.5300000000007</v>
      </c>
      <c r="AJ74" s="4">
        <v>10257.07496</v>
      </c>
      <c r="AK74" s="7">
        <v>133612021.04000002</v>
      </c>
      <c r="AL74" s="725"/>
      <c r="AM74" s="3"/>
      <c r="AN74" s="3"/>
      <c r="AO74" s="4">
        <f t="shared" si="11"/>
        <v>0</v>
      </c>
      <c r="AP74" s="4"/>
      <c r="AQ74" s="7"/>
      <c r="AR74" s="725">
        <v>4910</v>
      </c>
      <c r="AS74" s="3">
        <v>0</v>
      </c>
      <c r="AT74" s="3">
        <v>3192.8999999999996</v>
      </c>
      <c r="AU74" s="4">
        <f t="shared" si="53"/>
        <v>3192.8999999999996</v>
      </c>
      <c r="AV74" s="4">
        <v>3045.8</v>
      </c>
      <c r="AW74" s="7">
        <v>51778600</v>
      </c>
      <c r="AX74" s="725">
        <v>631</v>
      </c>
      <c r="AY74" s="3">
        <v>0</v>
      </c>
      <c r="AZ74" s="3">
        <v>1283.78</v>
      </c>
      <c r="BA74" s="4">
        <f t="shared" si="13"/>
        <v>1283.78</v>
      </c>
      <c r="BB74" s="4">
        <v>1078.3752000000002</v>
      </c>
      <c r="BC74" s="7">
        <v>18332378.400000002</v>
      </c>
      <c r="BD74" s="725"/>
      <c r="BE74" s="3"/>
      <c r="BF74" s="3"/>
      <c r="BG74" s="4">
        <f t="shared" si="14"/>
        <v>0</v>
      </c>
      <c r="BH74" s="4"/>
      <c r="BI74" s="7"/>
      <c r="BJ74" s="8"/>
      <c r="BK74" s="3"/>
      <c r="BL74" s="3"/>
      <c r="BM74" s="4">
        <f t="shared" si="15"/>
        <v>0</v>
      </c>
      <c r="BN74" s="4"/>
      <c r="BO74" s="7"/>
      <c r="BP74" s="725"/>
      <c r="BQ74" s="3"/>
      <c r="BR74" s="3"/>
      <c r="BS74" s="4">
        <f t="shared" si="16"/>
        <v>0</v>
      </c>
      <c r="BT74" s="4"/>
      <c r="BU74" s="7"/>
      <c r="BV74" s="725">
        <v>449</v>
      </c>
      <c r="BW74" s="3">
        <v>0</v>
      </c>
      <c r="BX74" s="3">
        <v>749.32</v>
      </c>
      <c r="BY74" s="4">
        <f t="shared" si="54"/>
        <v>749.32</v>
      </c>
      <c r="BZ74" s="4">
        <v>618.18899999999996</v>
      </c>
      <c r="CA74" s="7">
        <v>7418268</v>
      </c>
      <c r="CB74" s="725"/>
      <c r="CC74" s="3"/>
      <c r="CD74" s="3"/>
      <c r="CE74" s="4">
        <f t="shared" si="55"/>
        <v>0</v>
      </c>
      <c r="CF74" s="4"/>
      <c r="CG74" s="7"/>
      <c r="CH74" s="725">
        <v>449</v>
      </c>
      <c r="CI74" s="3">
        <v>0</v>
      </c>
      <c r="CJ74" s="3">
        <v>749.32</v>
      </c>
      <c r="CK74" s="4">
        <f t="shared" si="56"/>
        <v>749.32</v>
      </c>
      <c r="CL74" s="4">
        <v>618.18899999999996</v>
      </c>
      <c r="CM74" s="7">
        <v>7418268</v>
      </c>
      <c r="CN74" s="725">
        <v>374</v>
      </c>
      <c r="CO74" s="3">
        <v>0</v>
      </c>
      <c r="CP74" s="3">
        <v>1015.71</v>
      </c>
      <c r="CQ74" s="4">
        <f t="shared" si="57"/>
        <v>1015.71</v>
      </c>
      <c r="CR74" s="4">
        <v>2084.2759999999998</v>
      </c>
      <c r="CS74" s="7">
        <v>25011311.999999996</v>
      </c>
    </row>
    <row r="75" spans="1:97" ht="16.5" x14ac:dyDescent="0.3">
      <c r="A75" s="709" t="s">
        <v>401</v>
      </c>
      <c r="B75" s="725"/>
      <c r="C75" s="3"/>
      <c r="D75" s="3"/>
      <c r="E75" s="4">
        <f t="shared" si="51"/>
        <v>0</v>
      </c>
      <c r="G75" s="7"/>
      <c r="H75" s="725"/>
      <c r="I75" s="3"/>
      <c r="J75" s="3"/>
      <c r="K75" s="4">
        <f t="shared" si="52"/>
        <v>0</v>
      </c>
      <c r="L75" s="4"/>
      <c r="M75" s="7"/>
      <c r="N75" s="725">
        <v>0</v>
      </c>
      <c r="O75" s="3">
        <v>0</v>
      </c>
      <c r="P75" s="3">
        <v>1445</v>
      </c>
      <c r="Q75" s="4">
        <f t="shared" ref="Q75:Q88" si="59">SUM(O75:P75)</f>
        <v>1445</v>
      </c>
      <c r="R75" s="4">
        <v>604.08999999999992</v>
      </c>
      <c r="S75" s="7">
        <v>11392946</v>
      </c>
      <c r="T75" s="3">
        <v>0</v>
      </c>
      <c r="U75" s="3">
        <v>65.5</v>
      </c>
      <c r="V75" s="3">
        <v>1475.91</v>
      </c>
      <c r="W75" s="4">
        <f t="shared" ref="W75:W88" si="60">SUM(U75:V75)</f>
        <v>1541.41</v>
      </c>
      <c r="X75" s="4">
        <v>2292.3112300000003</v>
      </c>
      <c r="Y75" s="7">
        <v>32092357.219999999</v>
      </c>
      <c r="Z75" s="725">
        <v>0</v>
      </c>
      <c r="AA75" s="3">
        <v>0</v>
      </c>
      <c r="AB75" s="3">
        <v>10</v>
      </c>
      <c r="AC75" s="4">
        <f t="shared" ref="AC75:AC88" si="61">SUM(AA75:AB75)</f>
        <v>10</v>
      </c>
      <c r="AD75" s="4"/>
      <c r="AE75" s="7">
        <v>125660</v>
      </c>
      <c r="AF75" s="725">
        <v>667</v>
      </c>
      <c r="AG75" s="3">
        <v>0</v>
      </c>
      <c r="AH75" s="3">
        <v>762.95</v>
      </c>
      <c r="AI75" s="4">
        <f t="shared" si="58"/>
        <v>762.95</v>
      </c>
      <c r="AJ75" s="4">
        <v>735.32167499999991</v>
      </c>
      <c r="AK75" s="7">
        <v>9589354.5749999993</v>
      </c>
      <c r="AL75" s="725"/>
      <c r="AM75" s="3"/>
      <c r="AN75" s="3"/>
      <c r="AO75" s="4">
        <f t="shared" ref="AO75:AO88" si="62">SUM(AM75:AN75)</f>
        <v>0</v>
      </c>
      <c r="AP75" s="4"/>
      <c r="AQ75" s="7"/>
      <c r="AR75" s="725">
        <v>422</v>
      </c>
      <c r="AS75" s="3">
        <v>0</v>
      </c>
      <c r="AT75" s="3">
        <v>461.1</v>
      </c>
      <c r="AU75" s="4">
        <f t="shared" si="53"/>
        <v>461.1</v>
      </c>
      <c r="AV75" s="4">
        <v>424.6</v>
      </c>
      <c r="AW75" s="7">
        <v>7218200.0000000009</v>
      </c>
      <c r="AX75" s="725">
        <v>7</v>
      </c>
      <c r="AY75" s="3">
        <v>0</v>
      </c>
      <c r="AZ75" s="3">
        <v>11</v>
      </c>
      <c r="BA75" s="4">
        <f t="shared" ref="BA75:BA88" si="63">SUM(AY75:AZ75)</f>
        <v>11</v>
      </c>
      <c r="BB75" s="4">
        <v>6.6</v>
      </c>
      <c r="BC75" s="7">
        <v>112199.99999999999</v>
      </c>
      <c r="BD75" s="725"/>
      <c r="BE75" s="3"/>
      <c r="BF75" s="3"/>
      <c r="BG75" s="4">
        <f t="shared" ref="BG75:BG88" si="64">SUM(BE75:BF75)</f>
        <v>0</v>
      </c>
      <c r="BH75" s="4"/>
      <c r="BI75" s="7"/>
      <c r="BJ75" s="8"/>
      <c r="BK75" s="3"/>
      <c r="BL75" s="3"/>
      <c r="BM75" s="4">
        <f t="shared" ref="BM75:BM88" si="65">SUM(BK75:BL75)</f>
        <v>0</v>
      </c>
      <c r="BN75" s="4"/>
      <c r="BO75" s="7"/>
      <c r="BP75" s="725"/>
      <c r="BQ75" s="3"/>
      <c r="BR75" s="3"/>
      <c r="BS75" s="4">
        <f t="shared" ref="BS75:BS82" si="66">SUM(BQ75:BR75)</f>
        <v>0</v>
      </c>
      <c r="BT75" s="4"/>
      <c r="BU75" s="7"/>
      <c r="BV75" s="725">
        <v>15</v>
      </c>
      <c r="BW75" s="3">
        <v>0</v>
      </c>
      <c r="BX75" s="3">
        <v>20.7</v>
      </c>
      <c r="BY75" s="4">
        <f t="shared" si="54"/>
        <v>20.7</v>
      </c>
      <c r="BZ75" s="4">
        <v>17.077499999999997</v>
      </c>
      <c r="CA75" s="7">
        <v>204929.99999999994</v>
      </c>
      <c r="CB75" s="725"/>
      <c r="CC75" s="3"/>
      <c r="CD75" s="3"/>
      <c r="CE75" s="4">
        <f t="shared" si="55"/>
        <v>0</v>
      </c>
      <c r="CF75" s="4"/>
      <c r="CG75" s="7"/>
      <c r="CH75" s="725">
        <v>15</v>
      </c>
      <c r="CI75" s="3">
        <v>0</v>
      </c>
      <c r="CJ75" s="3">
        <v>20.7</v>
      </c>
      <c r="CK75" s="4">
        <f t="shared" si="56"/>
        <v>20.7</v>
      </c>
      <c r="CL75" s="4">
        <v>17.077499999999997</v>
      </c>
      <c r="CM75" s="7">
        <v>204929.99999999994</v>
      </c>
      <c r="CN75" s="725">
        <v>137</v>
      </c>
      <c r="CO75" s="3">
        <v>0</v>
      </c>
      <c r="CP75" s="3">
        <v>139.95999999999998</v>
      </c>
      <c r="CQ75" s="4">
        <f t="shared" si="57"/>
        <v>139.95999999999998</v>
      </c>
      <c r="CR75" s="4">
        <v>150.10399999999998</v>
      </c>
      <c r="CS75" s="7">
        <v>1833287.9999999998</v>
      </c>
    </row>
    <row r="76" spans="1:97" ht="16.5" x14ac:dyDescent="0.3">
      <c r="A76" s="709" t="s">
        <v>400</v>
      </c>
      <c r="B76" s="725"/>
      <c r="C76" s="3"/>
      <c r="D76" s="3"/>
      <c r="E76" s="4">
        <f t="shared" si="51"/>
        <v>0</v>
      </c>
      <c r="G76" s="7"/>
      <c r="H76" s="725"/>
      <c r="I76" s="3"/>
      <c r="J76" s="3"/>
      <c r="K76" s="4">
        <f t="shared" si="52"/>
        <v>0</v>
      </c>
      <c r="L76" s="4"/>
      <c r="M76" s="7"/>
      <c r="N76" s="725">
        <v>0</v>
      </c>
      <c r="O76" s="3">
        <v>6.9</v>
      </c>
      <c r="P76" s="3">
        <v>1131.5999999999999</v>
      </c>
      <c r="Q76" s="4">
        <f t="shared" si="59"/>
        <v>1138.5</v>
      </c>
      <c r="R76" s="4">
        <v>1114.7585999999999</v>
      </c>
      <c r="S76" s="7">
        <v>16721378.999999998</v>
      </c>
      <c r="T76" s="3">
        <v>0</v>
      </c>
      <c r="U76" s="3">
        <v>1029</v>
      </c>
      <c r="V76" s="3">
        <v>793.36</v>
      </c>
      <c r="W76" s="4">
        <f t="shared" si="60"/>
        <v>1822.3600000000001</v>
      </c>
      <c r="X76" s="4">
        <v>6787.622159999999</v>
      </c>
      <c r="Y76" s="7">
        <v>95026710.239999995</v>
      </c>
      <c r="Z76" s="725">
        <v>0</v>
      </c>
      <c r="AA76" s="3">
        <v>900</v>
      </c>
      <c r="AB76" s="3">
        <v>0</v>
      </c>
      <c r="AC76" s="4">
        <f t="shared" si="61"/>
        <v>900</v>
      </c>
      <c r="AD76" s="4"/>
      <c r="AE76" s="7">
        <v>25006800</v>
      </c>
      <c r="AF76" s="725">
        <v>1599</v>
      </c>
      <c r="AG76" s="3">
        <v>0</v>
      </c>
      <c r="AH76" s="3">
        <v>2048.1</v>
      </c>
      <c r="AI76" s="4">
        <f t="shared" si="58"/>
        <v>2048.1</v>
      </c>
      <c r="AJ76" s="4">
        <v>1619.1576499999996</v>
      </c>
      <c r="AK76" s="7">
        <v>21049049.449999996</v>
      </c>
      <c r="AL76" s="725"/>
      <c r="AM76" s="3"/>
      <c r="AN76" s="3"/>
      <c r="AO76" s="4">
        <f t="shared" si="62"/>
        <v>0</v>
      </c>
      <c r="AP76" s="4"/>
      <c r="AQ76" s="7"/>
      <c r="AR76" s="725">
        <v>966</v>
      </c>
      <c r="AS76" s="3">
        <v>0</v>
      </c>
      <c r="AT76" s="3">
        <v>1079.56</v>
      </c>
      <c r="AU76" s="4">
        <f t="shared" si="53"/>
        <v>1079.56</v>
      </c>
      <c r="AV76" s="4">
        <v>1481.69</v>
      </c>
      <c r="AW76" s="7">
        <v>25243328.399999999</v>
      </c>
      <c r="AX76" s="725">
        <v>129</v>
      </c>
      <c r="AY76" s="3"/>
      <c r="AZ76" s="3">
        <v>153.39999999999998</v>
      </c>
      <c r="BA76" s="4">
        <f t="shared" si="63"/>
        <v>153.39999999999998</v>
      </c>
      <c r="BB76" s="4">
        <v>133.45799999999997</v>
      </c>
      <c r="BC76" s="7">
        <v>2268786</v>
      </c>
      <c r="BD76" s="725"/>
      <c r="BE76" s="3"/>
      <c r="BF76" s="3"/>
      <c r="BG76" s="4">
        <f t="shared" si="64"/>
        <v>0</v>
      </c>
      <c r="BH76" s="4"/>
      <c r="BI76" s="7"/>
      <c r="BJ76" s="8"/>
      <c r="BK76" s="3"/>
      <c r="BL76" s="3"/>
      <c r="BM76" s="4">
        <f t="shared" si="65"/>
        <v>0</v>
      </c>
      <c r="BN76" s="4"/>
      <c r="BO76" s="7"/>
      <c r="BP76" s="725"/>
      <c r="BQ76" s="3"/>
      <c r="BR76" s="3"/>
      <c r="BS76" s="4">
        <f t="shared" si="66"/>
        <v>0</v>
      </c>
      <c r="BT76" s="4"/>
      <c r="BU76" s="7"/>
      <c r="BV76" s="725">
        <v>94</v>
      </c>
      <c r="BW76" s="3">
        <v>0</v>
      </c>
      <c r="BX76" s="3">
        <v>98.75</v>
      </c>
      <c r="BY76" s="4">
        <f t="shared" si="54"/>
        <v>98.75</v>
      </c>
      <c r="BZ76" s="4">
        <v>56.484999999999999</v>
      </c>
      <c r="CA76" s="7">
        <v>677820</v>
      </c>
      <c r="CB76" s="725">
        <v>104</v>
      </c>
      <c r="CC76" s="3">
        <v>0</v>
      </c>
      <c r="CD76" s="3">
        <v>113.25</v>
      </c>
      <c r="CE76" s="4">
        <f t="shared" si="55"/>
        <v>113.25</v>
      </c>
      <c r="CF76" s="4">
        <v>58.013999999999996</v>
      </c>
      <c r="CG76" s="7">
        <v>696168</v>
      </c>
      <c r="CH76" s="725">
        <v>94</v>
      </c>
      <c r="CI76" s="3">
        <v>0</v>
      </c>
      <c r="CJ76" s="3">
        <v>98.75</v>
      </c>
      <c r="CK76" s="4">
        <f t="shared" si="56"/>
        <v>98.75</v>
      </c>
      <c r="CL76" s="4">
        <v>56.484999999999999</v>
      </c>
      <c r="CM76" s="7">
        <v>677820</v>
      </c>
      <c r="CN76" s="725">
        <v>87</v>
      </c>
      <c r="CO76" s="3">
        <v>0</v>
      </c>
      <c r="CP76" s="3">
        <v>96</v>
      </c>
      <c r="CQ76" s="4">
        <f t="shared" si="57"/>
        <v>96</v>
      </c>
      <c r="CR76" s="4">
        <v>77.14</v>
      </c>
      <c r="CS76" s="7">
        <v>925680</v>
      </c>
    </row>
    <row r="77" spans="1:97" ht="16.5" x14ac:dyDescent="0.3">
      <c r="A77" s="709" t="s">
        <v>399</v>
      </c>
      <c r="B77" s="725"/>
      <c r="C77" s="3"/>
      <c r="D77" s="3"/>
      <c r="E77" s="4">
        <f t="shared" si="51"/>
        <v>0</v>
      </c>
      <c r="G77" s="7"/>
      <c r="H77" s="725"/>
      <c r="I77" s="3"/>
      <c r="J77" s="3"/>
      <c r="K77" s="4">
        <f t="shared" si="52"/>
        <v>0</v>
      </c>
      <c r="L77" s="4"/>
      <c r="M77" s="7"/>
      <c r="N77" s="725">
        <v>0</v>
      </c>
      <c r="O77" s="3">
        <v>0</v>
      </c>
      <c r="P77" s="3">
        <v>5166.5</v>
      </c>
      <c r="Q77" s="4">
        <f t="shared" si="59"/>
        <v>5166.5</v>
      </c>
      <c r="R77" s="4">
        <v>4791.7622499999998</v>
      </c>
      <c r="S77" s="7">
        <v>71876433.75</v>
      </c>
      <c r="T77" s="3">
        <v>0</v>
      </c>
      <c r="U77" s="3">
        <v>0</v>
      </c>
      <c r="V77" s="3">
        <v>4550</v>
      </c>
      <c r="W77" s="4">
        <f t="shared" si="60"/>
        <v>4550</v>
      </c>
      <c r="X77" s="4">
        <v>6736.8125</v>
      </c>
      <c r="Y77" s="7">
        <v>94315375</v>
      </c>
      <c r="Z77" s="725"/>
      <c r="AA77" s="3"/>
      <c r="AB77" s="3"/>
      <c r="AC77" s="4">
        <f t="shared" si="61"/>
        <v>0</v>
      </c>
      <c r="AD77" s="4"/>
      <c r="AE77" s="7">
        <v>1272500</v>
      </c>
      <c r="AF77" s="725">
        <v>535</v>
      </c>
      <c r="AG77" s="3">
        <v>0</v>
      </c>
      <c r="AH77" s="3">
        <v>1375.8</v>
      </c>
      <c r="AI77" s="4">
        <f t="shared" si="58"/>
        <v>1375.8</v>
      </c>
      <c r="AJ77" s="4">
        <v>1551.2144999999998</v>
      </c>
      <c r="AK77" s="7">
        <v>20165788.5</v>
      </c>
      <c r="AL77" s="725"/>
      <c r="AM77" s="3"/>
      <c r="AN77" s="3"/>
      <c r="AO77" s="4">
        <f t="shared" si="62"/>
        <v>0</v>
      </c>
      <c r="AP77" s="4"/>
      <c r="AQ77" s="7"/>
      <c r="AR77" s="725">
        <v>552</v>
      </c>
      <c r="AS77" s="3">
        <v>0</v>
      </c>
      <c r="AT77" s="3">
        <v>1379</v>
      </c>
      <c r="AU77" s="4">
        <f t="shared" si="53"/>
        <v>1379</v>
      </c>
      <c r="AV77" s="4">
        <v>907.45</v>
      </c>
      <c r="AW77" s="7">
        <v>15426650</v>
      </c>
      <c r="AX77" s="725"/>
      <c r="AY77" s="3"/>
      <c r="AZ77" s="3"/>
      <c r="BA77" s="4">
        <f t="shared" si="63"/>
        <v>0</v>
      </c>
      <c r="BB77" s="4"/>
      <c r="BC77" s="7"/>
      <c r="BD77" s="725"/>
      <c r="BE77" s="3"/>
      <c r="BF77" s="3"/>
      <c r="BG77" s="4">
        <f t="shared" si="64"/>
        <v>0</v>
      </c>
      <c r="BH77" s="4"/>
      <c r="BI77" s="7"/>
      <c r="BJ77" s="8"/>
      <c r="BK77" s="3"/>
      <c r="BL77" s="3"/>
      <c r="BM77" s="4">
        <f t="shared" si="65"/>
        <v>0</v>
      </c>
      <c r="BN77" s="4"/>
      <c r="BO77" s="7"/>
      <c r="BP77" s="725">
        <v>98</v>
      </c>
      <c r="BQ77" s="3">
        <v>0</v>
      </c>
      <c r="BR77" s="3">
        <v>0</v>
      </c>
      <c r="BS77" s="4">
        <f t="shared" si="66"/>
        <v>0</v>
      </c>
      <c r="BT77" s="4">
        <v>0</v>
      </c>
      <c r="BU77" s="7">
        <v>7771</v>
      </c>
      <c r="BV77" s="725"/>
      <c r="BW77" s="3"/>
      <c r="BX77" s="3"/>
      <c r="BY77" s="4">
        <f t="shared" si="54"/>
        <v>0</v>
      </c>
      <c r="BZ77" s="4"/>
      <c r="CA77" s="7"/>
      <c r="CB77" s="725"/>
      <c r="CC77" s="3"/>
      <c r="CD77" s="3"/>
      <c r="CE77" s="4">
        <f t="shared" si="55"/>
        <v>0</v>
      </c>
      <c r="CF77" s="4"/>
      <c r="CG77" s="7"/>
      <c r="CH77" s="725"/>
      <c r="CI77" s="3"/>
      <c r="CJ77" s="3"/>
      <c r="CK77" s="4">
        <f t="shared" si="56"/>
        <v>0</v>
      </c>
      <c r="CL77" s="4"/>
      <c r="CM77" s="7"/>
      <c r="CN77" s="725"/>
      <c r="CO77" s="3"/>
      <c r="CP77" s="3"/>
      <c r="CQ77" s="4">
        <f t="shared" si="57"/>
        <v>0</v>
      </c>
      <c r="CR77" s="4"/>
      <c r="CS77" s="7"/>
    </row>
    <row r="78" spans="1:97" ht="16.5" x14ac:dyDescent="0.3">
      <c r="A78" s="709" t="s">
        <v>398</v>
      </c>
      <c r="B78" s="725"/>
      <c r="C78" s="3"/>
      <c r="D78" s="3"/>
      <c r="E78" s="4">
        <f t="shared" si="51"/>
        <v>0</v>
      </c>
      <c r="G78" s="7"/>
      <c r="H78" s="3">
        <v>0</v>
      </c>
      <c r="I78" s="3">
        <v>0</v>
      </c>
      <c r="J78" s="3">
        <v>346.5</v>
      </c>
      <c r="K78" s="4">
        <f t="shared" si="52"/>
        <v>346.5</v>
      </c>
      <c r="L78" s="4">
        <v>147.25149999999999</v>
      </c>
      <c r="M78" s="7">
        <v>2557355.4999999995</v>
      </c>
      <c r="N78" s="725">
        <v>0</v>
      </c>
      <c r="O78" s="3">
        <v>0</v>
      </c>
      <c r="P78" s="3">
        <v>1504.5</v>
      </c>
      <c r="Q78" s="4">
        <f t="shared" si="59"/>
        <v>1504.5</v>
      </c>
      <c r="R78" s="4">
        <v>1043.50125</v>
      </c>
      <c r="S78" s="7">
        <v>16079248.35</v>
      </c>
      <c r="T78" s="3">
        <v>0</v>
      </c>
      <c r="U78" s="3">
        <v>2280</v>
      </c>
      <c r="V78" s="3">
        <v>5208.3500000000004</v>
      </c>
      <c r="W78" s="4">
        <f t="shared" si="60"/>
        <v>7488.35</v>
      </c>
      <c r="X78" s="4">
        <v>24376.595099999995</v>
      </c>
      <c r="Y78" s="7">
        <v>341272331.39999998</v>
      </c>
      <c r="Z78" s="725">
        <v>0</v>
      </c>
      <c r="AA78" s="3">
        <v>30</v>
      </c>
      <c r="AB78" s="3">
        <v>0</v>
      </c>
      <c r="AC78" s="4">
        <f t="shared" si="61"/>
        <v>30</v>
      </c>
      <c r="AD78" s="4"/>
      <c r="AE78" s="7">
        <v>15293280</v>
      </c>
      <c r="AF78" s="725">
        <v>2831</v>
      </c>
      <c r="AG78" s="3">
        <v>0</v>
      </c>
      <c r="AH78" s="3">
        <v>6022.63</v>
      </c>
      <c r="AI78" s="4">
        <f t="shared" si="58"/>
        <v>6022.63</v>
      </c>
      <c r="AJ78" s="4">
        <v>5357.3139950000004</v>
      </c>
      <c r="AK78" s="7">
        <v>69880429.775000006</v>
      </c>
      <c r="AL78" s="725"/>
      <c r="AM78" s="3"/>
      <c r="AN78" s="3"/>
      <c r="AO78" s="4">
        <f t="shared" si="62"/>
        <v>0</v>
      </c>
      <c r="AP78" s="4"/>
      <c r="AQ78" s="7"/>
      <c r="AR78" s="725">
        <v>653</v>
      </c>
      <c r="AS78" s="3">
        <v>0</v>
      </c>
      <c r="AT78" s="3">
        <v>1281.78</v>
      </c>
      <c r="AU78" s="4">
        <f t="shared" si="53"/>
        <v>1281.78</v>
      </c>
      <c r="AV78" s="4">
        <v>1142.03</v>
      </c>
      <c r="AW78" s="7">
        <v>19974862</v>
      </c>
      <c r="AX78" s="725">
        <v>1231</v>
      </c>
      <c r="AY78" s="3">
        <v>0</v>
      </c>
      <c r="AZ78" s="3">
        <v>2326.4499999999998</v>
      </c>
      <c r="BA78" s="4">
        <f t="shared" si="63"/>
        <v>2326.4499999999998</v>
      </c>
      <c r="BB78" s="4">
        <v>1866.9761249999997</v>
      </c>
      <c r="BC78" s="7">
        <v>31738594.124999996</v>
      </c>
      <c r="BD78" s="725"/>
      <c r="BE78" s="3"/>
      <c r="BF78" s="3"/>
      <c r="BG78" s="4">
        <f t="shared" si="64"/>
        <v>0</v>
      </c>
      <c r="BH78" s="4"/>
      <c r="BI78" s="7"/>
      <c r="BJ78" s="8"/>
      <c r="BK78" s="3"/>
      <c r="BL78" s="3"/>
      <c r="BM78" s="4">
        <f t="shared" si="65"/>
        <v>0</v>
      </c>
      <c r="BN78" s="4"/>
      <c r="BO78" s="7"/>
      <c r="BP78" s="725"/>
      <c r="BQ78" s="3"/>
      <c r="BR78" s="3"/>
      <c r="BS78" s="4">
        <f t="shared" si="66"/>
        <v>0</v>
      </c>
      <c r="BT78" s="4"/>
      <c r="BU78" s="7"/>
      <c r="BV78" s="725">
        <v>87</v>
      </c>
      <c r="BW78" s="3">
        <v>0</v>
      </c>
      <c r="BX78" s="3">
        <v>253</v>
      </c>
      <c r="BY78" s="4">
        <f t="shared" si="54"/>
        <v>253</v>
      </c>
      <c r="BZ78" s="4">
        <v>179.02500000000001</v>
      </c>
      <c r="CA78" s="7">
        <v>2148300</v>
      </c>
      <c r="CB78" s="725">
        <v>42</v>
      </c>
      <c r="CC78" s="3">
        <v>0</v>
      </c>
      <c r="CD78" s="3">
        <v>64</v>
      </c>
      <c r="CE78" s="4">
        <f t="shared" si="55"/>
        <v>64</v>
      </c>
      <c r="CF78" s="4">
        <v>86.591999999999999</v>
      </c>
      <c r="CG78" s="7">
        <v>1039104</v>
      </c>
      <c r="CH78" s="725">
        <v>87</v>
      </c>
      <c r="CI78" s="3">
        <v>0</v>
      </c>
      <c r="CJ78" s="3">
        <v>253</v>
      </c>
      <c r="CK78" s="4">
        <f t="shared" si="56"/>
        <v>253</v>
      </c>
      <c r="CL78" s="4">
        <v>179.02500000000001</v>
      </c>
      <c r="CM78" s="7">
        <v>2148300</v>
      </c>
      <c r="CN78" s="725">
        <v>735</v>
      </c>
      <c r="CO78" s="3">
        <v>15</v>
      </c>
      <c r="CP78" s="3">
        <v>2266.6</v>
      </c>
      <c r="CQ78" s="4">
        <f t="shared" si="57"/>
        <v>2281.6</v>
      </c>
      <c r="CR78" s="4">
        <v>6495.3</v>
      </c>
      <c r="CS78" s="7">
        <v>77943600</v>
      </c>
    </row>
    <row r="79" spans="1:97" ht="16.5" x14ac:dyDescent="0.3">
      <c r="A79" s="709" t="s">
        <v>397</v>
      </c>
      <c r="B79" s="725"/>
      <c r="C79" s="3"/>
      <c r="D79" s="3"/>
      <c r="E79" s="4">
        <f t="shared" si="51"/>
        <v>0</v>
      </c>
      <c r="G79" s="7"/>
      <c r="H79" s="3">
        <v>0</v>
      </c>
      <c r="I79" s="3">
        <v>11</v>
      </c>
      <c r="J79" s="3">
        <v>212</v>
      </c>
      <c r="K79" s="4">
        <f t="shared" si="52"/>
        <v>223</v>
      </c>
      <c r="L79" s="4">
        <v>29.314999999999998</v>
      </c>
      <c r="M79" s="7">
        <v>1193283</v>
      </c>
      <c r="N79" s="725">
        <v>0</v>
      </c>
      <c r="O79" s="3">
        <v>240</v>
      </c>
      <c r="P79" s="3">
        <v>1060</v>
      </c>
      <c r="Q79" s="4">
        <f t="shared" si="59"/>
        <v>1300</v>
      </c>
      <c r="R79" s="4">
        <v>2931.5</v>
      </c>
      <c r="S79" s="7">
        <v>45323092</v>
      </c>
      <c r="T79" s="3">
        <v>0</v>
      </c>
      <c r="U79" s="3">
        <v>1600</v>
      </c>
      <c r="V79" s="3">
        <v>742</v>
      </c>
      <c r="W79" s="4">
        <f t="shared" si="60"/>
        <v>2342</v>
      </c>
      <c r="X79" s="4">
        <v>8601.4719999999998</v>
      </c>
      <c r="Y79" s="7">
        <v>122992480</v>
      </c>
      <c r="Z79" s="725"/>
      <c r="AA79" s="3"/>
      <c r="AB79" s="3"/>
      <c r="AC79" s="4">
        <f t="shared" si="61"/>
        <v>0</v>
      </c>
      <c r="AD79" s="4"/>
      <c r="AE79" s="7">
        <v>201360</v>
      </c>
      <c r="AF79" s="725">
        <v>829</v>
      </c>
      <c r="AG79" s="3">
        <v>0</v>
      </c>
      <c r="AH79" s="3">
        <v>1400</v>
      </c>
      <c r="AI79" s="4">
        <f t="shared" si="58"/>
        <v>1400</v>
      </c>
      <c r="AJ79" s="4">
        <v>1241.152</v>
      </c>
      <c r="AK79" s="7">
        <v>16134976</v>
      </c>
      <c r="AL79" s="725"/>
      <c r="AM79" s="3"/>
      <c r="AN79" s="3"/>
      <c r="AO79" s="4">
        <f t="shared" si="62"/>
        <v>0</v>
      </c>
      <c r="AP79" s="4"/>
      <c r="AQ79" s="7"/>
      <c r="AR79" s="725">
        <v>845</v>
      </c>
      <c r="AS79" s="3">
        <v>0</v>
      </c>
      <c r="AT79" s="3">
        <v>1534</v>
      </c>
      <c r="AU79" s="4">
        <f t="shared" si="53"/>
        <v>1534</v>
      </c>
      <c r="AV79" s="4">
        <v>1506.5</v>
      </c>
      <c r="AW79" s="7">
        <v>26903620</v>
      </c>
      <c r="AX79" s="725">
        <v>35</v>
      </c>
      <c r="AY79" s="3">
        <v>0</v>
      </c>
      <c r="AZ79" s="3">
        <v>64</v>
      </c>
      <c r="BA79" s="4">
        <f t="shared" si="63"/>
        <v>64</v>
      </c>
      <c r="BB79" s="4">
        <v>48</v>
      </c>
      <c r="BC79" s="7">
        <v>816000</v>
      </c>
      <c r="BD79" s="725"/>
      <c r="BE79" s="3"/>
      <c r="BF79" s="3"/>
      <c r="BG79" s="4">
        <f t="shared" si="64"/>
        <v>0</v>
      </c>
      <c r="BH79" s="4"/>
      <c r="BI79" s="7"/>
      <c r="BJ79" s="8"/>
      <c r="BK79" s="3"/>
      <c r="BL79" s="3"/>
      <c r="BM79" s="4">
        <f t="shared" si="65"/>
        <v>0</v>
      </c>
      <c r="BN79" s="4"/>
      <c r="BO79" s="7"/>
      <c r="BP79" s="725"/>
      <c r="BQ79" s="3"/>
      <c r="BR79" s="3"/>
      <c r="BS79" s="4">
        <f t="shared" si="66"/>
        <v>0</v>
      </c>
      <c r="BT79" s="4"/>
      <c r="BU79" s="7"/>
      <c r="BV79" s="725">
        <v>32</v>
      </c>
      <c r="BW79" s="3">
        <v>0</v>
      </c>
      <c r="BX79" s="3">
        <v>60</v>
      </c>
      <c r="BY79" s="4">
        <f t="shared" si="54"/>
        <v>60</v>
      </c>
      <c r="BZ79" s="4">
        <v>70.95</v>
      </c>
      <c r="CA79" s="7">
        <v>851400.00000000012</v>
      </c>
      <c r="CB79" s="725"/>
      <c r="CC79" s="3"/>
      <c r="CD79" s="3"/>
      <c r="CE79" s="4">
        <f t="shared" si="55"/>
        <v>0</v>
      </c>
      <c r="CF79" s="4"/>
      <c r="CG79" s="7"/>
      <c r="CH79" s="725">
        <v>32</v>
      </c>
      <c r="CI79" s="3">
        <v>0</v>
      </c>
      <c r="CJ79" s="3">
        <v>60</v>
      </c>
      <c r="CK79" s="4">
        <f t="shared" si="56"/>
        <v>60</v>
      </c>
      <c r="CL79" s="4">
        <v>70.95</v>
      </c>
      <c r="CM79" s="7">
        <v>851400.00000000012</v>
      </c>
      <c r="CN79" s="725">
        <v>78</v>
      </c>
      <c r="CO79" s="3">
        <v>0</v>
      </c>
      <c r="CP79" s="3">
        <v>165</v>
      </c>
      <c r="CQ79" s="4">
        <f t="shared" si="57"/>
        <v>165</v>
      </c>
      <c r="CR79" s="4">
        <v>330</v>
      </c>
      <c r="CS79" s="7">
        <v>3960000</v>
      </c>
    </row>
    <row r="80" spans="1:97" ht="16.5" x14ac:dyDescent="0.3">
      <c r="A80" s="709" t="s">
        <v>396</v>
      </c>
      <c r="B80" s="725"/>
      <c r="C80" s="3"/>
      <c r="D80" s="3"/>
      <c r="E80" s="4">
        <f t="shared" si="51"/>
        <v>0</v>
      </c>
      <c r="G80" s="7"/>
      <c r="H80" s="3">
        <v>0</v>
      </c>
      <c r="I80" s="3">
        <v>0</v>
      </c>
      <c r="J80" s="3">
        <v>10.8</v>
      </c>
      <c r="K80" s="4">
        <f t="shared" si="52"/>
        <v>10.8</v>
      </c>
      <c r="L80" s="4">
        <v>4.87</v>
      </c>
      <c r="M80" s="7">
        <v>82803.600000000006</v>
      </c>
      <c r="N80" s="725">
        <v>0</v>
      </c>
      <c r="O80" s="3">
        <v>66</v>
      </c>
      <c r="P80" s="3">
        <v>931</v>
      </c>
      <c r="Q80" s="4">
        <f t="shared" si="59"/>
        <v>997</v>
      </c>
      <c r="R80" s="4">
        <v>888.01900000000001</v>
      </c>
      <c r="S80" s="7">
        <v>13320285</v>
      </c>
      <c r="T80" s="3">
        <v>0</v>
      </c>
      <c r="U80" s="3">
        <v>1095.0999999999999</v>
      </c>
      <c r="V80" s="3">
        <v>0</v>
      </c>
      <c r="W80" s="4">
        <f t="shared" si="60"/>
        <v>1095.0999999999999</v>
      </c>
      <c r="X80" s="4">
        <v>4938.9009999999998</v>
      </c>
      <c r="Y80" s="7">
        <v>69144614</v>
      </c>
      <c r="Z80" s="725"/>
      <c r="AA80" s="3"/>
      <c r="AB80" s="3"/>
      <c r="AC80" s="4">
        <f t="shared" si="61"/>
        <v>0</v>
      </c>
      <c r="AD80" s="4"/>
      <c r="AE80" s="7"/>
      <c r="AF80" s="725">
        <v>401</v>
      </c>
      <c r="AG80" s="3">
        <v>0</v>
      </c>
      <c r="AH80" s="3">
        <v>417</v>
      </c>
      <c r="AI80" s="4">
        <f t="shared" si="58"/>
        <v>417</v>
      </c>
      <c r="AJ80" s="4">
        <v>370.04549999999995</v>
      </c>
      <c r="AK80" s="7">
        <v>4810591.4999999991</v>
      </c>
      <c r="AL80" s="725"/>
      <c r="AM80" s="3"/>
      <c r="AN80" s="3"/>
      <c r="AO80" s="4">
        <f t="shared" si="62"/>
        <v>0</v>
      </c>
      <c r="AP80" s="4"/>
      <c r="AQ80" s="7"/>
      <c r="AR80" s="725">
        <v>204</v>
      </c>
      <c r="AS80" s="3">
        <v>0</v>
      </c>
      <c r="AT80" s="3">
        <v>228.16000000000003</v>
      </c>
      <c r="AU80" s="4">
        <f t="shared" si="53"/>
        <v>228.16000000000003</v>
      </c>
      <c r="AV80" s="4">
        <v>122.51000000000002</v>
      </c>
      <c r="AW80" s="7">
        <v>2689861.6800000006</v>
      </c>
      <c r="AX80" s="725"/>
      <c r="AY80" s="3"/>
      <c r="AZ80" s="3"/>
      <c r="BA80" s="4">
        <f t="shared" si="63"/>
        <v>0</v>
      </c>
      <c r="BB80" s="4"/>
      <c r="BC80" s="7"/>
      <c r="BD80" s="725"/>
      <c r="BE80" s="3"/>
      <c r="BF80" s="3"/>
      <c r="BG80" s="4">
        <f t="shared" si="64"/>
        <v>0</v>
      </c>
      <c r="BH80" s="4"/>
      <c r="BI80" s="7"/>
      <c r="BJ80" s="8"/>
      <c r="BK80" s="3"/>
      <c r="BL80" s="3"/>
      <c r="BM80" s="4">
        <f t="shared" si="65"/>
        <v>0</v>
      </c>
      <c r="BN80" s="4"/>
      <c r="BO80" s="7"/>
      <c r="BP80" s="725"/>
      <c r="BQ80" s="3"/>
      <c r="BR80" s="3"/>
      <c r="BS80" s="4">
        <f t="shared" si="66"/>
        <v>0</v>
      </c>
      <c r="BT80" s="4"/>
      <c r="BU80" s="7"/>
      <c r="BV80" s="725"/>
      <c r="BW80" s="3"/>
      <c r="BX80" s="3"/>
      <c r="BY80" s="4">
        <f t="shared" si="54"/>
        <v>0</v>
      </c>
      <c r="BZ80" s="4"/>
      <c r="CA80" s="7"/>
      <c r="CB80" s="725"/>
      <c r="CC80" s="3"/>
      <c r="CD80" s="3"/>
      <c r="CE80" s="4">
        <f t="shared" si="55"/>
        <v>0</v>
      </c>
      <c r="CF80" s="4"/>
      <c r="CG80" s="7"/>
      <c r="CH80" s="725"/>
      <c r="CI80" s="3"/>
      <c r="CJ80" s="3"/>
      <c r="CK80" s="4">
        <f t="shared" si="56"/>
        <v>0</v>
      </c>
      <c r="CL80" s="4"/>
      <c r="CM80" s="7"/>
      <c r="CN80" s="725">
        <v>190</v>
      </c>
      <c r="CO80" s="3">
        <v>0</v>
      </c>
      <c r="CP80" s="3">
        <v>215.17000000000002</v>
      </c>
      <c r="CQ80" s="4">
        <f t="shared" si="57"/>
        <v>215.17000000000002</v>
      </c>
      <c r="CR80" s="4">
        <v>424.1</v>
      </c>
      <c r="CS80" s="7">
        <v>5118570</v>
      </c>
    </row>
    <row r="81" spans="1:97" ht="16.5" x14ac:dyDescent="0.3">
      <c r="A81" s="709" t="s">
        <v>402</v>
      </c>
      <c r="B81" s="725"/>
      <c r="C81" s="3"/>
      <c r="D81" s="3"/>
      <c r="E81" s="4">
        <f t="shared" si="51"/>
        <v>0</v>
      </c>
      <c r="G81" s="7"/>
      <c r="H81" s="3">
        <v>0</v>
      </c>
      <c r="I81" s="3">
        <v>0</v>
      </c>
      <c r="J81" s="3">
        <v>286</v>
      </c>
      <c r="K81" s="4">
        <f t="shared" si="52"/>
        <v>286</v>
      </c>
      <c r="L81" s="4">
        <v>193.48</v>
      </c>
      <c r="M81" s="7">
        <v>3289142.9999999995</v>
      </c>
      <c r="N81" s="725">
        <v>0</v>
      </c>
      <c r="O81" s="3">
        <v>0</v>
      </c>
      <c r="P81" s="3">
        <v>215</v>
      </c>
      <c r="Q81" s="4">
        <f t="shared" si="59"/>
        <v>215</v>
      </c>
      <c r="R81" s="4">
        <v>163.48749999999998</v>
      </c>
      <c r="S81" s="7">
        <v>2452312.5</v>
      </c>
      <c r="T81" s="3">
        <v>0</v>
      </c>
      <c r="U81" s="3">
        <v>0</v>
      </c>
      <c r="V81" s="3">
        <v>3831.48</v>
      </c>
      <c r="W81" s="4">
        <f t="shared" si="60"/>
        <v>3831.48</v>
      </c>
      <c r="X81" s="4">
        <v>6932.9704399999991</v>
      </c>
      <c r="Y81" s="7">
        <v>97061586.159999982</v>
      </c>
      <c r="Z81" s="725">
        <v>0</v>
      </c>
      <c r="AA81" s="3">
        <v>0</v>
      </c>
      <c r="AB81" s="3">
        <v>2226</v>
      </c>
      <c r="AC81" s="4">
        <f t="shared" si="61"/>
        <v>2226</v>
      </c>
      <c r="AD81" s="4"/>
      <c r="AE81" s="7">
        <v>58295849.399999999</v>
      </c>
      <c r="AF81" s="725">
        <v>247</v>
      </c>
      <c r="AG81" s="3">
        <v>0</v>
      </c>
      <c r="AH81" s="3">
        <v>777.5</v>
      </c>
      <c r="AI81" s="4">
        <f t="shared" si="58"/>
        <v>777.5</v>
      </c>
      <c r="AJ81" s="4">
        <v>525.97874999999988</v>
      </c>
      <c r="AK81" s="7">
        <v>6837723.7499999981</v>
      </c>
      <c r="AL81" s="725"/>
      <c r="AM81" s="3"/>
      <c r="AN81" s="3"/>
      <c r="AO81" s="4">
        <f t="shared" si="62"/>
        <v>0</v>
      </c>
      <c r="AP81" s="4"/>
      <c r="AQ81" s="7"/>
      <c r="AR81" s="725">
        <v>259</v>
      </c>
      <c r="AS81" s="3">
        <v>3</v>
      </c>
      <c r="AT81" s="3">
        <v>374</v>
      </c>
      <c r="AU81" s="4">
        <f t="shared" si="53"/>
        <v>377</v>
      </c>
      <c r="AV81" s="4">
        <v>241.5</v>
      </c>
      <c r="AW81" s="7">
        <v>4415848.8</v>
      </c>
      <c r="AX81" s="725"/>
      <c r="AY81" s="3"/>
      <c r="AZ81" s="3"/>
      <c r="BA81" s="4">
        <f t="shared" si="63"/>
        <v>0</v>
      </c>
      <c r="BB81" s="4"/>
      <c r="BC81" s="7"/>
      <c r="BD81" s="725"/>
      <c r="BE81" s="3"/>
      <c r="BF81" s="3"/>
      <c r="BG81" s="4">
        <f t="shared" si="64"/>
        <v>0</v>
      </c>
      <c r="BH81" s="4"/>
      <c r="BI81" s="7"/>
      <c r="BJ81" s="8"/>
      <c r="BK81" s="3"/>
      <c r="BL81" s="3"/>
      <c r="BM81" s="4">
        <f t="shared" si="65"/>
        <v>0</v>
      </c>
      <c r="BN81" s="4"/>
      <c r="BO81" s="7"/>
      <c r="BP81" s="725"/>
      <c r="BQ81" s="3"/>
      <c r="BR81" s="3"/>
      <c r="BS81" s="4">
        <f t="shared" si="66"/>
        <v>0</v>
      </c>
      <c r="BT81" s="4"/>
      <c r="BU81" s="7"/>
      <c r="BV81" s="725">
        <v>78</v>
      </c>
      <c r="BW81" s="3">
        <v>0</v>
      </c>
      <c r="BX81" s="3">
        <v>153</v>
      </c>
      <c r="BY81" s="4">
        <f t="shared" si="54"/>
        <v>153</v>
      </c>
      <c r="BZ81" s="4">
        <v>168.3</v>
      </c>
      <c r="CA81" s="7">
        <v>2019600.0000000002</v>
      </c>
      <c r="CB81" s="725">
        <v>55</v>
      </c>
      <c r="CC81" s="3">
        <v>0</v>
      </c>
      <c r="CD81" s="3">
        <v>112</v>
      </c>
      <c r="CE81" s="4">
        <f t="shared" si="55"/>
        <v>112</v>
      </c>
      <c r="CF81" s="4">
        <v>49.280000000000008</v>
      </c>
      <c r="CG81" s="7">
        <v>591360.00000000012</v>
      </c>
      <c r="CH81" s="725">
        <v>78</v>
      </c>
      <c r="CI81" s="3">
        <v>0</v>
      </c>
      <c r="CJ81" s="3">
        <v>153</v>
      </c>
      <c r="CK81" s="4">
        <f t="shared" si="56"/>
        <v>153</v>
      </c>
      <c r="CL81" s="4">
        <v>168.3</v>
      </c>
      <c r="CM81" s="7">
        <v>2019600.0000000002</v>
      </c>
      <c r="CN81" s="725">
        <v>245</v>
      </c>
      <c r="CO81" s="3">
        <v>0</v>
      </c>
      <c r="CP81" s="3">
        <v>50</v>
      </c>
      <c r="CQ81" s="4">
        <f t="shared" si="57"/>
        <v>50</v>
      </c>
      <c r="CR81" s="4">
        <v>0</v>
      </c>
      <c r="CS81" s="7">
        <v>1283520</v>
      </c>
    </row>
    <row r="82" spans="1:97" ht="16.5" x14ac:dyDescent="0.3">
      <c r="A82" s="709" t="s">
        <v>403</v>
      </c>
      <c r="B82" s="725"/>
      <c r="C82" s="3"/>
      <c r="D82" s="3"/>
      <c r="E82" s="4">
        <f t="shared" si="51"/>
        <v>0</v>
      </c>
      <c r="G82" s="7"/>
      <c r="H82" s="3">
        <v>0</v>
      </c>
      <c r="I82" s="3">
        <v>0</v>
      </c>
      <c r="J82" s="3">
        <v>430</v>
      </c>
      <c r="K82" s="4">
        <f t="shared" si="52"/>
        <v>430</v>
      </c>
      <c r="L82" s="4">
        <v>775.72</v>
      </c>
      <c r="M82" s="7">
        <v>13187240</v>
      </c>
      <c r="N82" s="725">
        <v>0</v>
      </c>
      <c r="O82" s="3">
        <v>0</v>
      </c>
      <c r="P82" s="3">
        <v>680.1</v>
      </c>
      <c r="Q82" s="4">
        <f t="shared" si="59"/>
        <v>680.1</v>
      </c>
      <c r="R82" s="4">
        <v>359.52592499999997</v>
      </c>
      <c r="S82" s="7">
        <v>5392888.875</v>
      </c>
      <c r="T82" s="3">
        <v>0</v>
      </c>
      <c r="U82" s="3">
        <v>0</v>
      </c>
      <c r="V82" s="3">
        <v>743.44</v>
      </c>
      <c r="W82" s="4">
        <f t="shared" si="60"/>
        <v>743.44</v>
      </c>
      <c r="X82" s="4">
        <v>1050.9743199999998</v>
      </c>
      <c r="Y82" s="7">
        <v>15838640.479999997</v>
      </c>
      <c r="Z82" s="725">
        <v>0</v>
      </c>
      <c r="AA82" s="3">
        <v>0</v>
      </c>
      <c r="AB82" s="3">
        <v>335.5</v>
      </c>
      <c r="AC82" s="4">
        <f t="shared" si="61"/>
        <v>335.5</v>
      </c>
      <c r="AD82" s="4"/>
      <c r="AE82" s="7">
        <v>3324341</v>
      </c>
      <c r="AF82" s="725">
        <v>558</v>
      </c>
      <c r="AG82" s="3">
        <v>0</v>
      </c>
      <c r="AH82" s="3">
        <v>913.94</v>
      </c>
      <c r="AI82" s="4">
        <f t="shared" si="58"/>
        <v>913.94</v>
      </c>
      <c r="AJ82" s="4">
        <v>824.37387999999999</v>
      </c>
      <c r="AK82" s="7">
        <v>10772735.439999999</v>
      </c>
      <c r="AL82" s="725"/>
      <c r="AM82" s="3"/>
      <c r="AN82" s="3"/>
      <c r="AO82" s="4">
        <f t="shared" si="62"/>
        <v>0</v>
      </c>
      <c r="AP82" s="4"/>
      <c r="AQ82" s="7"/>
      <c r="AR82" s="725">
        <v>439</v>
      </c>
      <c r="AS82" s="3">
        <v>0</v>
      </c>
      <c r="AT82" s="3">
        <v>1892.3</v>
      </c>
      <c r="AU82" s="4">
        <f t="shared" si="53"/>
        <v>1892.3</v>
      </c>
      <c r="AV82" s="4">
        <v>1705.5500000000002</v>
      </c>
      <c r="AW82" s="7">
        <v>28994350.000000004</v>
      </c>
      <c r="AX82" s="725">
        <v>119</v>
      </c>
      <c r="AY82" s="3">
        <v>0</v>
      </c>
      <c r="AZ82" s="3">
        <v>167.75</v>
      </c>
      <c r="BA82" s="4">
        <f t="shared" si="63"/>
        <v>167.75</v>
      </c>
      <c r="BB82" s="4">
        <v>117.42500000000001</v>
      </c>
      <c r="BC82" s="7">
        <v>1996225.0000000002</v>
      </c>
      <c r="BD82" s="725"/>
      <c r="BE82" s="3"/>
      <c r="BF82" s="3"/>
      <c r="BG82" s="4">
        <f t="shared" si="64"/>
        <v>0</v>
      </c>
      <c r="BH82" s="4"/>
      <c r="BI82" s="7"/>
      <c r="BJ82" s="8"/>
      <c r="BK82" s="3"/>
      <c r="BL82" s="3"/>
      <c r="BM82" s="4">
        <f t="shared" si="65"/>
        <v>0</v>
      </c>
      <c r="BN82" s="4"/>
      <c r="BO82" s="7"/>
      <c r="BP82" s="725"/>
      <c r="BQ82" s="3"/>
      <c r="BR82" s="3"/>
      <c r="BS82" s="4">
        <f t="shared" si="66"/>
        <v>0</v>
      </c>
      <c r="BT82" s="4"/>
      <c r="BU82" s="7"/>
      <c r="BV82" s="725"/>
      <c r="BW82" s="3"/>
      <c r="BX82" s="3"/>
      <c r="BY82" s="4">
        <f t="shared" si="54"/>
        <v>0</v>
      </c>
      <c r="BZ82" s="4"/>
      <c r="CA82" s="7"/>
      <c r="CB82" s="725">
        <v>0</v>
      </c>
      <c r="CC82" s="3">
        <v>0</v>
      </c>
      <c r="CD82" s="3">
        <v>155.25</v>
      </c>
      <c r="CE82" s="4">
        <f t="shared" si="55"/>
        <v>155.25</v>
      </c>
      <c r="CF82" s="4">
        <v>55.125</v>
      </c>
      <c r="CG82" s="7">
        <v>1046019.6000000001</v>
      </c>
      <c r="CH82" s="725"/>
      <c r="CI82" s="3"/>
      <c r="CJ82" s="3"/>
      <c r="CK82" s="4">
        <f t="shared" si="56"/>
        <v>0</v>
      </c>
      <c r="CL82" s="4"/>
      <c r="CM82" s="7"/>
      <c r="CN82" s="725">
        <v>199</v>
      </c>
      <c r="CO82" s="3">
        <v>0</v>
      </c>
      <c r="CP82" s="3">
        <v>295.2</v>
      </c>
      <c r="CQ82" s="4">
        <f t="shared" si="57"/>
        <v>295.2</v>
      </c>
      <c r="CR82" s="4">
        <v>357.48999999999995</v>
      </c>
      <c r="CS82" s="7">
        <v>4298601.9999999991</v>
      </c>
    </row>
    <row r="83" spans="1:97" ht="16.5" x14ac:dyDescent="0.3">
      <c r="A83" s="709" t="s">
        <v>404</v>
      </c>
      <c r="B83" s="725"/>
      <c r="C83" s="3"/>
      <c r="D83" s="3"/>
      <c r="E83" s="4">
        <f t="shared" si="51"/>
        <v>0</v>
      </c>
      <c r="G83" s="7"/>
      <c r="H83" s="3">
        <v>0</v>
      </c>
      <c r="I83" s="3">
        <v>310</v>
      </c>
      <c r="J83" s="3">
        <v>1185.5</v>
      </c>
      <c r="K83" s="4">
        <f t="shared" si="52"/>
        <v>1495.5</v>
      </c>
      <c r="L83" s="4">
        <v>3002.0814999999998</v>
      </c>
      <c r="M83" s="7">
        <v>51035385.5</v>
      </c>
      <c r="N83" s="725"/>
      <c r="O83" s="3"/>
      <c r="P83" s="3"/>
      <c r="Q83" s="4">
        <f t="shared" si="59"/>
        <v>0</v>
      </c>
      <c r="R83" s="4"/>
      <c r="S83" s="7"/>
      <c r="T83" s="3">
        <v>0</v>
      </c>
      <c r="U83" s="3">
        <v>18</v>
      </c>
      <c r="V83" s="3">
        <v>6694.04</v>
      </c>
      <c r="W83" s="4">
        <f t="shared" si="60"/>
        <v>6712.04</v>
      </c>
      <c r="X83" s="4">
        <v>11101.419119999999</v>
      </c>
      <c r="Y83" s="7">
        <v>155872243.67999998</v>
      </c>
      <c r="Z83" s="725">
        <v>0</v>
      </c>
      <c r="AA83" s="3">
        <v>2450</v>
      </c>
      <c r="AB83" s="3">
        <v>0</v>
      </c>
      <c r="AC83" s="4">
        <f t="shared" si="61"/>
        <v>2450</v>
      </c>
      <c r="AD83" s="4"/>
      <c r="AE83" s="7">
        <v>87255240</v>
      </c>
      <c r="AF83" s="725">
        <v>1147</v>
      </c>
      <c r="AG83" s="3">
        <v>0</v>
      </c>
      <c r="AH83" s="3">
        <v>2567</v>
      </c>
      <c r="AI83" s="4">
        <f t="shared" si="58"/>
        <v>2567</v>
      </c>
      <c r="AJ83" s="4">
        <v>1736.5754999999999</v>
      </c>
      <c r="AK83" s="7">
        <v>22575481.5</v>
      </c>
      <c r="AL83" s="725"/>
      <c r="AM83" s="3"/>
      <c r="AN83" s="3"/>
      <c r="AO83" s="4">
        <f t="shared" si="62"/>
        <v>0</v>
      </c>
      <c r="AP83" s="4"/>
      <c r="AQ83" s="7"/>
      <c r="AR83" s="725">
        <v>247</v>
      </c>
      <c r="AS83" s="3">
        <v>0</v>
      </c>
      <c r="AT83" s="3">
        <v>494.5</v>
      </c>
      <c r="AU83" s="4">
        <f t="shared" si="53"/>
        <v>494.5</v>
      </c>
      <c r="AV83" s="4">
        <v>434.5</v>
      </c>
      <c r="AW83" s="7">
        <v>7386500</v>
      </c>
      <c r="AX83" s="725"/>
      <c r="AY83" s="3"/>
      <c r="AZ83" s="3"/>
      <c r="BA83" s="4">
        <f t="shared" si="63"/>
        <v>0</v>
      </c>
      <c r="BB83" s="4"/>
      <c r="BC83" s="7"/>
      <c r="BD83" s="725"/>
      <c r="BE83" s="3"/>
      <c r="BF83" s="3"/>
      <c r="BG83" s="4">
        <f t="shared" si="64"/>
        <v>0</v>
      </c>
      <c r="BH83" s="4"/>
      <c r="BI83" s="7"/>
      <c r="BJ83" s="8"/>
      <c r="BK83" s="3"/>
      <c r="BL83" s="3"/>
      <c r="BM83" s="4">
        <f t="shared" si="65"/>
        <v>0</v>
      </c>
      <c r="BN83" s="4"/>
      <c r="BO83" s="7"/>
      <c r="BP83" s="725"/>
      <c r="BQ83" s="3"/>
      <c r="BR83" s="3"/>
      <c r="BS83" s="4">
        <f t="shared" ref="BS83:BS88" si="67">SUM(BQ83:BR83)</f>
        <v>0</v>
      </c>
      <c r="BT83" s="4"/>
      <c r="BU83" s="7"/>
      <c r="BV83" s="725"/>
      <c r="BW83" s="3"/>
      <c r="BX83" s="3"/>
      <c r="BY83" s="4">
        <f t="shared" si="54"/>
        <v>0</v>
      </c>
      <c r="BZ83" s="4"/>
      <c r="CA83" s="7"/>
      <c r="CB83" s="725"/>
      <c r="CC83" s="3"/>
      <c r="CD83" s="3"/>
      <c r="CE83" s="4">
        <f t="shared" si="55"/>
        <v>0</v>
      </c>
      <c r="CF83" s="4"/>
      <c r="CG83" s="7"/>
      <c r="CH83" s="725"/>
      <c r="CI83" s="3"/>
      <c r="CJ83" s="3"/>
      <c r="CK83" s="4">
        <f t="shared" si="56"/>
        <v>0</v>
      </c>
      <c r="CL83" s="4"/>
      <c r="CM83" s="7"/>
      <c r="CN83" s="725">
        <v>216</v>
      </c>
      <c r="CO83" s="3">
        <v>0</v>
      </c>
      <c r="CP83" s="3">
        <v>0</v>
      </c>
      <c r="CQ83" s="4">
        <f t="shared" si="57"/>
        <v>0</v>
      </c>
      <c r="CR83" s="4">
        <v>0</v>
      </c>
      <c r="CS83" s="7">
        <v>4620525</v>
      </c>
    </row>
    <row r="84" spans="1:97" ht="16.5" x14ac:dyDescent="0.3">
      <c r="A84" s="709" t="s">
        <v>405</v>
      </c>
      <c r="B84" s="725"/>
      <c r="C84" s="3"/>
      <c r="D84" s="3"/>
      <c r="E84" s="4">
        <f t="shared" si="51"/>
        <v>0</v>
      </c>
      <c r="G84" s="7"/>
      <c r="H84" s="3">
        <v>0</v>
      </c>
      <c r="I84" s="3">
        <v>0</v>
      </c>
      <c r="J84" s="3">
        <v>915</v>
      </c>
      <c r="K84" s="4">
        <f t="shared" si="52"/>
        <v>915</v>
      </c>
      <c r="L84" s="4">
        <v>412.66499999999996</v>
      </c>
      <c r="M84" s="7">
        <v>7015304.9999999991</v>
      </c>
      <c r="N84" s="725">
        <v>0</v>
      </c>
      <c r="O84" s="3">
        <v>0</v>
      </c>
      <c r="P84" s="3">
        <v>733</v>
      </c>
      <c r="Q84" s="4">
        <f t="shared" si="59"/>
        <v>733</v>
      </c>
      <c r="R84" s="4">
        <v>830.255</v>
      </c>
      <c r="S84" s="7">
        <v>16605100</v>
      </c>
      <c r="T84" s="3">
        <v>0</v>
      </c>
      <c r="U84" s="3">
        <v>0</v>
      </c>
      <c r="V84" s="3">
        <v>4226.08</v>
      </c>
      <c r="W84" s="4">
        <f t="shared" si="60"/>
        <v>4226.08</v>
      </c>
      <c r="X84" s="4">
        <v>5144.6922999999997</v>
      </c>
      <c r="Y84" s="7">
        <v>72025692.200000003</v>
      </c>
      <c r="Z84" s="725">
        <v>0</v>
      </c>
      <c r="AA84" s="3">
        <v>0</v>
      </c>
      <c r="AB84" s="3">
        <v>350</v>
      </c>
      <c r="AC84" s="4">
        <f t="shared" si="61"/>
        <v>350</v>
      </c>
      <c r="AD84" s="4"/>
      <c r="AE84" s="7">
        <v>4797280</v>
      </c>
      <c r="AF84" s="725">
        <v>649</v>
      </c>
      <c r="AG84" s="3">
        <v>0</v>
      </c>
      <c r="AH84" s="3">
        <v>905</v>
      </c>
      <c r="AI84" s="4">
        <f t="shared" si="58"/>
        <v>905</v>
      </c>
      <c r="AJ84" s="4">
        <v>612.23249999999996</v>
      </c>
      <c r="AK84" s="7">
        <v>8346772.4999999991</v>
      </c>
      <c r="AL84" s="725"/>
      <c r="AM84" s="3"/>
      <c r="AN84" s="3"/>
      <c r="AO84" s="4">
        <f t="shared" si="62"/>
        <v>0</v>
      </c>
      <c r="AP84" s="4"/>
      <c r="AQ84" s="7"/>
      <c r="AR84" s="725">
        <v>938</v>
      </c>
      <c r="AS84" s="3">
        <v>0</v>
      </c>
      <c r="AT84" s="3">
        <v>2077</v>
      </c>
      <c r="AU84" s="4">
        <f t="shared" si="53"/>
        <v>2077</v>
      </c>
      <c r="AV84" s="4">
        <v>1038.5</v>
      </c>
      <c r="AW84" s="7">
        <v>17654500</v>
      </c>
      <c r="AX84" s="725"/>
      <c r="AY84" s="3"/>
      <c r="AZ84" s="3"/>
      <c r="BA84" s="4">
        <f t="shared" si="63"/>
        <v>0</v>
      </c>
      <c r="BB84" s="4"/>
      <c r="BC84" s="7"/>
      <c r="BD84" s="725"/>
      <c r="BE84" s="3"/>
      <c r="BF84" s="3"/>
      <c r="BG84" s="4">
        <f t="shared" si="64"/>
        <v>0</v>
      </c>
      <c r="BH84" s="4"/>
      <c r="BI84" s="7"/>
      <c r="BJ84" s="8"/>
      <c r="BK84" s="3"/>
      <c r="BL84" s="3"/>
      <c r="BM84" s="4">
        <f t="shared" si="65"/>
        <v>0</v>
      </c>
      <c r="BN84" s="4"/>
      <c r="BO84" s="7"/>
      <c r="BP84" s="725"/>
      <c r="BQ84" s="3"/>
      <c r="BR84" s="3"/>
      <c r="BS84" s="4">
        <f t="shared" si="67"/>
        <v>0</v>
      </c>
      <c r="BT84" s="4"/>
      <c r="BU84" s="7"/>
      <c r="BV84" s="725"/>
      <c r="BW84" s="3"/>
      <c r="BX84" s="3"/>
      <c r="BY84" s="4">
        <f t="shared" si="54"/>
        <v>0</v>
      </c>
      <c r="BZ84" s="4"/>
      <c r="CA84" s="7"/>
      <c r="CB84" s="725">
        <v>767</v>
      </c>
      <c r="CC84" s="3">
        <v>392</v>
      </c>
      <c r="CD84" s="3">
        <v>457.75</v>
      </c>
      <c r="CE84" s="4">
        <f t="shared" si="55"/>
        <v>849.75</v>
      </c>
      <c r="CF84" s="4">
        <v>46.25</v>
      </c>
      <c r="CG84" s="7">
        <v>12169517.6</v>
      </c>
      <c r="CH84" s="725"/>
      <c r="CI84" s="3"/>
      <c r="CJ84" s="3"/>
      <c r="CK84" s="4">
        <f t="shared" si="56"/>
        <v>0</v>
      </c>
      <c r="CL84" s="4"/>
      <c r="CM84" s="7"/>
      <c r="CN84" s="725">
        <v>239</v>
      </c>
      <c r="CO84" s="3">
        <v>0</v>
      </c>
      <c r="CP84" s="3">
        <v>750</v>
      </c>
      <c r="CQ84" s="4">
        <f t="shared" si="57"/>
        <v>750</v>
      </c>
      <c r="CR84" s="4">
        <v>450</v>
      </c>
      <c r="CS84" s="7">
        <v>5400000</v>
      </c>
    </row>
    <row r="85" spans="1:97" ht="16.5" x14ac:dyDescent="0.3">
      <c r="A85" s="709" t="s">
        <v>406</v>
      </c>
      <c r="B85" s="725"/>
      <c r="C85" s="3"/>
      <c r="D85" s="3"/>
      <c r="E85" s="4">
        <f t="shared" si="51"/>
        <v>0</v>
      </c>
      <c r="G85" s="7"/>
      <c r="H85" s="3">
        <v>0</v>
      </c>
      <c r="I85" s="3">
        <v>0</v>
      </c>
      <c r="J85" s="3">
        <v>243.1</v>
      </c>
      <c r="K85" s="4">
        <f t="shared" si="52"/>
        <v>243.1</v>
      </c>
      <c r="L85" s="4">
        <v>106.25334499999998</v>
      </c>
      <c r="M85" s="7">
        <v>1885398.8649999998</v>
      </c>
      <c r="N85" s="725">
        <v>0</v>
      </c>
      <c r="O85" s="3">
        <v>0</v>
      </c>
      <c r="P85" s="3">
        <v>1025</v>
      </c>
      <c r="Q85" s="4">
        <f t="shared" si="59"/>
        <v>1025</v>
      </c>
      <c r="R85" s="4">
        <v>1021.064</v>
      </c>
      <c r="S85" s="7">
        <v>15315960</v>
      </c>
      <c r="T85" s="3">
        <v>0</v>
      </c>
      <c r="U85" s="3">
        <v>0</v>
      </c>
      <c r="V85" s="3">
        <v>7193.69</v>
      </c>
      <c r="W85" s="4">
        <f t="shared" si="60"/>
        <v>7193.69</v>
      </c>
      <c r="X85" s="4">
        <v>12977.41676</v>
      </c>
      <c r="Y85" s="7">
        <v>181683834.64000002</v>
      </c>
      <c r="Z85" s="725">
        <v>0</v>
      </c>
      <c r="AA85" s="3">
        <v>0</v>
      </c>
      <c r="AB85" s="3">
        <v>349</v>
      </c>
      <c r="AC85" s="4">
        <f t="shared" si="61"/>
        <v>349</v>
      </c>
      <c r="AD85" s="4"/>
      <c r="AE85" s="7">
        <v>1754213.6</v>
      </c>
      <c r="AF85" s="725">
        <v>1106</v>
      </c>
      <c r="AG85" s="3">
        <v>0</v>
      </c>
      <c r="AH85" s="3">
        <v>1740</v>
      </c>
      <c r="AI85" s="4">
        <f t="shared" si="58"/>
        <v>1740</v>
      </c>
      <c r="AJ85" s="4">
        <v>1177.1099999999999</v>
      </c>
      <c r="AK85" s="7">
        <v>15302429.999999998</v>
      </c>
      <c r="AL85" s="725"/>
      <c r="AM85" s="3"/>
      <c r="AN85" s="3"/>
      <c r="AO85" s="4">
        <f t="shared" si="62"/>
        <v>0</v>
      </c>
      <c r="AP85" s="4"/>
      <c r="AQ85" s="7"/>
      <c r="AR85" s="725">
        <v>677</v>
      </c>
      <c r="AS85" s="3">
        <v>0</v>
      </c>
      <c r="AT85" s="3">
        <v>572.76</v>
      </c>
      <c r="AU85" s="4">
        <f t="shared" si="53"/>
        <v>572.76</v>
      </c>
      <c r="AV85" s="4">
        <v>525.26</v>
      </c>
      <c r="AW85" s="7">
        <v>8929420</v>
      </c>
      <c r="AX85" s="725">
        <v>288</v>
      </c>
      <c r="AY85" s="3">
        <v>0</v>
      </c>
      <c r="AZ85" s="3">
        <v>478</v>
      </c>
      <c r="BA85" s="4">
        <f t="shared" si="63"/>
        <v>478</v>
      </c>
      <c r="BB85" s="4">
        <v>358.5</v>
      </c>
      <c r="BC85" s="7">
        <v>6094500</v>
      </c>
      <c r="BD85" s="725"/>
      <c r="BE85" s="3"/>
      <c r="BF85" s="3"/>
      <c r="BG85" s="4">
        <f t="shared" si="64"/>
        <v>0</v>
      </c>
      <c r="BH85" s="4"/>
      <c r="BI85" s="7"/>
      <c r="BJ85" s="8"/>
      <c r="BK85" s="3"/>
      <c r="BL85" s="3"/>
      <c r="BM85" s="4">
        <f t="shared" si="65"/>
        <v>0</v>
      </c>
      <c r="BN85" s="4"/>
      <c r="BO85" s="7"/>
      <c r="BP85" s="725"/>
      <c r="BQ85" s="3"/>
      <c r="BR85" s="3"/>
      <c r="BS85" s="4">
        <f t="shared" si="67"/>
        <v>0</v>
      </c>
      <c r="BT85" s="4"/>
      <c r="BU85" s="7"/>
      <c r="BV85" s="725">
        <v>95</v>
      </c>
      <c r="BW85" s="3">
        <v>0</v>
      </c>
      <c r="BX85" s="3">
        <v>182</v>
      </c>
      <c r="BY85" s="4">
        <f t="shared" si="54"/>
        <v>182</v>
      </c>
      <c r="BZ85" s="4">
        <v>150.15</v>
      </c>
      <c r="CA85" s="7">
        <v>1801800</v>
      </c>
      <c r="CB85" s="725">
        <v>172</v>
      </c>
      <c r="CC85" s="3">
        <v>0</v>
      </c>
      <c r="CD85" s="3">
        <v>361</v>
      </c>
      <c r="CE85" s="4">
        <f t="shared" si="55"/>
        <v>361</v>
      </c>
      <c r="CF85" s="4">
        <v>3560</v>
      </c>
      <c r="CG85" s="7">
        <v>42720000</v>
      </c>
      <c r="CH85" s="725">
        <v>95</v>
      </c>
      <c r="CI85" s="3">
        <v>0</v>
      </c>
      <c r="CJ85" s="3">
        <v>182</v>
      </c>
      <c r="CK85" s="4">
        <f t="shared" si="56"/>
        <v>182</v>
      </c>
      <c r="CL85" s="4">
        <v>150.15</v>
      </c>
      <c r="CM85" s="7">
        <v>1801800</v>
      </c>
      <c r="CN85" s="725">
        <v>260</v>
      </c>
      <c r="CO85" s="3">
        <v>0</v>
      </c>
      <c r="CP85" s="3">
        <v>465</v>
      </c>
      <c r="CQ85" s="4">
        <f t="shared" si="57"/>
        <v>465</v>
      </c>
      <c r="CR85" s="4">
        <v>255.6</v>
      </c>
      <c r="CS85" s="7">
        <v>3739622.3999999994</v>
      </c>
    </row>
    <row r="86" spans="1:97" ht="16.5" x14ac:dyDescent="0.3">
      <c r="A86" s="709" t="s">
        <v>407</v>
      </c>
      <c r="B86" s="725"/>
      <c r="C86" s="3"/>
      <c r="D86" s="3"/>
      <c r="E86" s="4">
        <f t="shared" si="51"/>
        <v>0</v>
      </c>
      <c r="G86" s="7"/>
      <c r="H86" s="3">
        <v>0</v>
      </c>
      <c r="I86" s="3">
        <v>0</v>
      </c>
      <c r="J86" s="3">
        <v>371</v>
      </c>
      <c r="K86" s="4">
        <f t="shared" si="52"/>
        <v>371</v>
      </c>
      <c r="L86" s="4">
        <v>167.321</v>
      </c>
      <c r="M86" s="7">
        <v>2844457</v>
      </c>
      <c r="N86" s="725">
        <v>0</v>
      </c>
      <c r="O86" s="3">
        <v>0</v>
      </c>
      <c r="P86" s="3">
        <v>1706.2</v>
      </c>
      <c r="Q86" s="4">
        <f t="shared" si="59"/>
        <v>1706.2</v>
      </c>
      <c r="R86" s="4">
        <v>1833.5404999999998</v>
      </c>
      <c r="S86" s="7">
        <v>27503107.5</v>
      </c>
      <c r="T86" s="3">
        <v>0</v>
      </c>
      <c r="U86" s="3">
        <v>0</v>
      </c>
      <c r="V86" s="3">
        <v>2772.1000000000004</v>
      </c>
      <c r="W86" s="4">
        <f t="shared" si="60"/>
        <v>2772.1000000000004</v>
      </c>
      <c r="X86" s="4">
        <v>5025.8086999999996</v>
      </c>
      <c r="Y86" s="7">
        <v>70361321.800000012</v>
      </c>
      <c r="Z86" s="725">
        <v>0</v>
      </c>
      <c r="AA86" s="3">
        <v>0</v>
      </c>
      <c r="AB86" s="3">
        <v>150.19999999999999</v>
      </c>
      <c r="AC86" s="4">
        <f t="shared" si="61"/>
        <v>150.19999999999999</v>
      </c>
      <c r="AD86" s="4"/>
      <c r="AE86" s="7">
        <v>437262.24</v>
      </c>
      <c r="AF86" s="725">
        <v>908</v>
      </c>
      <c r="AG86" s="3">
        <v>0</v>
      </c>
      <c r="AH86" s="3">
        <v>2411.2000000000003</v>
      </c>
      <c r="AI86" s="4">
        <f t="shared" si="58"/>
        <v>2411.2000000000003</v>
      </c>
      <c r="AJ86" s="4">
        <v>2627.1651999999999</v>
      </c>
      <c r="AK86" s="7">
        <v>34153147.600000001</v>
      </c>
      <c r="AL86" s="725"/>
      <c r="AM86" s="3"/>
      <c r="AN86" s="3"/>
      <c r="AO86" s="4">
        <f t="shared" si="62"/>
        <v>0</v>
      </c>
      <c r="AP86" s="4"/>
      <c r="AQ86" s="7"/>
      <c r="AR86" s="725">
        <v>650</v>
      </c>
      <c r="AS86" s="3">
        <v>0</v>
      </c>
      <c r="AT86" s="3">
        <v>1622</v>
      </c>
      <c r="AU86" s="4">
        <f t="shared" si="53"/>
        <v>1622</v>
      </c>
      <c r="AV86" s="4">
        <v>1201.75</v>
      </c>
      <c r="AW86" s="7">
        <v>20429750</v>
      </c>
      <c r="AX86" s="725">
        <v>226</v>
      </c>
      <c r="AY86" s="3">
        <v>0</v>
      </c>
      <c r="AZ86" s="3">
        <v>629</v>
      </c>
      <c r="BA86" s="4">
        <f t="shared" si="63"/>
        <v>629</v>
      </c>
      <c r="BB86" s="4">
        <v>289.33999999999997</v>
      </c>
      <c r="BC86" s="7">
        <v>4918780</v>
      </c>
      <c r="BD86" s="725"/>
      <c r="BE86" s="3"/>
      <c r="BF86" s="3"/>
      <c r="BG86" s="4">
        <f t="shared" si="64"/>
        <v>0</v>
      </c>
      <c r="BH86" s="4"/>
      <c r="BI86" s="7"/>
      <c r="BJ86" s="8"/>
      <c r="BK86" s="3"/>
      <c r="BL86" s="3"/>
      <c r="BM86" s="4">
        <f t="shared" si="65"/>
        <v>0</v>
      </c>
      <c r="BN86" s="4"/>
      <c r="BO86" s="7"/>
      <c r="BP86" s="725"/>
      <c r="BQ86" s="3"/>
      <c r="BR86" s="3"/>
      <c r="BS86" s="4">
        <f t="shared" si="67"/>
        <v>0</v>
      </c>
      <c r="BT86" s="4"/>
      <c r="BU86" s="7"/>
      <c r="BV86" s="725">
        <v>188</v>
      </c>
      <c r="BW86" s="3">
        <v>0</v>
      </c>
      <c r="BX86" s="3">
        <v>435.5</v>
      </c>
      <c r="BY86" s="4">
        <f t="shared" si="54"/>
        <v>435.5</v>
      </c>
      <c r="BZ86" s="4">
        <v>331.83499999999998</v>
      </c>
      <c r="CA86" s="7">
        <v>3982020</v>
      </c>
      <c r="CB86" s="725"/>
      <c r="CC86" s="3"/>
      <c r="CD86" s="3"/>
      <c r="CE86" s="4">
        <f t="shared" si="55"/>
        <v>0</v>
      </c>
      <c r="CF86" s="4"/>
      <c r="CG86" s="7"/>
      <c r="CH86" s="725">
        <v>188</v>
      </c>
      <c r="CI86" s="3">
        <v>0</v>
      </c>
      <c r="CJ86" s="3">
        <v>435.5</v>
      </c>
      <c r="CK86" s="4">
        <f t="shared" si="56"/>
        <v>435.5</v>
      </c>
      <c r="CL86" s="4">
        <v>331.83499999999998</v>
      </c>
      <c r="CM86" s="7">
        <v>3982020</v>
      </c>
      <c r="CN86" s="725">
        <v>275</v>
      </c>
      <c r="CO86" s="3">
        <v>0</v>
      </c>
      <c r="CP86" s="3">
        <v>636</v>
      </c>
      <c r="CQ86" s="4">
        <f t="shared" si="57"/>
        <v>636</v>
      </c>
      <c r="CR86" s="4">
        <v>763.19999999999993</v>
      </c>
      <c r="CS86" s="7">
        <v>9158400</v>
      </c>
    </row>
    <row r="87" spans="1:97" ht="16.5" x14ac:dyDescent="0.3">
      <c r="A87" s="709" t="s">
        <v>408</v>
      </c>
      <c r="B87" s="725"/>
      <c r="C87" s="3"/>
      <c r="D87" s="3"/>
      <c r="E87" s="4">
        <f t="shared" si="51"/>
        <v>0</v>
      </c>
      <c r="G87" s="7"/>
      <c r="H87" s="3">
        <v>0</v>
      </c>
      <c r="I87" s="3">
        <v>0</v>
      </c>
      <c r="J87" s="3">
        <v>423</v>
      </c>
      <c r="K87" s="4">
        <f t="shared" si="52"/>
        <v>423</v>
      </c>
      <c r="L87" s="4">
        <v>190.77300000000002</v>
      </c>
      <c r="M87" s="7">
        <v>3243141.0000000005</v>
      </c>
      <c r="N87" s="725">
        <v>0</v>
      </c>
      <c r="O87" s="3">
        <v>0</v>
      </c>
      <c r="P87" s="3">
        <v>930</v>
      </c>
      <c r="Q87" s="4">
        <f t="shared" si="59"/>
        <v>930</v>
      </c>
      <c r="R87" s="4">
        <v>629.21849999999995</v>
      </c>
      <c r="S87" s="7">
        <v>9438277.5</v>
      </c>
      <c r="T87" s="3">
        <v>0</v>
      </c>
      <c r="U87" s="3">
        <v>400</v>
      </c>
      <c r="V87" s="3">
        <v>5463.6399999999994</v>
      </c>
      <c r="W87" s="4">
        <f t="shared" si="60"/>
        <v>5863.6399999999994</v>
      </c>
      <c r="X87" s="4">
        <v>10247.13492</v>
      </c>
      <c r="Y87" s="7">
        <v>143836868.88</v>
      </c>
      <c r="Z87" s="725"/>
      <c r="AA87" s="3"/>
      <c r="AB87" s="3"/>
      <c r="AC87" s="4">
        <f t="shared" si="61"/>
        <v>0</v>
      </c>
      <c r="AD87" s="4"/>
      <c r="AE87" s="7">
        <v>5827500</v>
      </c>
      <c r="AF87" s="725">
        <v>940</v>
      </c>
      <c r="AG87" s="3">
        <v>0</v>
      </c>
      <c r="AH87" s="3">
        <v>1725.5</v>
      </c>
      <c r="AI87" s="4">
        <f t="shared" si="58"/>
        <v>1725.5</v>
      </c>
      <c r="AJ87" s="4">
        <v>1167.3007499999999</v>
      </c>
      <c r="AK87" s="7">
        <v>15174909.749999998</v>
      </c>
      <c r="AL87" s="725"/>
      <c r="AM87" s="3"/>
      <c r="AN87" s="3"/>
      <c r="AO87" s="4">
        <f t="shared" si="62"/>
        <v>0</v>
      </c>
      <c r="AP87" s="4"/>
      <c r="AQ87" s="7"/>
      <c r="AR87" s="725">
        <v>323</v>
      </c>
      <c r="AS87" s="3">
        <v>0</v>
      </c>
      <c r="AT87" s="3">
        <v>447.5</v>
      </c>
      <c r="AU87" s="4">
        <f t="shared" si="53"/>
        <v>447.5</v>
      </c>
      <c r="AV87" s="4">
        <v>446.5</v>
      </c>
      <c r="AW87" s="7">
        <v>7596247.2000000002</v>
      </c>
      <c r="AX87" s="725">
        <v>1263</v>
      </c>
      <c r="AY87" s="3">
        <v>0</v>
      </c>
      <c r="AZ87" s="3">
        <v>2337</v>
      </c>
      <c r="BA87" s="4">
        <f t="shared" si="63"/>
        <v>2337</v>
      </c>
      <c r="BB87" s="4">
        <v>1752.75</v>
      </c>
      <c r="BC87" s="7">
        <v>29796750</v>
      </c>
      <c r="BD87" s="725"/>
      <c r="BE87" s="3"/>
      <c r="BF87" s="3"/>
      <c r="BG87" s="4">
        <f t="shared" si="64"/>
        <v>0</v>
      </c>
      <c r="BH87" s="4"/>
      <c r="BI87" s="7"/>
      <c r="BJ87" s="8"/>
      <c r="BK87" s="3"/>
      <c r="BL87" s="3"/>
      <c r="BM87" s="4">
        <f t="shared" si="65"/>
        <v>0</v>
      </c>
      <c r="BN87" s="4"/>
      <c r="BO87" s="7"/>
      <c r="BP87" s="725"/>
      <c r="BQ87" s="3"/>
      <c r="BR87" s="3"/>
      <c r="BS87" s="4">
        <f t="shared" si="67"/>
        <v>0</v>
      </c>
      <c r="BT87" s="4"/>
      <c r="BU87" s="7"/>
      <c r="BV87" s="725">
        <v>225</v>
      </c>
      <c r="BW87" s="3">
        <v>0</v>
      </c>
      <c r="BX87" s="3">
        <v>330</v>
      </c>
      <c r="BY87" s="4">
        <f t="shared" si="54"/>
        <v>330</v>
      </c>
      <c r="BZ87" s="4">
        <v>153.10000000000002</v>
      </c>
      <c r="CA87" s="7">
        <v>1837200</v>
      </c>
      <c r="CB87" s="725">
        <v>247</v>
      </c>
      <c r="CC87" s="3">
        <v>0</v>
      </c>
      <c r="CD87" s="3">
        <v>459.5</v>
      </c>
      <c r="CE87" s="4">
        <f t="shared" si="55"/>
        <v>459.5</v>
      </c>
      <c r="CF87" s="4">
        <v>413.55</v>
      </c>
      <c r="CG87" s="7">
        <v>4962600</v>
      </c>
      <c r="CH87" s="725">
        <v>225</v>
      </c>
      <c r="CI87" s="3">
        <v>0</v>
      </c>
      <c r="CJ87" s="3">
        <v>330</v>
      </c>
      <c r="CK87" s="4">
        <f t="shared" si="56"/>
        <v>330</v>
      </c>
      <c r="CL87" s="4">
        <v>153.10000000000002</v>
      </c>
      <c r="CM87" s="7">
        <v>1837200</v>
      </c>
      <c r="CN87" s="725">
        <v>166</v>
      </c>
      <c r="CO87" s="3">
        <v>0</v>
      </c>
      <c r="CP87" s="3">
        <v>0</v>
      </c>
      <c r="CQ87" s="4">
        <f t="shared" si="57"/>
        <v>0</v>
      </c>
      <c r="CR87" s="4">
        <v>0</v>
      </c>
      <c r="CS87" s="7">
        <v>565897.6</v>
      </c>
    </row>
    <row r="88" spans="1:97" ht="16.5" x14ac:dyDescent="0.3">
      <c r="A88" s="709" t="s">
        <v>409</v>
      </c>
      <c r="B88" s="725"/>
      <c r="C88" s="3"/>
      <c r="D88" s="3"/>
      <c r="E88" s="4">
        <f t="shared" si="51"/>
        <v>0</v>
      </c>
      <c r="G88" s="7"/>
      <c r="H88" s="3">
        <v>0</v>
      </c>
      <c r="I88" s="3">
        <v>0</v>
      </c>
      <c r="J88" s="3">
        <v>382</v>
      </c>
      <c r="K88" s="4">
        <f t="shared" si="52"/>
        <v>382</v>
      </c>
      <c r="L88" s="4">
        <v>61.336000000000006</v>
      </c>
      <c r="M88" s="7">
        <v>1375304</v>
      </c>
      <c r="N88" s="725"/>
      <c r="O88" s="3"/>
      <c r="P88" s="3">
        <v>293.7</v>
      </c>
      <c r="Q88" s="4">
        <f t="shared" si="59"/>
        <v>293.7</v>
      </c>
      <c r="R88" s="4">
        <v>198.68805</v>
      </c>
      <c r="S88" s="7">
        <v>2980320.75</v>
      </c>
      <c r="T88" s="3">
        <v>0</v>
      </c>
      <c r="U88" s="3">
        <v>0</v>
      </c>
      <c r="V88" s="3">
        <v>2987.9</v>
      </c>
      <c r="W88" s="4">
        <f t="shared" si="60"/>
        <v>2987.9</v>
      </c>
      <c r="X88" s="4">
        <v>2173.2336999999998</v>
      </c>
      <c r="Y88" s="7">
        <v>47875150.327999994</v>
      </c>
      <c r="Z88" s="725"/>
      <c r="AA88" s="3"/>
      <c r="AB88" s="3"/>
      <c r="AC88" s="4">
        <f t="shared" si="61"/>
        <v>0</v>
      </c>
      <c r="AD88" s="4"/>
      <c r="AE88" s="7"/>
      <c r="AF88" s="725">
        <v>760</v>
      </c>
      <c r="AG88" s="3">
        <v>0</v>
      </c>
      <c r="AH88" s="3">
        <v>1047.5</v>
      </c>
      <c r="AI88" s="4">
        <f t="shared" si="58"/>
        <v>1047.5</v>
      </c>
      <c r="AJ88" s="4">
        <v>1015.08825</v>
      </c>
      <c r="AK88" s="7">
        <v>13196147.25</v>
      </c>
      <c r="AL88" s="725"/>
      <c r="AM88" s="3"/>
      <c r="AN88" s="3"/>
      <c r="AO88" s="4">
        <f t="shared" si="62"/>
        <v>0</v>
      </c>
      <c r="AP88" s="4"/>
      <c r="AQ88" s="7"/>
      <c r="AR88" s="725">
        <v>20</v>
      </c>
      <c r="AS88" s="3">
        <v>0</v>
      </c>
      <c r="AT88" s="3">
        <v>62.5</v>
      </c>
      <c r="AU88" s="4">
        <f t="shared" si="53"/>
        <v>62.5</v>
      </c>
      <c r="AV88" s="4">
        <v>31</v>
      </c>
      <c r="AW88" s="7">
        <v>617518.4</v>
      </c>
      <c r="AX88" s="725">
        <v>618</v>
      </c>
      <c r="AY88" s="3">
        <v>0</v>
      </c>
      <c r="AZ88" s="3">
        <v>1448</v>
      </c>
      <c r="BA88" s="4">
        <f t="shared" si="63"/>
        <v>1448</v>
      </c>
      <c r="BB88" s="4">
        <v>1245.28</v>
      </c>
      <c r="BC88" s="7">
        <v>21169760</v>
      </c>
      <c r="BD88" s="725"/>
      <c r="BE88" s="3"/>
      <c r="BF88" s="3"/>
      <c r="BG88" s="4">
        <f t="shared" si="64"/>
        <v>0</v>
      </c>
      <c r="BH88" s="4"/>
      <c r="BI88" s="7"/>
      <c r="BJ88" s="8"/>
      <c r="BK88" s="3"/>
      <c r="BL88" s="3"/>
      <c r="BM88" s="4">
        <f t="shared" si="65"/>
        <v>0</v>
      </c>
      <c r="BN88" s="4"/>
      <c r="BO88" s="7"/>
      <c r="BP88" s="725"/>
      <c r="BQ88" s="3"/>
      <c r="BR88" s="3"/>
      <c r="BS88" s="4">
        <f t="shared" si="67"/>
        <v>0</v>
      </c>
      <c r="BT88" s="4"/>
      <c r="BU88" s="7"/>
      <c r="BV88" s="725">
        <v>177</v>
      </c>
      <c r="BW88" s="3">
        <v>0</v>
      </c>
      <c r="BX88" s="3">
        <v>358.05</v>
      </c>
      <c r="BY88" s="4">
        <f t="shared" si="54"/>
        <v>358.05</v>
      </c>
      <c r="BZ88" s="4">
        <v>151.84124999999997</v>
      </c>
      <c r="CA88" s="7">
        <v>2578074.6</v>
      </c>
      <c r="CB88" s="725">
        <v>348</v>
      </c>
      <c r="CC88" s="3">
        <v>0</v>
      </c>
      <c r="CD88" s="3">
        <v>691.9</v>
      </c>
      <c r="CE88" s="4">
        <f t="shared" si="55"/>
        <v>691.9</v>
      </c>
      <c r="CF88" s="4">
        <v>485.71379999999988</v>
      </c>
      <c r="CG88" s="7">
        <v>5828565.5999999996</v>
      </c>
      <c r="CH88" s="725">
        <v>177</v>
      </c>
      <c r="CI88" s="3">
        <v>0</v>
      </c>
      <c r="CJ88" s="3">
        <v>358.05</v>
      </c>
      <c r="CK88" s="4">
        <f t="shared" si="56"/>
        <v>358.05</v>
      </c>
      <c r="CL88" s="4">
        <v>151.84124999999997</v>
      </c>
      <c r="CM88" s="7">
        <v>2578074.6</v>
      </c>
      <c r="CN88" s="725">
        <v>1303</v>
      </c>
      <c r="CO88" s="3">
        <v>0</v>
      </c>
      <c r="CP88" s="3">
        <v>1542.3</v>
      </c>
      <c r="CQ88" s="4">
        <f t="shared" si="57"/>
        <v>1542.3</v>
      </c>
      <c r="CR88" s="4">
        <v>3701.5199999999995</v>
      </c>
      <c r="CS88" s="7">
        <v>44418240</v>
      </c>
    </row>
    <row r="89" spans="1:97" s="719" customFormat="1" ht="16.5" x14ac:dyDescent="0.3">
      <c r="A89" s="714" t="s">
        <v>333</v>
      </c>
      <c r="B89" s="726">
        <f t="shared" ref="B89:R89" si="68">SUM(B90:B109)</f>
        <v>293</v>
      </c>
      <c r="C89" s="722">
        <f t="shared" si="68"/>
        <v>0</v>
      </c>
      <c r="D89" s="722">
        <f t="shared" si="68"/>
        <v>338.70000000000005</v>
      </c>
      <c r="E89" s="717">
        <f t="shared" si="68"/>
        <v>338.70000000000005</v>
      </c>
      <c r="F89" s="717">
        <f t="shared" si="68"/>
        <v>232.43</v>
      </c>
      <c r="G89" s="718">
        <f t="shared" si="68"/>
        <v>3975482.5</v>
      </c>
      <c r="H89" s="726">
        <f t="shared" si="68"/>
        <v>3447</v>
      </c>
      <c r="I89" s="722">
        <f t="shared" si="68"/>
        <v>3419.6800000000003</v>
      </c>
      <c r="J89" s="722">
        <f t="shared" si="68"/>
        <v>2367.6999999999998</v>
      </c>
      <c r="K89" s="717">
        <f t="shared" si="68"/>
        <v>5787.380000000001</v>
      </c>
      <c r="L89" s="717">
        <f t="shared" si="68"/>
        <v>3720.2799999999997</v>
      </c>
      <c r="M89" s="718">
        <f t="shared" si="68"/>
        <v>142300621.07499999</v>
      </c>
      <c r="N89" s="726">
        <f t="shared" si="68"/>
        <v>1367</v>
      </c>
      <c r="O89" s="722">
        <f t="shared" si="68"/>
        <v>770.5</v>
      </c>
      <c r="P89" s="722">
        <f t="shared" si="68"/>
        <v>840.6</v>
      </c>
      <c r="Q89" s="717">
        <f t="shared" si="68"/>
        <v>1611.1</v>
      </c>
      <c r="R89" s="717">
        <f t="shared" si="68"/>
        <v>1977.25</v>
      </c>
      <c r="S89" s="718">
        <f t="shared" ref="S89:X89" si="69">SUM(S90:S109)</f>
        <v>44147372.799999997</v>
      </c>
      <c r="T89" s="726">
        <f t="shared" si="69"/>
        <v>12441</v>
      </c>
      <c r="U89" s="722">
        <f t="shared" si="69"/>
        <v>11055.34</v>
      </c>
      <c r="V89" s="722">
        <f t="shared" si="69"/>
        <v>7894.73</v>
      </c>
      <c r="W89" s="717">
        <f t="shared" si="69"/>
        <v>18950.07</v>
      </c>
      <c r="X89" s="717">
        <f t="shared" si="69"/>
        <v>26445.734349999999</v>
      </c>
      <c r="Y89" s="718">
        <f t="shared" ref="Y89:AK89" si="70">SUM(Y90:Y109)</f>
        <v>466558459.07999998</v>
      </c>
      <c r="Z89" s="726">
        <f t="shared" si="70"/>
        <v>7600</v>
      </c>
      <c r="AA89" s="722">
        <f t="shared" si="70"/>
        <v>14661.63</v>
      </c>
      <c r="AB89" s="722">
        <f t="shared" si="70"/>
        <v>578.85000000000014</v>
      </c>
      <c r="AC89" s="717">
        <f t="shared" si="70"/>
        <v>15240.48</v>
      </c>
      <c r="AD89" s="717">
        <f t="shared" si="70"/>
        <v>676.37600000000009</v>
      </c>
      <c r="AE89" s="718">
        <f t="shared" si="70"/>
        <v>419811443.19999999</v>
      </c>
      <c r="AF89" s="726">
        <f t="shared" si="70"/>
        <v>4454</v>
      </c>
      <c r="AG89" s="722">
        <f t="shared" si="70"/>
        <v>1690.5500000000002</v>
      </c>
      <c r="AH89" s="722">
        <f t="shared" si="70"/>
        <v>4837.7800000000007</v>
      </c>
      <c r="AI89" s="722">
        <f t="shared" si="70"/>
        <v>6528.33</v>
      </c>
      <c r="AJ89" s="717">
        <f t="shared" si="70"/>
        <v>4137.5250000000005</v>
      </c>
      <c r="AK89" s="718">
        <f t="shared" si="70"/>
        <v>98161100.359999999</v>
      </c>
      <c r="AL89" s="726">
        <f t="shared" ref="AL89:BC89" si="71">SUM(AL90:AL109)</f>
        <v>787</v>
      </c>
      <c r="AM89" s="722">
        <f t="shared" si="71"/>
        <v>109.8</v>
      </c>
      <c r="AN89" s="722">
        <f t="shared" si="71"/>
        <v>1653.4699999999998</v>
      </c>
      <c r="AO89" s="717">
        <f t="shared" si="71"/>
        <v>1763.27</v>
      </c>
      <c r="AP89" s="717">
        <f t="shared" si="71"/>
        <v>4791.6868749999994</v>
      </c>
      <c r="AQ89" s="718">
        <f t="shared" si="71"/>
        <v>86418126.629999995</v>
      </c>
      <c r="AR89" s="726">
        <f t="shared" si="71"/>
        <v>4395</v>
      </c>
      <c r="AS89" s="722">
        <f t="shared" si="71"/>
        <v>2155.6999999999998</v>
      </c>
      <c r="AT89" s="722">
        <f t="shared" si="71"/>
        <v>4796.53</v>
      </c>
      <c r="AU89" s="717">
        <f t="shared" si="71"/>
        <v>6952.23</v>
      </c>
      <c r="AV89" s="717">
        <f t="shared" si="71"/>
        <v>12629.035099999999</v>
      </c>
      <c r="AW89" s="718">
        <f t="shared" si="71"/>
        <v>243531607.74400002</v>
      </c>
      <c r="AX89" s="726">
        <f t="shared" si="71"/>
        <v>321</v>
      </c>
      <c r="AY89" s="722">
        <f t="shared" si="71"/>
        <v>5</v>
      </c>
      <c r="AZ89" s="722">
        <f t="shared" si="71"/>
        <v>428.3</v>
      </c>
      <c r="BA89" s="717">
        <f t="shared" si="71"/>
        <v>433.3</v>
      </c>
      <c r="BB89" s="717">
        <f t="shared" si="71"/>
        <v>1226.2950000000001</v>
      </c>
      <c r="BC89" s="718">
        <f t="shared" si="71"/>
        <v>20976655</v>
      </c>
      <c r="BD89" s="726">
        <f t="shared" ref="BD89:BU89" si="72">SUM(BD90:BD109)</f>
        <v>0</v>
      </c>
      <c r="BE89" s="722">
        <f t="shared" si="72"/>
        <v>0</v>
      </c>
      <c r="BF89" s="722">
        <f t="shared" si="72"/>
        <v>0</v>
      </c>
      <c r="BG89" s="717">
        <f t="shared" si="72"/>
        <v>0</v>
      </c>
      <c r="BH89" s="717">
        <f t="shared" si="72"/>
        <v>0</v>
      </c>
      <c r="BI89" s="718">
        <f t="shared" si="72"/>
        <v>0</v>
      </c>
      <c r="BJ89" s="715">
        <f t="shared" si="72"/>
        <v>1</v>
      </c>
      <c r="BK89" s="716">
        <f t="shared" si="72"/>
        <v>0</v>
      </c>
      <c r="BL89" s="716">
        <f t="shared" si="72"/>
        <v>0.5</v>
      </c>
      <c r="BM89" s="717">
        <f t="shared" si="72"/>
        <v>0.5</v>
      </c>
      <c r="BN89" s="717">
        <f t="shared" si="72"/>
        <v>0</v>
      </c>
      <c r="BO89" s="718">
        <f t="shared" si="72"/>
        <v>2911.2000000000003</v>
      </c>
      <c r="BP89" s="726">
        <f t="shared" si="72"/>
        <v>487</v>
      </c>
      <c r="BQ89" s="722">
        <f t="shared" si="72"/>
        <v>2.5</v>
      </c>
      <c r="BR89" s="722">
        <f t="shared" si="72"/>
        <v>912.19</v>
      </c>
      <c r="BS89" s="717">
        <f t="shared" si="72"/>
        <v>914.68999999999994</v>
      </c>
      <c r="BT89" s="717">
        <f t="shared" si="72"/>
        <v>2377.8065999999999</v>
      </c>
      <c r="BU89" s="718">
        <f t="shared" si="72"/>
        <v>40690741.239999995</v>
      </c>
      <c r="BV89" s="726">
        <f t="shared" ref="BV89:CM89" si="73">SUM(BV90:BV109)</f>
        <v>1365</v>
      </c>
      <c r="BW89" s="722">
        <f t="shared" si="73"/>
        <v>1118.8699999999999</v>
      </c>
      <c r="BX89" s="722">
        <f t="shared" si="73"/>
        <v>743.69</v>
      </c>
      <c r="BY89" s="717">
        <f t="shared" si="73"/>
        <v>1862.56</v>
      </c>
      <c r="BZ89" s="717">
        <f t="shared" si="73"/>
        <v>2327.8017500000001</v>
      </c>
      <c r="CA89" s="718">
        <f t="shared" si="73"/>
        <v>63966908.400000006</v>
      </c>
      <c r="CB89" s="726">
        <f t="shared" si="73"/>
        <v>876</v>
      </c>
      <c r="CC89" s="722">
        <f t="shared" si="73"/>
        <v>747.12000000000012</v>
      </c>
      <c r="CD89" s="722">
        <f t="shared" si="73"/>
        <v>702.43000000000006</v>
      </c>
      <c r="CE89" s="717">
        <f t="shared" si="73"/>
        <v>1449.5500000000002</v>
      </c>
      <c r="CF89" s="717">
        <f t="shared" si="73"/>
        <v>2260.9792000000002</v>
      </c>
      <c r="CG89" s="718">
        <f t="shared" si="73"/>
        <v>48759531.159999996</v>
      </c>
      <c r="CH89" s="726">
        <f t="shared" si="73"/>
        <v>1365</v>
      </c>
      <c r="CI89" s="722">
        <f t="shared" si="73"/>
        <v>1118.8699999999999</v>
      </c>
      <c r="CJ89" s="722">
        <f t="shared" si="73"/>
        <v>743.69</v>
      </c>
      <c r="CK89" s="717">
        <f t="shared" si="73"/>
        <v>1862.56</v>
      </c>
      <c r="CL89" s="717">
        <f t="shared" si="73"/>
        <v>2327.8017500000001</v>
      </c>
      <c r="CM89" s="718">
        <f t="shared" si="73"/>
        <v>63966908.400000006</v>
      </c>
      <c r="CN89" s="726">
        <f t="shared" ref="CN89:CS89" si="74">SUM(CN90:CN109)</f>
        <v>2480</v>
      </c>
      <c r="CO89" s="722">
        <f t="shared" si="74"/>
        <v>3188.79</v>
      </c>
      <c r="CP89" s="722">
        <f t="shared" si="74"/>
        <v>606.25</v>
      </c>
      <c r="CQ89" s="717">
        <f t="shared" si="74"/>
        <v>3795.04</v>
      </c>
      <c r="CR89" s="717">
        <f t="shared" si="74"/>
        <v>3344.9319999999998</v>
      </c>
      <c r="CS89" s="718">
        <f t="shared" si="74"/>
        <v>116374685.40400001</v>
      </c>
    </row>
    <row r="90" spans="1:97" ht="16.5" x14ac:dyDescent="0.3">
      <c r="A90" s="709" t="s">
        <v>410</v>
      </c>
      <c r="B90" s="725"/>
      <c r="C90" s="3"/>
      <c r="D90" s="3"/>
      <c r="E90" s="4">
        <f t="shared" ref="E90:E109" si="75">SUM(C90:D90)</f>
        <v>0</v>
      </c>
      <c r="G90" s="7"/>
      <c r="H90" s="725"/>
      <c r="I90" s="3"/>
      <c r="J90" s="3"/>
      <c r="K90" s="4">
        <f t="shared" ref="K90:K109" si="76">SUM(I90:J90)</f>
        <v>0</v>
      </c>
      <c r="L90" s="4"/>
      <c r="M90" s="7"/>
      <c r="N90" s="725"/>
      <c r="O90" s="3"/>
      <c r="P90" s="3"/>
      <c r="Q90" s="4">
        <f t="shared" ref="Q90:Q109" si="77">SUM(O90:P90)</f>
        <v>0</v>
      </c>
      <c r="R90" s="4"/>
      <c r="S90" s="7"/>
      <c r="T90" s="725"/>
      <c r="U90" s="3"/>
      <c r="V90" s="3"/>
      <c r="W90" s="4">
        <f t="shared" ref="W90:W109" si="78">SUM(U90:V90)</f>
        <v>0</v>
      </c>
      <c r="X90" s="4"/>
      <c r="Y90" s="7"/>
      <c r="Z90" s="725">
        <v>5</v>
      </c>
      <c r="AA90" s="3">
        <v>6</v>
      </c>
      <c r="AB90" s="3">
        <v>0</v>
      </c>
      <c r="AC90" s="4">
        <f t="shared" ref="AC90:AC109" si="79">SUM(AA90:AB90)</f>
        <v>6</v>
      </c>
      <c r="AD90" s="4"/>
      <c r="AE90" s="7">
        <v>172416</v>
      </c>
      <c r="AF90" s="725">
        <v>3</v>
      </c>
      <c r="AG90" s="3">
        <v>0</v>
      </c>
      <c r="AH90" s="3">
        <v>3</v>
      </c>
      <c r="AI90" s="4">
        <f t="shared" si="58"/>
        <v>3</v>
      </c>
      <c r="AJ90" s="4">
        <v>0.45</v>
      </c>
      <c r="AK90" s="7">
        <v>8723.6000000000022</v>
      </c>
      <c r="AL90" s="725"/>
      <c r="AM90" s="3"/>
      <c r="AN90" s="3"/>
      <c r="AO90" s="4">
        <f t="shared" ref="AO90:AO109" si="80">SUM(AM90:AN90)</f>
        <v>0</v>
      </c>
      <c r="AP90" s="4"/>
      <c r="AQ90" s="7"/>
      <c r="AR90" s="725"/>
      <c r="AS90" s="3"/>
      <c r="AT90" s="3"/>
      <c r="AU90" s="4">
        <f t="shared" ref="AU90:AU109" si="81">SUM(AS90:AT90)</f>
        <v>0</v>
      </c>
      <c r="AV90" s="4"/>
      <c r="AW90" s="7"/>
      <c r="AX90" s="725">
        <v>8</v>
      </c>
      <c r="AY90" s="3">
        <v>0</v>
      </c>
      <c r="AZ90" s="3">
        <v>10.199999999999999</v>
      </c>
      <c r="BA90" s="4">
        <f t="shared" ref="BA90:BA109" si="82">SUM(AY90:AZ90)</f>
        <v>10.199999999999999</v>
      </c>
      <c r="BB90" s="4">
        <v>20.351999999999997</v>
      </c>
      <c r="BC90" s="7">
        <v>345983.99999999994</v>
      </c>
      <c r="BD90" s="725"/>
      <c r="BE90" s="3"/>
      <c r="BF90" s="3"/>
      <c r="BG90" s="4">
        <f t="shared" ref="BG90:BG109" si="83">SUM(BE90:BF90)</f>
        <v>0</v>
      </c>
      <c r="BH90" s="4"/>
      <c r="BI90" s="7"/>
      <c r="BJ90" s="6"/>
      <c r="BK90" s="5"/>
      <c r="BL90" s="5"/>
      <c r="BM90" s="4">
        <f t="shared" ref="BM90:BM109" si="84">SUM(BK90:BL90)</f>
        <v>0</v>
      </c>
      <c r="BN90" s="4"/>
      <c r="BO90" s="7"/>
      <c r="BP90" s="725"/>
      <c r="BQ90" s="3"/>
      <c r="BR90" s="3"/>
      <c r="BS90" s="4">
        <f t="shared" ref="BS90:BS109" si="85">SUM(BQ90:BR90)</f>
        <v>0</v>
      </c>
      <c r="BT90" s="4"/>
      <c r="BU90" s="7"/>
      <c r="BV90" s="725"/>
      <c r="BW90" s="3"/>
      <c r="BX90" s="3"/>
      <c r="BY90" s="4">
        <f t="shared" ref="BY90:BY109" si="86">SUM(BW90:BX90)</f>
        <v>0</v>
      </c>
      <c r="BZ90" s="4"/>
      <c r="CA90" s="7"/>
      <c r="CB90" s="725"/>
      <c r="CC90" s="3"/>
      <c r="CD90" s="3"/>
      <c r="CE90" s="4">
        <f t="shared" ref="CE90:CE109" si="87">SUM(CC90:CD90)</f>
        <v>0</v>
      </c>
      <c r="CF90" s="4"/>
      <c r="CG90" s="7"/>
      <c r="CH90" s="725"/>
      <c r="CI90" s="3"/>
      <c r="CJ90" s="3"/>
      <c r="CK90" s="4">
        <f t="shared" ref="CK90:CK103" si="88">SUM(CI90:CJ90)</f>
        <v>0</v>
      </c>
      <c r="CL90" s="4"/>
      <c r="CM90" s="7"/>
      <c r="CN90" s="725"/>
      <c r="CO90" s="3"/>
      <c r="CP90" s="3"/>
      <c r="CQ90" s="4">
        <f t="shared" ref="CQ90:CQ109" si="89">SUM(CO90:CP90)</f>
        <v>0</v>
      </c>
      <c r="CR90" s="4"/>
      <c r="CS90" s="7"/>
    </row>
    <row r="91" spans="1:97" ht="16.5" x14ac:dyDescent="0.3">
      <c r="A91" s="709" t="s">
        <v>411</v>
      </c>
      <c r="B91" s="725">
        <v>6</v>
      </c>
      <c r="C91" s="3">
        <v>0</v>
      </c>
      <c r="D91" s="3">
        <v>4.3</v>
      </c>
      <c r="E91" s="4">
        <f t="shared" si="75"/>
        <v>4.3</v>
      </c>
      <c r="F91" s="4">
        <v>3.31</v>
      </c>
      <c r="G91" s="7">
        <v>69867.5</v>
      </c>
      <c r="H91" s="725"/>
      <c r="I91" s="3"/>
      <c r="J91" s="3"/>
      <c r="K91" s="4">
        <f t="shared" si="76"/>
        <v>0</v>
      </c>
      <c r="L91" s="4"/>
      <c r="M91" s="7"/>
      <c r="N91" s="725"/>
      <c r="O91" s="3"/>
      <c r="P91" s="3"/>
      <c r="Q91" s="4">
        <f t="shared" si="77"/>
        <v>0</v>
      </c>
      <c r="R91" s="4"/>
      <c r="S91" s="7"/>
      <c r="T91" s="725">
        <v>225</v>
      </c>
      <c r="U91" s="3">
        <v>9.5</v>
      </c>
      <c r="V91" s="3">
        <v>117.4</v>
      </c>
      <c r="W91" s="4">
        <f t="shared" si="78"/>
        <v>126.9</v>
      </c>
      <c r="X91" s="4">
        <v>88.052999999999997</v>
      </c>
      <c r="Y91" s="7">
        <v>1064538.4000000001</v>
      </c>
      <c r="Z91" s="725"/>
      <c r="AA91" s="3"/>
      <c r="AB91" s="3"/>
      <c r="AC91" s="4">
        <f t="shared" si="79"/>
        <v>0</v>
      </c>
      <c r="AD91" s="4"/>
      <c r="AE91" s="7"/>
      <c r="AF91" s="725">
        <v>57</v>
      </c>
      <c r="AG91" s="3">
        <v>0</v>
      </c>
      <c r="AH91" s="3">
        <v>70.3</v>
      </c>
      <c r="AI91" s="4">
        <f t="shared" si="58"/>
        <v>70.3</v>
      </c>
      <c r="AJ91" s="4">
        <v>58.252499999999998</v>
      </c>
      <c r="AK91" s="7">
        <v>990292.5</v>
      </c>
      <c r="AL91" s="725">
        <v>0</v>
      </c>
      <c r="AM91" s="3">
        <v>0</v>
      </c>
      <c r="AN91" s="3">
        <v>0</v>
      </c>
      <c r="AO91" s="4">
        <f t="shared" si="80"/>
        <v>0</v>
      </c>
      <c r="AP91" s="4"/>
      <c r="AQ91" s="7">
        <v>146250</v>
      </c>
      <c r="AR91" s="725"/>
      <c r="AS91" s="3"/>
      <c r="AT91" s="3"/>
      <c r="AU91" s="4">
        <f t="shared" si="81"/>
        <v>0</v>
      </c>
      <c r="AV91" s="4"/>
      <c r="AW91" s="7"/>
      <c r="AX91" s="725"/>
      <c r="AY91" s="3"/>
      <c r="AZ91" s="3"/>
      <c r="BA91" s="4">
        <f t="shared" si="82"/>
        <v>0</v>
      </c>
      <c r="BB91" s="4"/>
      <c r="BC91" s="7"/>
      <c r="BD91" s="725"/>
      <c r="BE91" s="3"/>
      <c r="BF91" s="3"/>
      <c r="BG91" s="4">
        <f t="shared" si="83"/>
        <v>0</v>
      </c>
      <c r="BH91" s="4"/>
      <c r="BI91" s="7"/>
      <c r="BJ91" s="6"/>
      <c r="BK91" s="5"/>
      <c r="BL91" s="5"/>
      <c r="BM91" s="4">
        <f t="shared" si="84"/>
        <v>0</v>
      </c>
      <c r="BN91" s="4"/>
      <c r="BO91" s="7"/>
      <c r="BP91" s="725"/>
      <c r="BQ91" s="3"/>
      <c r="BR91" s="3"/>
      <c r="BS91" s="4">
        <f t="shared" si="85"/>
        <v>0</v>
      </c>
      <c r="BT91" s="4"/>
      <c r="BU91" s="7"/>
      <c r="BV91" s="725">
        <v>4</v>
      </c>
      <c r="BW91" s="3">
        <v>0</v>
      </c>
      <c r="BX91" s="3">
        <v>4.7</v>
      </c>
      <c r="BY91" s="4">
        <f t="shared" si="86"/>
        <v>4.7</v>
      </c>
      <c r="BZ91" s="4">
        <v>19.170000000000002</v>
      </c>
      <c r="CA91" s="7">
        <v>230040</v>
      </c>
      <c r="CB91" s="725"/>
      <c r="CC91" s="3"/>
      <c r="CD91" s="3"/>
      <c r="CE91" s="4">
        <f t="shared" si="87"/>
        <v>0</v>
      </c>
      <c r="CF91" s="4"/>
      <c r="CG91" s="7"/>
      <c r="CH91" s="725">
        <v>4</v>
      </c>
      <c r="CI91" s="3">
        <v>0</v>
      </c>
      <c r="CJ91" s="3">
        <v>4.7</v>
      </c>
      <c r="CK91" s="4">
        <f t="shared" si="88"/>
        <v>4.7</v>
      </c>
      <c r="CL91" s="4">
        <v>19.170000000000002</v>
      </c>
      <c r="CM91" s="7">
        <v>230040</v>
      </c>
      <c r="CN91" s="725"/>
      <c r="CO91" s="3"/>
      <c r="CP91" s="3"/>
      <c r="CQ91" s="4">
        <f t="shared" si="89"/>
        <v>0</v>
      </c>
      <c r="CR91" s="4"/>
      <c r="CS91" s="7"/>
    </row>
    <row r="92" spans="1:97" ht="16.5" x14ac:dyDescent="0.3">
      <c r="A92" s="709" t="s">
        <v>412</v>
      </c>
      <c r="B92" s="725"/>
      <c r="C92" s="3"/>
      <c r="D92" s="3"/>
      <c r="E92" s="4">
        <f t="shared" si="75"/>
        <v>0</v>
      </c>
      <c r="G92" s="7"/>
      <c r="H92" s="725">
        <v>246</v>
      </c>
      <c r="I92" s="3">
        <v>5</v>
      </c>
      <c r="J92" s="3">
        <v>361</v>
      </c>
      <c r="K92" s="4">
        <f t="shared" si="76"/>
        <v>366</v>
      </c>
      <c r="L92" s="4">
        <v>214.2</v>
      </c>
      <c r="M92" s="7">
        <v>3776392.5</v>
      </c>
      <c r="N92" s="725"/>
      <c r="O92" s="3"/>
      <c r="P92" s="3"/>
      <c r="Q92" s="4">
        <f t="shared" si="77"/>
        <v>0</v>
      </c>
      <c r="R92" s="4"/>
      <c r="S92" s="7"/>
      <c r="T92" s="725">
        <v>538</v>
      </c>
      <c r="U92" s="3">
        <v>299</v>
      </c>
      <c r="V92" s="3">
        <v>750.43</v>
      </c>
      <c r="W92" s="4">
        <f t="shared" si="78"/>
        <v>1049.4299999999998</v>
      </c>
      <c r="X92" s="4">
        <v>1504.8306000000002</v>
      </c>
      <c r="Y92" s="7">
        <v>18516293.600000001</v>
      </c>
      <c r="Z92" s="725">
        <v>129</v>
      </c>
      <c r="AA92" s="3">
        <v>237.95</v>
      </c>
      <c r="AB92" s="3">
        <v>5</v>
      </c>
      <c r="AC92" s="4">
        <f t="shared" si="79"/>
        <v>242.95</v>
      </c>
      <c r="AD92" s="4"/>
      <c r="AE92" s="7">
        <v>6539812.6000000006</v>
      </c>
      <c r="AF92" s="725">
        <v>526</v>
      </c>
      <c r="AG92" s="3">
        <v>90.9</v>
      </c>
      <c r="AH92" s="3">
        <v>886.5</v>
      </c>
      <c r="AI92" s="4">
        <f t="shared" si="58"/>
        <v>977.4</v>
      </c>
      <c r="AJ92" s="4">
        <v>687.375</v>
      </c>
      <c r="AK92" s="734">
        <v>9631853.8000000007</v>
      </c>
      <c r="AL92" s="725">
        <v>20</v>
      </c>
      <c r="AM92" s="3">
        <v>9.3000000000000007</v>
      </c>
      <c r="AN92" s="3">
        <v>31.669999999999998</v>
      </c>
      <c r="AO92" s="4">
        <f t="shared" si="80"/>
        <v>40.97</v>
      </c>
      <c r="AP92" s="4">
        <v>13.729875</v>
      </c>
      <c r="AQ92" s="7">
        <v>851468.63</v>
      </c>
      <c r="AR92" s="725">
        <v>237</v>
      </c>
      <c r="AS92" s="3">
        <v>25.2</v>
      </c>
      <c r="AT92" s="3">
        <v>356.4</v>
      </c>
      <c r="AU92" s="4">
        <f t="shared" si="81"/>
        <v>381.59999999999997</v>
      </c>
      <c r="AV92" s="4">
        <v>711.08450000000016</v>
      </c>
      <c r="AW92" s="7">
        <v>10017518.600000001</v>
      </c>
      <c r="AX92" s="725">
        <v>8</v>
      </c>
      <c r="AY92" s="3">
        <v>4</v>
      </c>
      <c r="AZ92" s="3">
        <v>6.1</v>
      </c>
      <c r="BA92" s="4">
        <f t="shared" si="82"/>
        <v>10.1</v>
      </c>
      <c r="BB92" s="4">
        <v>13.943000000000001</v>
      </c>
      <c r="BC92" s="7">
        <v>341539</v>
      </c>
      <c r="BD92" s="725"/>
      <c r="BE92" s="3"/>
      <c r="BF92" s="3"/>
      <c r="BG92" s="4">
        <f t="shared" si="83"/>
        <v>0</v>
      </c>
      <c r="BH92" s="4"/>
      <c r="BI92" s="7"/>
      <c r="BJ92" s="6"/>
      <c r="BK92" s="5"/>
      <c r="BL92" s="5"/>
      <c r="BM92" s="4">
        <f t="shared" si="84"/>
        <v>0</v>
      </c>
      <c r="BN92" s="4"/>
      <c r="BO92" s="7"/>
      <c r="BP92" s="725">
        <v>16</v>
      </c>
      <c r="BQ92" s="3">
        <v>0</v>
      </c>
      <c r="BR92" s="3">
        <v>22.619999999999997</v>
      </c>
      <c r="BS92" s="4">
        <f t="shared" si="85"/>
        <v>22.619999999999997</v>
      </c>
      <c r="BT92" s="4">
        <v>26.789100000000001</v>
      </c>
      <c r="BU92" s="7">
        <v>455414.7</v>
      </c>
      <c r="BV92" s="725">
        <v>23</v>
      </c>
      <c r="BW92" s="3">
        <v>0</v>
      </c>
      <c r="BX92" s="3">
        <v>35.24</v>
      </c>
      <c r="BY92" s="4">
        <f t="shared" si="86"/>
        <v>35.24</v>
      </c>
      <c r="BZ92" s="4">
        <v>27.609249999999999</v>
      </c>
      <c r="CA92" s="7">
        <v>312396</v>
      </c>
      <c r="CB92" s="725">
        <v>36</v>
      </c>
      <c r="CC92" s="3">
        <v>29.689999999999998</v>
      </c>
      <c r="CD92" s="3">
        <v>14.1</v>
      </c>
      <c r="CE92" s="4">
        <f t="shared" si="87"/>
        <v>43.79</v>
      </c>
      <c r="CF92" s="4">
        <v>158.40099999999998</v>
      </c>
      <c r="CG92" s="7">
        <v>954743.40000000014</v>
      </c>
      <c r="CH92" s="725">
        <v>23</v>
      </c>
      <c r="CI92" s="3">
        <v>0</v>
      </c>
      <c r="CJ92" s="3">
        <v>35.24</v>
      </c>
      <c r="CK92" s="4">
        <f t="shared" si="88"/>
        <v>35.24</v>
      </c>
      <c r="CL92" s="4">
        <v>27.609249999999999</v>
      </c>
      <c r="CM92" s="7">
        <v>312396</v>
      </c>
      <c r="CN92" s="725">
        <v>217</v>
      </c>
      <c r="CO92" s="3">
        <v>248.60000000000002</v>
      </c>
      <c r="CP92" s="3">
        <v>100.29</v>
      </c>
      <c r="CQ92" s="4">
        <f t="shared" si="89"/>
        <v>348.89000000000004</v>
      </c>
      <c r="CR92" s="4">
        <v>16.850000000000001</v>
      </c>
      <c r="CS92" s="7">
        <v>8278344.527999999</v>
      </c>
    </row>
    <row r="93" spans="1:97" ht="16.5" x14ac:dyDescent="0.3">
      <c r="A93" s="709" t="s">
        <v>413</v>
      </c>
      <c r="B93" s="725"/>
      <c r="C93" s="3"/>
      <c r="D93" s="3"/>
      <c r="E93" s="4">
        <f t="shared" si="75"/>
        <v>0</v>
      </c>
      <c r="G93" s="7"/>
      <c r="H93" s="725"/>
      <c r="I93" s="3"/>
      <c r="J93" s="3"/>
      <c r="K93" s="4">
        <f t="shared" si="76"/>
        <v>0</v>
      </c>
      <c r="L93" s="4"/>
      <c r="M93" s="7"/>
      <c r="N93" s="725"/>
      <c r="O93" s="3"/>
      <c r="P93" s="3"/>
      <c r="Q93" s="4">
        <f t="shared" si="77"/>
        <v>0</v>
      </c>
      <c r="R93" s="4"/>
      <c r="S93" s="7"/>
      <c r="T93" s="725">
        <v>885</v>
      </c>
      <c r="U93" s="3">
        <v>0</v>
      </c>
      <c r="V93" s="3">
        <v>1167.2</v>
      </c>
      <c r="W93" s="4">
        <f t="shared" si="78"/>
        <v>1167.2</v>
      </c>
      <c r="X93" s="4">
        <v>571.92800000000011</v>
      </c>
      <c r="Y93" s="7">
        <v>6863136.0000000009</v>
      </c>
      <c r="Z93" s="725"/>
      <c r="AA93" s="3"/>
      <c r="AB93" s="3"/>
      <c r="AC93" s="4">
        <f t="shared" si="79"/>
        <v>0</v>
      </c>
      <c r="AD93" s="4"/>
      <c r="AE93" s="7"/>
      <c r="AF93" s="725">
        <v>918</v>
      </c>
      <c r="AG93" s="3">
        <v>0</v>
      </c>
      <c r="AH93" s="3">
        <v>944.1</v>
      </c>
      <c r="AI93" s="4">
        <f t="shared" si="58"/>
        <v>944.1</v>
      </c>
      <c r="AJ93" s="4">
        <v>424.84500000000003</v>
      </c>
      <c r="AK93" s="7">
        <v>5522985</v>
      </c>
      <c r="AL93" s="725"/>
      <c r="AM93" s="3"/>
      <c r="AN93" s="3"/>
      <c r="AO93" s="4">
        <f t="shared" si="80"/>
        <v>0</v>
      </c>
      <c r="AP93" s="4"/>
      <c r="AQ93" s="7"/>
      <c r="AR93" s="725">
        <v>24</v>
      </c>
      <c r="AS93" s="3">
        <v>1.8</v>
      </c>
      <c r="AT93" s="3">
        <v>11.07</v>
      </c>
      <c r="AU93" s="4">
        <f t="shared" si="81"/>
        <v>12.870000000000001</v>
      </c>
      <c r="AV93" s="4">
        <v>23.094999999999999</v>
      </c>
      <c r="AW93" s="7">
        <v>417411.66399999999</v>
      </c>
      <c r="AX93" s="725"/>
      <c r="AY93" s="3"/>
      <c r="AZ93" s="3"/>
      <c r="BA93" s="4">
        <f t="shared" si="82"/>
        <v>0</v>
      </c>
      <c r="BB93" s="4"/>
      <c r="BC93" s="7"/>
      <c r="BD93" s="725"/>
      <c r="BE93" s="3"/>
      <c r="BF93" s="3"/>
      <c r="BG93" s="4">
        <f t="shared" si="83"/>
        <v>0</v>
      </c>
      <c r="BH93" s="4"/>
      <c r="BI93" s="7"/>
      <c r="BJ93" s="6"/>
      <c r="BK93" s="5"/>
      <c r="BL93" s="5"/>
      <c r="BM93" s="4">
        <f t="shared" si="84"/>
        <v>0</v>
      </c>
      <c r="BN93" s="4"/>
      <c r="BO93" s="7"/>
      <c r="BP93" s="725"/>
      <c r="BQ93" s="3"/>
      <c r="BR93" s="3"/>
      <c r="BS93" s="4">
        <f t="shared" si="85"/>
        <v>0</v>
      </c>
      <c r="BT93" s="4"/>
      <c r="BU93" s="7"/>
      <c r="BV93" s="725"/>
      <c r="BW93" s="3"/>
      <c r="BX93" s="3"/>
      <c r="BY93" s="4">
        <f t="shared" si="86"/>
        <v>0</v>
      </c>
      <c r="BZ93" s="4"/>
      <c r="CA93" s="7"/>
      <c r="CB93" s="725"/>
      <c r="CC93" s="3"/>
      <c r="CD93" s="3"/>
      <c r="CE93" s="4">
        <f t="shared" si="87"/>
        <v>0</v>
      </c>
      <c r="CF93" s="4"/>
      <c r="CG93" s="7"/>
      <c r="CH93" s="725"/>
      <c r="CI93" s="3"/>
      <c r="CJ93" s="3"/>
      <c r="CK93" s="4">
        <f t="shared" si="88"/>
        <v>0</v>
      </c>
      <c r="CL93" s="4"/>
      <c r="CM93" s="7"/>
      <c r="CN93" s="725">
        <v>39</v>
      </c>
      <c r="CO93" s="3">
        <v>11.1</v>
      </c>
      <c r="CP93" s="3">
        <v>0</v>
      </c>
      <c r="CQ93" s="4">
        <f t="shared" si="89"/>
        <v>11.1</v>
      </c>
      <c r="CR93" s="4">
        <v>53.279999999999994</v>
      </c>
      <c r="CS93" s="7">
        <v>857112</v>
      </c>
    </row>
    <row r="94" spans="1:97" ht="16.5" x14ac:dyDescent="0.3">
      <c r="A94" s="709" t="s">
        <v>414</v>
      </c>
      <c r="B94" s="725">
        <v>2</v>
      </c>
      <c r="C94" s="3">
        <v>0</v>
      </c>
      <c r="D94" s="3">
        <v>3</v>
      </c>
      <c r="E94" s="4">
        <f t="shared" si="75"/>
        <v>3</v>
      </c>
      <c r="F94" s="4">
        <v>2.0299999999999998</v>
      </c>
      <c r="G94" s="7">
        <v>34425</v>
      </c>
      <c r="H94" s="725"/>
      <c r="I94" s="3"/>
      <c r="J94" s="3"/>
      <c r="K94" s="4">
        <f t="shared" si="76"/>
        <v>0</v>
      </c>
      <c r="L94" s="4"/>
      <c r="M94" s="7"/>
      <c r="N94" s="725"/>
      <c r="O94" s="3"/>
      <c r="P94" s="3"/>
      <c r="Q94" s="4">
        <f t="shared" si="77"/>
        <v>0</v>
      </c>
      <c r="R94" s="4"/>
      <c r="S94" s="7"/>
      <c r="T94" s="725">
        <v>687</v>
      </c>
      <c r="U94" s="3">
        <v>0</v>
      </c>
      <c r="V94" s="3">
        <v>992</v>
      </c>
      <c r="W94" s="4">
        <f t="shared" si="78"/>
        <v>992</v>
      </c>
      <c r="X94" s="4">
        <v>932.48</v>
      </c>
      <c r="Y94" s="7">
        <v>11189760</v>
      </c>
      <c r="Z94" s="725">
        <v>10</v>
      </c>
      <c r="AA94" s="3">
        <v>15</v>
      </c>
      <c r="AB94" s="3">
        <v>0</v>
      </c>
      <c r="AC94" s="4">
        <f t="shared" si="79"/>
        <v>15</v>
      </c>
      <c r="AD94" s="4"/>
      <c r="AE94" s="7">
        <v>376980</v>
      </c>
      <c r="AF94" s="725">
        <v>83</v>
      </c>
      <c r="AG94" s="3">
        <v>92</v>
      </c>
      <c r="AH94" s="3">
        <v>411</v>
      </c>
      <c r="AI94" s="4">
        <f t="shared" si="58"/>
        <v>503</v>
      </c>
      <c r="AJ94" s="4">
        <v>9</v>
      </c>
      <c r="AK94" s="734">
        <v>3920289.6</v>
      </c>
      <c r="AL94" s="725">
        <v>10</v>
      </c>
      <c r="AM94" s="3"/>
      <c r="AN94" s="3">
        <v>10</v>
      </c>
      <c r="AO94" s="4">
        <f t="shared" si="80"/>
        <v>10</v>
      </c>
      <c r="AP94" s="4">
        <v>13.68</v>
      </c>
      <c r="AQ94" s="7">
        <v>236870.39999999999</v>
      </c>
      <c r="AR94" s="725">
        <v>14</v>
      </c>
      <c r="AS94" s="3">
        <v>0</v>
      </c>
      <c r="AT94" s="3">
        <v>23.6</v>
      </c>
      <c r="AU94" s="4">
        <f t="shared" si="81"/>
        <v>23.6</v>
      </c>
      <c r="AV94" s="4">
        <v>44.108000000000004</v>
      </c>
      <c r="AW94" s="7">
        <v>617512</v>
      </c>
      <c r="AX94" s="725"/>
      <c r="AY94" s="3"/>
      <c r="AZ94" s="3"/>
      <c r="BA94" s="4">
        <f t="shared" si="82"/>
        <v>0</v>
      </c>
      <c r="BB94" s="4"/>
      <c r="BC94" s="7"/>
      <c r="BD94" s="725"/>
      <c r="BE94" s="3"/>
      <c r="BF94" s="3"/>
      <c r="BG94" s="4">
        <f t="shared" si="83"/>
        <v>0</v>
      </c>
      <c r="BH94" s="4"/>
      <c r="BI94" s="7"/>
      <c r="BJ94" s="6"/>
      <c r="BK94" s="5"/>
      <c r="BL94" s="5"/>
      <c r="BM94" s="4">
        <f t="shared" si="84"/>
        <v>0</v>
      </c>
      <c r="BN94" s="4"/>
      <c r="BO94" s="7"/>
      <c r="BP94" s="725">
        <v>29</v>
      </c>
      <c r="BQ94" s="3">
        <v>0</v>
      </c>
      <c r="BR94" s="3">
        <v>31.599999999999998</v>
      </c>
      <c r="BS94" s="4">
        <f t="shared" si="85"/>
        <v>31.599999999999998</v>
      </c>
      <c r="BT94" s="4">
        <v>69.989999999999995</v>
      </c>
      <c r="BU94" s="7">
        <v>1255557.6000000001</v>
      </c>
      <c r="BV94" s="725">
        <v>30</v>
      </c>
      <c r="BW94" s="3">
        <v>0</v>
      </c>
      <c r="BX94" s="3">
        <v>33.200000000000003</v>
      </c>
      <c r="BY94" s="4">
        <f t="shared" si="86"/>
        <v>33.200000000000003</v>
      </c>
      <c r="BZ94" s="4">
        <v>14.010000000000002</v>
      </c>
      <c r="CA94" s="7">
        <v>200263.00000000003</v>
      </c>
      <c r="CB94" s="725">
        <v>18</v>
      </c>
      <c r="CC94" s="3">
        <v>0</v>
      </c>
      <c r="CD94" s="3">
        <v>14.3</v>
      </c>
      <c r="CE94" s="4">
        <f t="shared" si="87"/>
        <v>14.3</v>
      </c>
      <c r="CF94" s="4">
        <v>41.546999999999997</v>
      </c>
      <c r="CG94" s="7">
        <v>230836</v>
      </c>
      <c r="CH94" s="725">
        <v>30</v>
      </c>
      <c r="CI94" s="3">
        <v>0</v>
      </c>
      <c r="CJ94" s="3">
        <v>33.200000000000003</v>
      </c>
      <c r="CK94" s="4">
        <f t="shared" si="88"/>
        <v>33.200000000000003</v>
      </c>
      <c r="CL94" s="4">
        <v>14.010000000000002</v>
      </c>
      <c r="CM94" s="7">
        <v>200263.00000000003</v>
      </c>
      <c r="CN94" s="725">
        <v>122</v>
      </c>
      <c r="CO94" s="3">
        <v>0</v>
      </c>
      <c r="CP94" s="3">
        <v>148.14999999999998</v>
      </c>
      <c r="CQ94" s="4">
        <f t="shared" si="89"/>
        <v>148.14999999999998</v>
      </c>
      <c r="CR94" s="4">
        <v>16.285</v>
      </c>
      <c r="CS94" s="7">
        <v>552467.54</v>
      </c>
    </row>
    <row r="95" spans="1:97" ht="16.5" x14ac:dyDescent="0.3">
      <c r="A95" s="709" t="s">
        <v>415</v>
      </c>
      <c r="B95" s="725">
        <v>42</v>
      </c>
      <c r="C95" s="3">
        <v>0</v>
      </c>
      <c r="D95" s="3">
        <v>68.400000000000006</v>
      </c>
      <c r="E95" s="4">
        <f t="shared" si="75"/>
        <v>68.400000000000006</v>
      </c>
      <c r="F95" s="4">
        <v>46.17</v>
      </c>
      <c r="G95" s="7">
        <v>795890</v>
      </c>
      <c r="H95" s="725"/>
      <c r="I95" s="3"/>
      <c r="J95" s="3"/>
      <c r="K95" s="4">
        <f t="shared" si="76"/>
        <v>0</v>
      </c>
      <c r="L95" s="4"/>
      <c r="M95" s="7"/>
      <c r="N95" s="725"/>
      <c r="O95" s="3"/>
      <c r="P95" s="3"/>
      <c r="Q95" s="4">
        <f t="shared" si="77"/>
        <v>0</v>
      </c>
      <c r="R95" s="4"/>
      <c r="S95" s="7"/>
      <c r="T95" s="725">
        <v>650</v>
      </c>
      <c r="U95" s="3">
        <v>0</v>
      </c>
      <c r="V95" s="3">
        <v>767.9</v>
      </c>
      <c r="W95" s="4">
        <f t="shared" si="78"/>
        <v>767.9</v>
      </c>
      <c r="X95" s="4">
        <v>451.97999999999996</v>
      </c>
      <c r="Y95" s="7">
        <v>5577339.5199999986</v>
      </c>
      <c r="Z95" s="725">
        <v>348</v>
      </c>
      <c r="AA95" s="3">
        <v>0</v>
      </c>
      <c r="AB95" s="3">
        <v>374.55000000000007</v>
      </c>
      <c r="AC95" s="4">
        <f t="shared" si="79"/>
        <v>374.55000000000007</v>
      </c>
      <c r="AD95" s="4">
        <v>37.176000000000002</v>
      </c>
      <c r="AE95" s="7">
        <v>1347003.7200000002</v>
      </c>
      <c r="AF95" s="725">
        <v>432</v>
      </c>
      <c r="AG95" s="3">
        <v>0</v>
      </c>
      <c r="AH95" s="3">
        <v>476</v>
      </c>
      <c r="AI95" s="4">
        <f t="shared" si="58"/>
        <v>476</v>
      </c>
      <c r="AJ95" s="4">
        <v>297</v>
      </c>
      <c r="AK95" s="7">
        <v>5013739.5999999996</v>
      </c>
      <c r="AL95" s="725">
        <v>89</v>
      </c>
      <c r="AM95" s="3"/>
      <c r="AN95" s="3">
        <v>21.200000000000003</v>
      </c>
      <c r="AO95" s="4">
        <f t="shared" si="80"/>
        <v>21.200000000000003</v>
      </c>
      <c r="AP95" s="4">
        <v>20.352</v>
      </c>
      <c r="AQ95" s="7">
        <v>485848</v>
      </c>
      <c r="AR95" s="725">
        <v>97</v>
      </c>
      <c r="AS95" s="3">
        <v>10.3</v>
      </c>
      <c r="AT95" s="3">
        <v>85.26</v>
      </c>
      <c r="AU95" s="4">
        <f t="shared" si="81"/>
        <v>95.56</v>
      </c>
      <c r="AV95" s="4">
        <v>144.52000000000001</v>
      </c>
      <c r="AW95" s="7">
        <v>2454726.2800000003</v>
      </c>
      <c r="AX95" s="725"/>
      <c r="AY95" s="3"/>
      <c r="AZ95" s="3"/>
      <c r="BA95" s="4">
        <f t="shared" si="82"/>
        <v>0</v>
      </c>
      <c r="BB95" s="4"/>
      <c r="BC95" s="7"/>
      <c r="BD95" s="725"/>
      <c r="BE95" s="3"/>
      <c r="BF95" s="3"/>
      <c r="BG95" s="4">
        <f t="shared" si="83"/>
        <v>0</v>
      </c>
      <c r="BH95" s="4"/>
      <c r="BI95" s="7"/>
      <c r="BJ95" s="6"/>
      <c r="BK95" s="5"/>
      <c r="BL95" s="5"/>
      <c r="BM95" s="4">
        <f t="shared" si="84"/>
        <v>0</v>
      </c>
      <c r="BN95" s="4"/>
      <c r="BO95" s="7"/>
      <c r="BP95" s="725"/>
      <c r="BQ95" s="3"/>
      <c r="BR95" s="3"/>
      <c r="BS95" s="4">
        <f t="shared" si="85"/>
        <v>0</v>
      </c>
      <c r="BT95" s="4"/>
      <c r="BU95" s="7"/>
      <c r="BV95" s="725"/>
      <c r="BW95" s="3"/>
      <c r="BX95" s="3"/>
      <c r="BY95" s="4">
        <f t="shared" si="86"/>
        <v>0</v>
      </c>
      <c r="BZ95" s="4"/>
      <c r="CA95" s="7"/>
      <c r="CB95" s="725">
        <v>16</v>
      </c>
      <c r="CC95" s="3">
        <v>5.7</v>
      </c>
      <c r="CD95" s="3">
        <v>15.52</v>
      </c>
      <c r="CE95" s="4">
        <f t="shared" si="87"/>
        <v>21.22</v>
      </c>
      <c r="CF95" s="4">
        <v>25.608000000000001</v>
      </c>
      <c r="CG95" s="7">
        <v>476156.4</v>
      </c>
      <c r="CH95" s="725"/>
      <c r="CI95" s="3"/>
      <c r="CJ95" s="3"/>
      <c r="CK95" s="4">
        <f t="shared" si="88"/>
        <v>0</v>
      </c>
      <c r="CL95" s="4"/>
      <c r="CM95" s="7"/>
      <c r="CN95" s="725"/>
      <c r="CO95" s="3"/>
      <c r="CP95" s="3"/>
      <c r="CQ95" s="4">
        <f t="shared" si="89"/>
        <v>0</v>
      </c>
      <c r="CR95" s="4"/>
      <c r="CS95" s="7"/>
    </row>
    <row r="96" spans="1:97" ht="16.5" x14ac:dyDescent="0.3">
      <c r="A96" s="709" t="s">
        <v>416</v>
      </c>
      <c r="B96" s="725"/>
      <c r="C96" s="3"/>
      <c r="D96" s="3"/>
      <c r="E96" s="4">
        <f t="shared" si="75"/>
        <v>0</v>
      </c>
      <c r="G96" s="7"/>
      <c r="H96" s="725">
        <v>30</v>
      </c>
      <c r="I96" s="3">
        <v>0</v>
      </c>
      <c r="J96" s="3">
        <v>9.85</v>
      </c>
      <c r="K96" s="4">
        <f t="shared" si="76"/>
        <v>9.85</v>
      </c>
      <c r="L96" s="4">
        <v>5.9099999999999993</v>
      </c>
      <c r="M96" s="7">
        <v>100469.99999999999</v>
      </c>
      <c r="N96" s="725"/>
      <c r="O96" s="3"/>
      <c r="P96" s="3"/>
      <c r="Q96" s="4">
        <f t="shared" si="77"/>
        <v>0</v>
      </c>
      <c r="R96" s="4"/>
      <c r="S96" s="7"/>
      <c r="T96" s="725">
        <v>96</v>
      </c>
      <c r="U96" s="3">
        <v>0</v>
      </c>
      <c r="V96" s="3">
        <v>96.59</v>
      </c>
      <c r="W96" s="4">
        <f t="shared" si="78"/>
        <v>96.59</v>
      </c>
      <c r="X96" s="4">
        <v>42.499600000000008</v>
      </c>
      <c r="Y96" s="7">
        <v>509995.20000000007</v>
      </c>
      <c r="Z96" s="725"/>
      <c r="AA96" s="3"/>
      <c r="AB96" s="3"/>
      <c r="AC96" s="4">
        <f t="shared" si="79"/>
        <v>0</v>
      </c>
      <c r="AD96" s="4"/>
      <c r="AE96" s="7"/>
      <c r="AF96" s="725">
        <v>187</v>
      </c>
      <c r="AG96" s="3">
        <v>0</v>
      </c>
      <c r="AH96" s="3">
        <v>66.28</v>
      </c>
      <c r="AI96" s="4">
        <f t="shared" si="58"/>
        <v>66.28</v>
      </c>
      <c r="AJ96" s="4">
        <v>298.26</v>
      </c>
      <c r="AK96" s="7">
        <v>3877380</v>
      </c>
      <c r="AL96" s="725"/>
      <c r="AM96" s="3"/>
      <c r="AN96" s="3"/>
      <c r="AO96" s="4">
        <f t="shared" si="80"/>
        <v>0</v>
      </c>
      <c r="AP96" s="4"/>
      <c r="AQ96" s="7"/>
      <c r="AR96" s="725"/>
      <c r="AS96" s="3"/>
      <c r="AT96" s="3"/>
      <c r="AU96" s="4">
        <f t="shared" si="81"/>
        <v>0</v>
      </c>
      <c r="AV96" s="4"/>
      <c r="AW96" s="7"/>
      <c r="AX96" s="725"/>
      <c r="AY96" s="3"/>
      <c r="AZ96" s="3"/>
      <c r="BA96" s="4">
        <f t="shared" si="82"/>
        <v>0</v>
      </c>
      <c r="BB96" s="4"/>
      <c r="BC96" s="7"/>
      <c r="BD96" s="725"/>
      <c r="BE96" s="3"/>
      <c r="BF96" s="3"/>
      <c r="BG96" s="4">
        <f t="shared" si="83"/>
        <v>0</v>
      </c>
      <c r="BH96" s="4"/>
      <c r="BI96" s="7"/>
      <c r="BJ96" s="6"/>
      <c r="BK96" s="5"/>
      <c r="BL96" s="5"/>
      <c r="BM96" s="4">
        <f t="shared" si="84"/>
        <v>0</v>
      </c>
      <c r="BN96" s="4"/>
      <c r="BO96" s="7"/>
      <c r="BP96" s="725"/>
      <c r="BQ96" s="3"/>
      <c r="BR96" s="3"/>
      <c r="BS96" s="4">
        <f t="shared" si="85"/>
        <v>0</v>
      </c>
      <c r="BT96" s="4"/>
      <c r="BU96" s="7"/>
      <c r="BV96" s="725"/>
      <c r="BW96" s="3"/>
      <c r="BX96" s="3"/>
      <c r="BY96" s="4">
        <f t="shared" si="86"/>
        <v>0</v>
      </c>
      <c r="BZ96" s="4"/>
      <c r="CA96" s="7"/>
      <c r="CB96" s="725"/>
      <c r="CC96" s="3"/>
      <c r="CD96" s="3"/>
      <c r="CE96" s="4">
        <f t="shared" si="87"/>
        <v>0</v>
      </c>
      <c r="CF96" s="4"/>
      <c r="CG96" s="7"/>
      <c r="CH96" s="725"/>
      <c r="CI96" s="3"/>
      <c r="CJ96" s="3"/>
      <c r="CK96" s="4">
        <f t="shared" si="88"/>
        <v>0</v>
      </c>
      <c r="CL96" s="4"/>
      <c r="CM96" s="7"/>
      <c r="CN96" s="725"/>
      <c r="CO96" s="3"/>
      <c r="CP96" s="3"/>
      <c r="CQ96" s="4">
        <f t="shared" si="89"/>
        <v>0</v>
      </c>
      <c r="CR96" s="4"/>
      <c r="CS96" s="7"/>
    </row>
    <row r="97" spans="1:97" ht="16.5" x14ac:dyDescent="0.3">
      <c r="A97" s="709" t="s">
        <v>417</v>
      </c>
      <c r="B97" s="725">
        <v>6</v>
      </c>
      <c r="C97" s="3">
        <v>0</v>
      </c>
      <c r="D97" s="3">
        <v>9</v>
      </c>
      <c r="E97" s="4">
        <f t="shared" si="75"/>
        <v>9</v>
      </c>
      <c r="F97" s="4">
        <v>6.08</v>
      </c>
      <c r="G97" s="7">
        <v>103275</v>
      </c>
      <c r="H97" s="725">
        <v>45</v>
      </c>
      <c r="I97" s="3">
        <v>0</v>
      </c>
      <c r="J97" s="3">
        <v>64</v>
      </c>
      <c r="K97" s="4">
        <f t="shared" si="76"/>
        <v>64</v>
      </c>
      <c r="L97" s="4">
        <v>0</v>
      </c>
      <c r="M97" s="7">
        <v>259584</v>
      </c>
      <c r="N97" s="725"/>
      <c r="O97" s="3"/>
      <c r="P97" s="3"/>
      <c r="Q97" s="4">
        <f t="shared" si="77"/>
        <v>0</v>
      </c>
      <c r="R97" s="4"/>
      <c r="S97" s="7"/>
      <c r="T97" s="725">
        <v>384</v>
      </c>
      <c r="U97" s="3">
        <v>0</v>
      </c>
      <c r="V97" s="3">
        <v>605</v>
      </c>
      <c r="W97" s="4">
        <f t="shared" si="78"/>
        <v>605</v>
      </c>
      <c r="X97" s="4">
        <v>266.2</v>
      </c>
      <c r="Y97" s="7">
        <v>3194399.9999999995</v>
      </c>
      <c r="Z97" s="725">
        <v>76</v>
      </c>
      <c r="AA97" s="3">
        <v>43.5</v>
      </c>
      <c r="AB97" s="3">
        <v>52</v>
      </c>
      <c r="AC97" s="4">
        <f t="shared" si="79"/>
        <v>95.5</v>
      </c>
      <c r="AD97" s="4">
        <v>22</v>
      </c>
      <c r="AE97" s="7">
        <v>1349702.4</v>
      </c>
      <c r="AF97" s="725">
        <v>202</v>
      </c>
      <c r="AG97" s="3">
        <v>0</v>
      </c>
      <c r="AH97" s="3">
        <v>709</v>
      </c>
      <c r="AI97" s="4">
        <f t="shared" si="58"/>
        <v>709</v>
      </c>
      <c r="AJ97" s="4">
        <v>606.59999999999991</v>
      </c>
      <c r="AK97" s="7">
        <v>10312200</v>
      </c>
      <c r="AL97" s="725"/>
      <c r="AM97" s="3"/>
      <c r="AN97" s="3"/>
      <c r="AO97" s="4">
        <f t="shared" si="80"/>
        <v>0</v>
      </c>
      <c r="AP97" s="4"/>
      <c r="AQ97" s="7"/>
      <c r="AR97" s="725">
        <v>559</v>
      </c>
      <c r="AS97" s="3">
        <v>0</v>
      </c>
      <c r="AT97" s="3">
        <v>766.8</v>
      </c>
      <c r="AU97" s="4">
        <f t="shared" si="81"/>
        <v>766.8</v>
      </c>
      <c r="AV97" s="4">
        <v>1415.1959999999997</v>
      </c>
      <c r="AW97" s="7">
        <v>19812744</v>
      </c>
      <c r="AX97" s="725"/>
      <c r="AY97" s="3"/>
      <c r="AZ97" s="3"/>
      <c r="BA97" s="4">
        <f t="shared" si="82"/>
        <v>0</v>
      </c>
      <c r="BB97" s="4"/>
      <c r="BC97" s="7"/>
      <c r="BD97" s="725"/>
      <c r="BE97" s="3"/>
      <c r="BF97" s="3"/>
      <c r="BG97" s="4">
        <f t="shared" si="83"/>
        <v>0</v>
      </c>
      <c r="BH97" s="4"/>
      <c r="BI97" s="7"/>
      <c r="BJ97" s="6"/>
      <c r="BK97" s="5"/>
      <c r="BL97" s="5"/>
      <c r="BM97" s="4">
        <f t="shared" si="84"/>
        <v>0</v>
      </c>
      <c r="BN97" s="4"/>
      <c r="BO97" s="7"/>
      <c r="BP97" s="725"/>
      <c r="BQ97" s="3"/>
      <c r="BR97" s="3"/>
      <c r="BS97" s="4">
        <f t="shared" si="85"/>
        <v>0</v>
      </c>
      <c r="BT97" s="4"/>
      <c r="BU97" s="7"/>
      <c r="BV97" s="725"/>
      <c r="BW97" s="3"/>
      <c r="BX97" s="3"/>
      <c r="BY97" s="4">
        <f t="shared" si="86"/>
        <v>0</v>
      </c>
      <c r="BZ97" s="4"/>
      <c r="CA97" s="7"/>
      <c r="CB97" s="725"/>
      <c r="CC97" s="3"/>
      <c r="CD97" s="3"/>
      <c r="CE97" s="4">
        <f t="shared" si="87"/>
        <v>0</v>
      </c>
      <c r="CF97" s="4"/>
      <c r="CG97" s="7"/>
      <c r="CH97" s="725"/>
      <c r="CI97" s="3"/>
      <c r="CJ97" s="3"/>
      <c r="CK97" s="4">
        <f t="shared" si="88"/>
        <v>0</v>
      </c>
      <c r="CL97" s="4"/>
      <c r="CM97" s="7"/>
      <c r="CN97" s="725"/>
      <c r="CO97" s="3"/>
      <c r="CP97" s="3"/>
      <c r="CQ97" s="4">
        <f t="shared" si="89"/>
        <v>0</v>
      </c>
      <c r="CR97" s="4"/>
      <c r="CS97" s="7"/>
    </row>
    <row r="98" spans="1:97" ht="16.5" x14ac:dyDescent="0.3">
      <c r="A98" s="709" t="s">
        <v>418</v>
      </c>
      <c r="B98" s="725"/>
      <c r="C98" s="3"/>
      <c r="D98" s="3"/>
      <c r="E98" s="4">
        <f t="shared" si="75"/>
        <v>0</v>
      </c>
      <c r="G98" s="7"/>
      <c r="H98" s="725"/>
      <c r="I98" s="3"/>
      <c r="J98" s="3"/>
      <c r="K98" s="4">
        <f t="shared" si="76"/>
        <v>0</v>
      </c>
      <c r="L98" s="4"/>
      <c r="M98" s="7"/>
      <c r="N98" s="725"/>
      <c r="O98" s="3"/>
      <c r="P98" s="3"/>
      <c r="Q98" s="4">
        <f t="shared" si="77"/>
        <v>0</v>
      </c>
      <c r="R98" s="4"/>
      <c r="S98" s="7"/>
      <c r="T98" s="725">
        <v>1006</v>
      </c>
      <c r="U98" s="3">
        <v>242</v>
      </c>
      <c r="V98" s="3">
        <v>1491.25</v>
      </c>
      <c r="W98" s="4">
        <f t="shared" si="78"/>
        <v>1733.25</v>
      </c>
      <c r="X98" s="4">
        <v>1953.84375</v>
      </c>
      <c r="Y98" s="7">
        <v>24236125</v>
      </c>
      <c r="Z98" s="725">
        <v>437</v>
      </c>
      <c r="AA98" s="3">
        <v>748.37999999999988</v>
      </c>
      <c r="AB98" s="3">
        <v>0</v>
      </c>
      <c r="AC98" s="4">
        <f t="shared" si="79"/>
        <v>748.37999999999988</v>
      </c>
      <c r="AD98" s="4">
        <v>605.20000000000005</v>
      </c>
      <c r="AE98" s="7">
        <v>24376807.279999997</v>
      </c>
      <c r="AF98" s="725"/>
      <c r="AG98" s="3"/>
      <c r="AH98" s="3"/>
      <c r="AI98" s="4">
        <f t="shared" si="58"/>
        <v>0</v>
      </c>
      <c r="AJ98" s="4"/>
      <c r="AK98" s="7"/>
      <c r="AL98" s="725"/>
      <c r="AM98" s="3"/>
      <c r="AN98" s="3"/>
      <c r="AO98" s="4">
        <f t="shared" si="80"/>
        <v>0</v>
      </c>
      <c r="AP98" s="4"/>
      <c r="AQ98" s="7"/>
      <c r="AR98" s="725">
        <v>425</v>
      </c>
      <c r="AS98" s="3">
        <v>223.5</v>
      </c>
      <c r="AT98" s="3">
        <v>451</v>
      </c>
      <c r="AU98" s="4">
        <f t="shared" si="81"/>
        <v>674.5</v>
      </c>
      <c r="AV98" s="4">
        <v>1117.5</v>
      </c>
      <c r="AW98" s="7">
        <v>22124968</v>
      </c>
      <c r="AX98" s="725"/>
      <c r="AY98" s="3"/>
      <c r="AZ98" s="3"/>
      <c r="BA98" s="4">
        <f t="shared" si="82"/>
        <v>0</v>
      </c>
      <c r="BB98" s="4"/>
      <c r="BC98" s="7"/>
      <c r="BD98" s="725"/>
      <c r="BE98" s="3"/>
      <c r="BF98" s="3"/>
      <c r="BG98" s="4">
        <f t="shared" si="83"/>
        <v>0</v>
      </c>
      <c r="BH98" s="4"/>
      <c r="BI98" s="7"/>
      <c r="BJ98" s="6"/>
      <c r="BK98" s="5"/>
      <c r="BL98" s="5"/>
      <c r="BM98" s="4">
        <f t="shared" si="84"/>
        <v>0</v>
      </c>
      <c r="BN98" s="4"/>
      <c r="BO98" s="7"/>
      <c r="BP98" s="725">
        <v>40</v>
      </c>
      <c r="BQ98" s="3">
        <v>0</v>
      </c>
      <c r="BR98" s="3">
        <v>70.8</v>
      </c>
      <c r="BS98" s="4">
        <f t="shared" si="85"/>
        <v>70.8</v>
      </c>
      <c r="BT98" s="4">
        <v>216.41499999999999</v>
      </c>
      <c r="BU98" s="7">
        <v>3881356.44</v>
      </c>
      <c r="BV98" s="725"/>
      <c r="BW98" s="3"/>
      <c r="BX98" s="3"/>
      <c r="BY98" s="4">
        <f t="shared" si="86"/>
        <v>0</v>
      </c>
      <c r="BZ98" s="4"/>
      <c r="CA98" s="7"/>
      <c r="CB98" s="725"/>
      <c r="CC98" s="3"/>
      <c r="CD98" s="3"/>
      <c r="CE98" s="4">
        <f t="shared" si="87"/>
        <v>0</v>
      </c>
      <c r="CF98" s="4"/>
      <c r="CG98" s="7"/>
      <c r="CH98" s="725"/>
      <c r="CI98" s="3"/>
      <c r="CJ98" s="3"/>
      <c r="CK98" s="4">
        <f t="shared" si="88"/>
        <v>0</v>
      </c>
      <c r="CL98" s="4"/>
      <c r="CM98" s="7"/>
      <c r="CN98" s="725"/>
      <c r="CO98" s="3"/>
      <c r="CP98" s="3"/>
      <c r="CQ98" s="4">
        <f t="shared" si="89"/>
        <v>0</v>
      </c>
      <c r="CR98" s="4"/>
      <c r="CS98" s="7"/>
    </row>
    <row r="99" spans="1:97" ht="16.5" x14ac:dyDescent="0.3">
      <c r="A99" s="709" t="s">
        <v>419</v>
      </c>
      <c r="B99" s="725"/>
      <c r="C99" s="3"/>
      <c r="D99" s="3"/>
      <c r="E99" s="4">
        <f t="shared" si="75"/>
        <v>0</v>
      </c>
      <c r="G99" s="7"/>
      <c r="H99" s="725"/>
      <c r="I99" s="3"/>
      <c r="J99" s="3"/>
      <c r="K99" s="4">
        <f t="shared" si="76"/>
        <v>0</v>
      </c>
      <c r="L99" s="4"/>
      <c r="M99" s="7"/>
      <c r="N99" s="725"/>
      <c r="O99" s="3"/>
      <c r="P99" s="3"/>
      <c r="Q99" s="4">
        <f t="shared" si="77"/>
        <v>0</v>
      </c>
      <c r="R99" s="4"/>
      <c r="S99" s="7"/>
      <c r="T99" s="725">
        <v>238</v>
      </c>
      <c r="U99" s="3">
        <v>0</v>
      </c>
      <c r="V99" s="3">
        <v>412</v>
      </c>
      <c r="W99" s="4">
        <f t="shared" si="78"/>
        <v>412</v>
      </c>
      <c r="X99" s="4">
        <v>173.04000000000002</v>
      </c>
      <c r="Y99" s="7">
        <v>2076480.0000000005</v>
      </c>
      <c r="Z99" s="725"/>
      <c r="AA99" s="3"/>
      <c r="AB99" s="3"/>
      <c r="AC99" s="4">
        <f t="shared" si="79"/>
        <v>0</v>
      </c>
      <c r="AD99" s="4"/>
      <c r="AE99" s="7"/>
      <c r="AF99" s="725"/>
      <c r="AG99" s="3"/>
      <c r="AH99" s="3"/>
      <c r="AI99" s="4">
        <f t="shared" si="58"/>
        <v>0</v>
      </c>
      <c r="AJ99" s="4"/>
      <c r="AK99" s="7"/>
      <c r="AL99" s="725"/>
      <c r="AM99" s="3"/>
      <c r="AN99" s="3"/>
      <c r="AO99" s="4">
        <f t="shared" si="80"/>
        <v>0</v>
      </c>
      <c r="AP99" s="4"/>
      <c r="AQ99" s="7"/>
      <c r="AR99" s="725">
        <v>64</v>
      </c>
      <c r="AS99" s="3">
        <v>44.8</v>
      </c>
      <c r="AT99" s="3">
        <v>41.5</v>
      </c>
      <c r="AU99" s="4">
        <f t="shared" si="81"/>
        <v>86.3</v>
      </c>
      <c r="AV99" s="4">
        <v>103.75</v>
      </c>
      <c r="AW99" s="7">
        <v>2714644.8</v>
      </c>
      <c r="AX99" s="725"/>
      <c r="AY99" s="3"/>
      <c r="AZ99" s="3"/>
      <c r="BA99" s="4">
        <f t="shared" si="82"/>
        <v>0</v>
      </c>
      <c r="BB99" s="4"/>
      <c r="BC99" s="7"/>
      <c r="BD99" s="725"/>
      <c r="BE99" s="3"/>
      <c r="BF99" s="3"/>
      <c r="BG99" s="4">
        <f t="shared" si="83"/>
        <v>0</v>
      </c>
      <c r="BH99" s="4"/>
      <c r="BI99" s="7"/>
      <c r="BJ99" s="6"/>
      <c r="BK99" s="5"/>
      <c r="BL99" s="5"/>
      <c r="BM99" s="4">
        <f t="shared" si="84"/>
        <v>0</v>
      </c>
      <c r="BN99" s="4"/>
      <c r="BO99" s="7"/>
      <c r="BP99" s="725"/>
      <c r="BQ99" s="3"/>
      <c r="BR99" s="3"/>
      <c r="BS99" s="4">
        <f t="shared" si="85"/>
        <v>0</v>
      </c>
      <c r="BT99" s="4"/>
      <c r="BU99" s="7"/>
      <c r="BV99" s="725">
        <v>25</v>
      </c>
      <c r="BW99" s="3">
        <v>9.6999999999999993</v>
      </c>
      <c r="BX99" s="3">
        <v>16.350000000000001</v>
      </c>
      <c r="BY99" s="4">
        <f t="shared" si="86"/>
        <v>26.05</v>
      </c>
      <c r="BZ99" s="4">
        <v>63.012499999999996</v>
      </c>
      <c r="CA99" s="7">
        <v>756150</v>
      </c>
      <c r="CB99" s="725">
        <v>1</v>
      </c>
      <c r="CC99" s="3">
        <v>2.7</v>
      </c>
      <c r="CD99" s="3">
        <v>0</v>
      </c>
      <c r="CE99" s="4">
        <f t="shared" si="87"/>
        <v>2.7</v>
      </c>
      <c r="CF99" s="4">
        <v>12.15</v>
      </c>
      <c r="CG99" s="7">
        <v>157950.00000000003</v>
      </c>
      <c r="CH99" s="725">
        <v>25</v>
      </c>
      <c r="CI99" s="3">
        <v>9.6999999999999993</v>
      </c>
      <c r="CJ99" s="3">
        <v>16.350000000000001</v>
      </c>
      <c r="CK99" s="4">
        <f t="shared" si="88"/>
        <v>26.05</v>
      </c>
      <c r="CL99" s="4">
        <v>63.012499999999996</v>
      </c>
      <c r="CM99" s="7">
        <v>756150</v>
      </c>
      <c r="CN99" s="725">
        <v>30</v>
      </c>
      <c r="CO99" s="3">
        <v>49.899999999999991</v>
      </c>
      <c r="CP99" s="3">
        <v>2.8</v>
      </c>
      <c r="CQ99" s="4">
        <f t="shared" si="89"/>
        <v>52.699999999999989</v>
      </c>
      <c r="CR99" s="4">
        <v>121.03999999999999</v>
      </c>
      <c r="CS99" s="7">
        <v>2021650</v>
      </c>
    </row>
    <row r="100" spans="1:97" ht="16.5" x14ac:dyDescent="0.3">
      <c r="A100" s="709" t="s">
        <v>420</v>
      </c>
      <c r="B100" s="725"/>
      <c r="C100" s="3"/>
      <c r="D100" s="3"/>
      <c r="E100" s="4">
        <f t="shared" si="75"/>
        <v>0</v>
      </c>
      <c r="G100" s="7"/>
      <c r="H100" s="725"/>
      <c r="I100" s="3"/>
      <c r="J100" s="3"/>
      <c r="K100" s="4">
        <f t="shared" si="76"/>
        <v>0</v>
      </c>
      <c r="L100" s="4"/>
      <c r="M100" s="7"/>
      <c r="N100" s="725">
        <v>0</v>
      </c>
      <c r="O100" s="3">
        <v>0</v>
      </c>
      <c r="P100" s="3">
        <v>125</v>
      </c>
      <c r="Q100" s="4">
        <f t="shared" si="77"/>
        <v>125</v>
      </c>
      <c r="R100" s="4">
        <v>62.5</v>
      </c>
      <c r="S100" s="7">
        <v>937500</v>
      </c>
      <c r="T100" s="725">
        <v>374</v>
      </c>
      <c r="U100" s="3">
        <v>18.899999999999999</v>
      </c>
      <c r="V100" s="3">
        <v>416.5</v>
      </c>
      <c r="W100" s="4">
        <f t="shared" si="78"/>
        <v>435.4</v>
      </c>
      <c r="X100" s="4">
        <v>281.13750000000005</v>
      </c>
      <c r="Y100" s="7">
        <v>3864308.8</v>
      </c>
      <c r="Z100" s="725">
        <v>234</v>
      </c>
      <c r="AA100" s="3">
        <v>228.60000000000002</v>
      </c>
      <c r="AB100" s="3">
        <v>147.30000000000001</v>
      </c>
      <c r="AC100" s="4">
        <f t="shared" si="79"/>
        <v>375.90000000000003</v>
      </c>
      <c r="AD100" s="4"/>
      <c r="AE100" s="7">
        <v>6857324.8000000007</v>
      </c>
      <c r="AF100" s="725"/>
      <c r="AG100" s="3"/>
      <c r="AH100" s="3"/>
      <c r="AI100" s="4">
        <f t="shared" si="58"/>
        <v>0</v>
      </c>
      <c r="AJ100" s="4"/>
      <c r="AK100" s="7"/>
      <c r="AL100" s="725"/>
      <c r="AM100" s="3"/>
      <c r="AN100" s="3"/>
      <c r="AO100" s="4">
        <f t="shared" si="80"/>
        <v>0</v>
      </c>
      <c r="AP100" s="4"/>
      <c r="AQ100" s="7"/>
      <c r="AR100" s="725">
        <v>320</v>
      </c>
      <c r="AS100" s="3">
        <v>167.2</v>
      </c>
      <c r="AT100" s="3">
        <v>217.8</v>
      </c>
      <c r="AU100" s="4">
        <f t="shared" si="81"/>
        <v>385</v>
      </c>
      <c r="AV100" s="4">
        <v>524.78</v>
      </c>
      <c r="AW100" s="7">
        <v>12538311.400000002</v>
      </c>
      <c r="AX100" s="725"/>
      <c r="AY100" s="3"/>
      <c r="AZ100" s="3"/>
      <c r="BA100" s="4">
        <f t="shared" si="82"/>
        <v>0</v>
      </c>
      <c r="BB100" s="4"/>
      <c r="BC100" s="7"/>
      <c r="BD100" s="725"/>
      <c r="BE100" s="3"/>
      <c r="BF100" s="3"/>
      <c r="BG100" s="4">
        <f t="shared" si="83"/>
        <v>0</v>
      </c>
      <c r="BH100" s="4"/>
      <c r="BI100" s="7"/>
      <c r="BJ100" s="6"/>
      <c r="BK100" s="5"/>
      <c r="BL100" s="5"/>
      <c r="BM100" s="4">
        <f t="shared" si="84"/>
        <v>0</v>
      </c>
      <c r="BN100" s="4"/>
      <c r="BO100" s="7"/>
      <c r="BP100" s="725"/>
      <c r="BQ100" s="3"/>
      <c r="BR100" s="3"/>
      <c r="BS100" s="4">
        <f t="shared" si="85"/>
        <v>0</v>
      </c>
      <c r="BT100" s="4"/>
      <c r="BU100" s="7"/>
      <c r="BV100" s="725"/>
      <c r="BW100" s="3"/>
      <c r="BX100" s="3"/>
      <c r="BY100" s="4">
        <f t="shared" si="86"/>
        <v>0</v>
      </c>
      <c r="BZ100" s="4"/>
      <c r="CA100" s="7"/>
      <c r="CB100" s="725">
        <v>68</v>
      </c>
      <c r="CC100" s="3">
        <v>7.5</v>
      </c>
      <c r="CD100" s="3">
        <v>88.300000000000011</v>
      </c>
      <c r="CE100" s="4">
        <f t="shared" si="87"/>
        <v>95.800000000000011</v>
      </c>
      <c r="CF100" s="4">
        <v>259.81</v>
      </c>
      <c r="CG100" s="7">
        <v>2967365</v>
      </c>
      <c r="CH100" s="725"/>
      <c r="CI100" s="3"/>
      <c r="CJ100" s="3"/>
      <c r="CK100" s="4">
        <f t="shared" si="88"/>
        <v>0</v>
      </c>
      <c r="CL100" s="4"/>
      <c r="CM100" s="7"/>
      <c r="CN100" s="725">
        <v>161</v>
      </c>
      <c r="CO100" s="3">
        <v>214.1</v>
      </c>
      <c r="CP100" s="3">
        <v>59.7</v>
      </c>
      <c r="CQ100" s="4">
        <f t="shared" si="89"/>
        <v>273.8</v>
      </c>
      <c r="CR100" s="4">
        <v>231.35</v>
      </c>
      <c r="CS100" s="7">
        <v>8442505.7999999989</v>
      </c>
    </row>
    <row r="101" spans="1:97" ht="16.5" x14ac:dyDescent="0.3">
      <c r="A101" s="709" t="s">
        <v>421</v>
      </c>
      <c r="B101" s="725"/>
      <c r="C101" s="3"/>
      <c r="D101" s="3"/>
      <c r="E101" s="4">
        <f t="shared" si="75"/>
        <v>0</v>
      </c>
      <c r="G101" s="7"/>
      <c r="H101" s="725"/>
      <c r="I101" s="3"/>
      <c r="J101" s="3"/>
      <c r="K101" s="4">
        <f t="shared" si="76"/>
        <v>0</v>
      </c>
      <c r="L101" s="4"/>
      <c r="M101" s="7"/>
      <c r="N101" s="725"/>
      <c r="O101" s="3"/>
      <c r="P101" s="3"/>
      <c r="Q101" s="4">
        <f t="shared" si="77"/>
        <v>0</v>
      </c>
      <c r="R101" s="4"/>
      <c r="S101" s="7"/>
      <c r="T101" s="725">
        <v>944</v>
      </c>
      <c r="U101" s="3">
        <v>221.04</v>
      </c>
      <c r="V101" s="3">
        <v>781.56</v>
      </c>
      <c r="W101" s="4">
        <f t="shared" si="78"/>
        <v>1002.5999999999999</v>
      </c>
      <c r="X101" s="4">
        <v>1773.5544</v>
      </c>
      <c r="Y101" s="7">
        <v>21282652.799999997</v>
      </c>
      <c r="Z101" s="725">
        <v>53</v>
      </c>
      <c r="AA101" s="3">
        <v>85</v>
      </c>
      <c r="AB101" s="3">
        <v>0</v>
      </c>
      <c r="AC101" s="4">
        <f t="shared" si="79"/>
        <v>85</v>
      </c>
      <c r="AD101" s="4"/>
      <c r="AE101" s="7">
        <v>2442560</v>
      </c>
      <c r="AF101" s="725"/>
      <c r="AG101" s="3"/>
      <c r="AH101" s="3"/>
      <c r="AI101" s="4">
        <f t="shared" si="58"/>
        <v>0</v>
      </c>
      <c r="AJ101" s="4"/>
      <c r="AK101" s="7"/>
      <c r="AL101" s="725"/>
      <c r="AM101" s="3"/>
      <c r="AN101" s="3"/>
      <c r="AO101" s="4">
        <f t="shared" si="80"/>
        <v>0</v>
      </c>
      <c r="AP101" s="4"/>
      <c r="AQ101" s="7"/>
      <c r="AR101" s="725">
        <v>30</v>
      </c>
      <c r="AS101" s="3">
        <v>4</v>
      </c>
      <c r="AT101" s="3">
        <v>32</v>
      </c>
      <c r="AU101" s="4">
        <f t="shared" si="81"/>
        <v>36</v>
      </c>
      <c r="AV101" s="4">
        <v>36.9</v>
      </c>
      <c r="AW101" s="7">
        <v>620049.6</v>
      </c>
      <c r="AX101" s="725"/>
      <c r="AY101" s="3"/>
      <c r="AZ101" s="3"/>
      <c r="BA101" s="4">
        <f t="shared" si="82"/>
        <v>0</v>
      </c>
      <c r="BB101" s="4"/>
      <c r="BC101" s="7"/>
      <c r="BD101" s="725"/>
      <c r="BE101" s="3"/>
      <c r="BF101" s="3"/>
      <c r="BG101" s="4">
        <f t="shared" si="83"/>
        <v>0</v>
      </c>
      <c r="BH101" s="4"/>
      <c r="BI101" s="7"/>
      <c r="BJ101" s="6"/>
      <c r="BK101" s="5"/>
      <c r="BL101" s="5"/>
      <c r="BM101" s="4">
        <f t="shared" si="84"/>
        <v>0</v>
      </c>
      <c r="BN101" s="4"/>
      <c r="BO101" s="7"/>
      <c r="BP101" s="725"/>
      <c r="BQ101" s="3"/>
      <c r="BR101" s="3"/>
      <c r="BS101" s="4">
        <f t="shared" si="85"/>
        <v>0</v>
      </c>
      <c r="BT101" s="4"/>
      <c r="BU101" s="7"/>
      <c r="BV101" s="725"/>
      <c r="BW101" s="3"/>
      <c r="BX101" s="3"/>
      <c r="BY101" s="4">
        <f t="shared" si="86"/>
        <v>0</v>
      </c>
      <c r="BZ101" s="4"/>
      <c r="CA101" s="7"/>
      <c r="CB101" s="725"/>
      <c r="CC101" s="3"/>
      <c r="CD101" s="3"/>
      <c r="CE101" s="4">
        <f t="shared" si="87"/>
        <v>0</v>
      </c>
      <c r="CF101" s="4"/>
      <c r="CG101" s="7"/>
      <c r="CH101" s="725"/>
      <c r="CI101" s="3"/>
      <c r="CJ101" s="3"/>
      <c r="CK101" s="4">
        <f t="shared" si="88"/>
        <v>0</v>
      </c>
      <c r="CL101" s="4"/>
      <c r="CM101" s="7"/>
      <c r="CN101" s="725">
        <v>67</v>
      </c>
      <c r="CO101" s="3">
        <v>0</v>
      </c>
      <c r="CP101" s="3">
        <v>0</v>
      </c>
      <c r="CQ101" s="4">
        <f t="shared" si="89"/>
        <v>0</v>
      </c>
      <c r="CR101" s="4">
        <v>0</v>
      </c>
      <c r="CS101" s="7">
        <v>33357.199999999997</v>
      </c>
    </row>
    <row r="102" spans="1:97" ht="16.5" x14ac:dyDescent="0.3">
      <c r="A102" s="709" t="s">
        <v>422</v>
      </c>
      <c r="B102" s="725">
        <v>4</v>
      </c>
      <c r="C102" s="3">
        <v>0</v>
      </c>
      <c r="D102" s="3">
        <v>5</v>
      </c>
      <c r="E102" s="4">
        <f t="shared" si="75"/>
        <v>5</v>
      </c>
      <c r="F102" s="4">
        <v>3.83</v>
      </c>
      <c r="G102" s="7">
        <v>65025</v>
      </c>
      <c r="H102" s="725"/>
      <c r="I102" s="3"/>
      <c r="J102" s="3"/>
      <c r="K102" s="4">
        <f t="shared" si="76"/>
        <v>0</v>
      </c>
      <c r="L102" s="4"/>
      <c r="M102" s="7"/>
      <c r="N102" s="725"/>
      <c r="O102" s="3"/>
      <c r="P102" s="3"/>
      <c r="Q102" s="4">
        <f t="shared" si="77"/>
        <v>0</v>
      </c>
      <c r="R102" s="4"/>
      <c r="S102" s="7"/>
      <c r="T102" s="725">
        <v>72</v>
      </c>
      <c r="U102" s="3">
        <v>3</v>
      </c>
      <c r="V102" s="3">
        <v>90.9</v>
      </c>
      <c r="W102" s="4">
        <f t="shared" si="78"/>
        <v>93.9</v>
      </c>
      <c r="X102" s="4">
        <v>63.382499999999993</v>
      </c>
      <c r="Y102" s="7">
        <v>834361.2</v>
      </c>
      <c r="Z102" s="725">
        <v>44</v>
      </c>
      <c r="AA102" s="3">
        <v>52.5</v>
      </c>
      <c r="AB102" s="3">
        <v>0</v>
      </c>
      <c r="AC102" s="4">
        <f t="shared" si="79"/>
        <v>52.5</v>
      </c>
      <c r="AD102" s="4"/>
      <c r="AE102" s="7">
        <v>1459796</v>
      </c>
      <c r="AF102" s="725">
        <v>18</v>
      </c>
      <c r="AG102" s="3">
        <v>0</v>
      </c>
      <c r="AH102" s="3">
        <v>27</v>
      </c>
      <c r="AI102" s="4">
        <f t="shared" si="58"/>
        <v>27</v>
      </c>
      <c r="AJ102" s="4">
        <v>15.4125</v>
      </c>
      <c r="AK102" s="7">
        <v>242370.9</v>
      </c>
      <c r="AL102" s="725">
        <v>18</v>
      </c>
      <c r="AM102" s="3">
        <v>11.7</v>
      </c>
      <c r="AN102" s="3">
        <v>29.9</v>
      </c>
      <c r="AO102" s="4">
        <f t="shared" si="80"/>
        <v>41.599999999999994</v>
      </c>
      <c r="AP102" s="4">
        <v>222.88499999999999</v>
      </c>
      <c r="AQ102" s="7">
        <v>3304664.9999999995</v>
      </c>
      <c r="AR102" s="725">
        <v>33</v>
      </c>
      <c r="AS102" s="3">
        <v>6.5</v>
      </c>
      <c r="AT102" s="3">
        <v>33.599999999999994</v>
      </c>
      <c r="AU102" s="4">
        <f t="shared" si="81"/>
        <v>40.099999999999994</v>
      </c>
      <c r="AV102" s="4">
        <v>115.30160000000001</v>
      </c>
      <c r="AW102" s="7">
        <v>1674922.7999999998</v>
      </c>
      <c r="AX102" s="725">
        <v>1</v>
      </c>
      <c r="AY102" s="3">
        <v>0</v>
      </c>
      <c r="AZ102" s="3">
        <v>1</v>
      </c>
      <c r="BA102" s="4">
        <f t="shared" si="82"/>
        <v>1</v>
      </c>
      <c r="BB102" s="4">
        <v>2</v>
      </c>
      <c r="BC102" s="7">
        <v>34000</v>
      </c>
      <c r="BD102" s="725"/>
      <c r="BE102" s="3"/>
      <c r="BF102" s="3"/>
      <c r="BG102" s="4">
        <f t="shared" si="83"/>
        <v>0</v>
      </c>
      <c r="BH102" s="4"/>
      <c r="BI102" s="7"/>
      <c r="BJ102" s="6"/>
      <c r="BK102" s="5"/>
      <c r="BL102" s="5"/>
      <c r="BM102" s="4">
        <f t="shared" si="84"/>
        <v>0</v>
      </c>
      <c r="BN102" s="4"/>
      <c r="BO102" s="7"/>
      <c r="BP102" s="725">
        <v>3</v>
      </c>
      <c r="BQ102" s="3">
        <v>2.5</v>
      </c>
      <c r="BR102" s="3">
        <v>2</v>
      </c>
      <c r="BS102" s="4">
        <f t="shared" si="85"/>
        <v>4.5</v>
      </c>
      <c r="BT102" s="4">
        <v>19.260000000000002</v>
      </c>
      <c r="BU102" s="7">
        <v>327420</v>
      </c>
      <c r="BV102" s="725"/>
      <c r="BW102" s="3"/>
      <c r="BX102" s="3"/>
      <c r="BY102" s="4">
        <f t="shared" si="86"/>
        <v>0</v>
      </c>
      <c r="BZ102" s="4"/>
      <c r="CA102" s="7"/>
      <c r="CB102" s="725">
        <v>8</v>
      </c>
      <c r="CC102" s="3">
        <v>4.3</v>
      </c>
      <c r="CD102" s="3">
        <v>2.1</v>
      </c>
      <c r="CE102" s="4">
        <f t="shared" si="87"/>
        <v>6.4</v>
      </c>
      <c r="CF102" s="4">
        <v>10.199999999999999</v>
      </c>
      <c r="CG102" s="7">
        <v>256164.8</v>
      </c>
      <c r="CH102" s="725"/>
      <c r="CI102" s="3"/>
      <c r="CJ102" s="3"/>
      <c r="CK102" s="4">
        <f t="shared" si="88"/>
        <v>0</v>
      </c>
      <c r="CL102" s="4"/>
      <c r="CM102" s="7"/>
      <c r="CN102" s="725">
        <v>16</v>
      </c>
      <c r="CO102" s="3">
        <v>16</v>
      </c>
      <c r="CP102" s="3">
        <v>6.1</v>
      </c>
      <c r="CQ102" s="4">
        <f t="shared" si="89"/>
        <v>22.1</v>
      </c>
      <c r="CR102" s="4">
        <v>9.4410000000000007</v>
      </c>
      <c r="CS102" s="7">
        <v>607754.80000000005</v>
      </c>
    </row>
    <row r="103" spans="1:97" ht="16.5" x14ac:dyDescent="0.3">
      <c r="A103" s="709" t="s">
        <v>423</v>
      </c>
      <c r="B103" s="725">
        <v>8</v>
      </c>
      <c r="C103" s="3">
        <v>0</v>
      </c>
      <c r="D103" s="3">
        <v>13</v>
      </c>
      <c r="E103" s="4">
        <f t="shared" si="75"/>
        <v>13</v>
      </c>
      <c r="F103" s="4">
        <v>11.7</v>
      </c>
      <c r="G103" s="7">
        <v>198900</v>
      </c>
      <c r="H103" s="725">
        <v>419</v>
      </c>
      <c r="I103" s="3">
        <v>77.900000000000006</v>
      </c>
      <c r="J103" s="3">
        <v>533.70000000000005</v>
      </c>
      <c r="K103" s="4">
        <f t="shared" si="76"/>
        <v>611.6</v>
      </c>
      <c r="L103" s="4">
        <v>0</v>
      </c>
      <c r="M103" s="7">
        <v>5309927.0000000009</v>
      </c>
      <c r="N103" s="725"/>
      <c r="O103" s="3"/>
      <c r="P103" s="3"/>
      <c r="Q103" s="4">
        <f t="shared" si="77"/>
        <v>0</v>
      </c>
      <c r="R103" s="4"/>
      <c r="S103" s="7"/>
      <c r="T103" s="725">
        <v>1247</v>
      </c>
      <c r="U103" s="3">
        <v>1537.2</v>
      </c>
      <c r="V103" s="3">
        <v>206</v>
      </c>
      <c r="W103" s="4">
        <f t="shared" si="78"/>
        <v>1743.2</v>
      </c>
      <c r="X103" s="4">
        <v>5167.7550000000001</v>
      </c>
      <c r="Y103" s="7">
        <v>76145712.159999996</v>
      </c>
      <c r="Z103" s="725">
        <v>429</v>
      </c>
      <c r="AA103" s="3">
        <v>719.6</v>
      </c>
      <c r="AB103" s="3">
        <v>0</v>
      </c>
      <c r="AC103" s="4">
        <f t="shared" si="79"/>
        <v>719.6</v>
      </c>
      <c r="AD103" s="4"/>
      <c r="AE103" s="7">
        <v>19468202.399999999</v>
      </c>
      <c r="AF103" s="725">
        <v>359</v>
      </c>
      <c r="AG103" s="3">
        <v>0</v>
      </c>
      <c r="AH103" s="3">
        <v>381</v>
      </c>
      <c r="AI103" s="4">
        <f t="shared" si="58"/>
        <v>381</v>
      </c>
      <c r="AJ103" s="4">
        <v>398.02499999999998</v>
      </c>
      <c r="AK103" s="7">
        <v>6766425</v>
      </c>
      <c r="AL103" s="725"/>
      <c r="AM103" s="3"/>
      <c r="AN103" s="3"/>
      <c r="AO103" s="4">
        <f t="shared" si="80"/>
        <v>0</v>
      </c>
      <c r="AP103" s="4"/>
      <c r="AQ103" s="7"/>
      <c r="AR103" s="725">
        <v>406</v>
      </c>
      <c r="AS103" s="3">
        <v>570</v>
      </c>
      <c r="AT103" s="3">
        <v>0</v>
      </c>
      <c r="AU103" s="4">
        <f t="shared" si="81"/>
        <v>570</v>
      </c>
      <c r="AV103" s="4">
        <v>1474.8</v>
      </c>
      <c r="AW103" s="7">
        <v>28275984</v>
      </c>
      <c r="AX103" s="725">
        <v>96</v>
      </c>
      <c r="AY103" s="3">
        <v>0</v>
      </c>
      <c r="AZ103" s="3">
        <v>125</v>
      </c>
      <c r="BA103" s="4">
        <f t="shared" si="82"/>
        <v>125</v>
      </c>
      <c r="BB103" s="4">
        <v>475</v>
      </c>
      <c r="BC103" s="7">
        <v>8075000</v>
      </c>
      <c r="BD103" s="725"/>
      <c r="BE103" s="3"/>
      <c r="BF103" s="3"/>
      <c r="BG103" s="4">
        <f t="shared" si="83"/>
        <v>0</v>
      </c>
      <c r="BH103" s="4"/>
      <c r="BI103" s="7"/>
      <c r="BJ103" s="6"/>
      <c r="BK103" s="5"/>
      <c r="BL103" s="5"/>
      <c r="BM103" s="4">
        <f t="shared" si="84"/>
        <v>0</v>
      </c>
      <c r="BN103" s="4"/>
      <c r="BO103" s="7"/>
      <c r="BP103" s="725"/>
      <c r="BQ103" s="3"/>
      <c r="BR103" s="3"/>
      <c r="BS103" s="4">
        <f t="shared" si="85"/>
        <v>0</v>
      </c>
      <c r="BT103" s="4"/>
      <c r="BU103" s="7"/>
      <c r="BV103" s="725">
        <v>429</v>
      </c>
      <c r="BW103" s="3">
        <v>0</v>
      </c>
      <c r="BX103" s="3">
        <v>600</v>
      </c>
      <c r="BY103" s="4">
        <f t="shared" si="86"/>
        <v>600</v>
      </c>
      <c r="BZ103" s="4">
        <v>2204</v>
      </c>
      <c r="CA103" s="7">
        <v>33060000</v>
      </c>
      <c r="CB103" s="725">
        <v>259</v>
      </c>
      <c r="CC103" s="3">
        <v>0</v>
      </c>
      <c r="CD103" s="3">
        <v>436</v>
      </c>
      <c r="CE103" s="4">
        <f t="shared" si="87"/>
        <v>436</v>
      </c>
      <c r="CF103" s="4">
        <v>1449.7</v>
      </c>
      <c r="CG103" s="7">
        <v>21745500</v>
      </c>
      <c r="CH103" s="725">
        <v>429</v>
      </c>
      <c r="CI103" s="3">
        <v>0</v>
      </c>
      <c r="CJ103" s="3">
        <v>600</v>
      </c>
      <c r="CK103" s="4">
        <f t="shared" si="88"/>
        <v>600</v>
      </c>
      <c r="CL103" s="4">
        <v>2204</v>
      </c>
      <c r="CM103" s="7">
        <v>33060000</v>
      </c>
      <c r="CN103" s="725">
        <v>225</v>
      </c>
      <c r="CO103" s="3">
        <v>58</v>
      </c>
      <c r="CP103" s="3">
        <v>219</v>
      </c>
      <c r="CQ103" s="4">
        <f t="shared" si="89"/>
        <v>277</v>
      </c>
      <c r="CR103" s="4">
        <v>985.5</v>
      </c>
      <c r="CS103" s="7">
        <v>16973496</v>
      </c>
    </row>
    <row r="104" spans="1:97" ht="16.5" x14ac:dyDescent="0.3">
      <c r="A104" s="709" t="s">
        <v>424</v>
      </c>
      <c r="B104" s="725"/>
      <c r="C104" s="3"/>
      <c r="D104" s="3"/>
      <c r="E104" s="4">
        <f t="shared" si="75"/>
        <v>0</v>
      </c>
      <c r="G104" s="7"/>
      <c r="H104" s="725"/>
      <c r="I104" s="3"/>
      <c r="J104" s="3"/>
      <c r="K104" s="4">
        <f t="shared" si="76"/>
        <v>0</v>
      </c>
      <c r="L104" s="4"/>
      <c r="M104" s="7"/>
      <c r="N104" s="725"/>
      <c r="O104" s="3"/>
      <c r="P104" s="3"/>
      <c r="Q104" s="4">
        <f t="shared" si="77"/>
        <v>0</v>
      </c>
      <c r="R104" s="4"/>
      <c r="S104" s="7"/>
      <c r="T104" s="725"/>
      <c r="U104" s="3"/>
      <c r="V104" s="3"/>
      <c r="W104" s="4">
        <f t="shared" si="78"/>
        <v>0</v>
      </c>
      <c r="X104" s="4"/>
      <c r="Y104" s="7"/>
      <c r="Z104" s="725"/>
      <c r="AA104" s="3"/>
      <c r="AB104" s="3"/>
      <c r="AC104" s="4">
        <f t="shared" si="79"/>
        <v>0</v>
      </c>
      <c r="AD104" s="4"/>
      <c r="AE104" s="7"/>
      <c r="AF104" s="725"/>
      <c r="AG104" s="3"/>
      <c r="AH104" s="3"/>
      <c r="AI104" s="4">
        <f t="shared" si="58"/>
        <v>0</v>
      </c>
      <c r="AJ104" s="4"/>
      <c r="AK104" s="7"/>
      <c r="AL104" s="725"/>
      <c r="AM104" s="3"/>
      <c r="AN104" s="3"/>
      <c r="AO104" s="4">
        <f t="shared" si="80"/>
        <v>0</v>
      </c>
      <c r="AP104" s="4"/>
      <c r="AQ104" s="7"/>
      <c r="AR104" s="725"/>
      <c r="AS104" s="3"/>
      <c r="AT104" s="3"/>
      <c r="AU104" s="4">
        <f t="shared" si="81"/>
        <v>0</v>
      </c>
      <c r="AV104" s="4"/>
      <c r="AW104" s="7"/>
      <c r="AX104" s="725"/>
      <c r="AY104" s="3"/>
      <c r="AZ104" s="3"/>
      <c r="BA104" s="4">
        <f t="shared" si="82"/>
        <v>0</v>
      </c>
      <c r="BB104" s="4"/>
      <c r="BC104" s="7"/>
      <c r="BD104" s="725"/>
      <c r="BE104" s="3"/>
      <c r="BF104" s="3"/>
      <c r="BG104" s="4">
        <f t="shared" si="83"/>
        <v>0</v>
      </c>
      <c r="BH104" s="4"/>
      <c r="BI104" s="7"/>
      <c r="BJ104" s="6"/>
      <c r="BK104" s="5"/>
      <c r="BL104" s="5"/>
      <c r="BM104" s="4">
        <f t="shared" si="84"/>
        <v>0</v>
      </c>
      <c r="BN104" s="4"/>
      <c r="BO104" s="7"/>
      <c r="BP104" s="725"/>
      <c r="BQ104" s="3"/>
      <c r="BR104" s="3"/>
      <c r="BS104" s="4">
        <f t="shared" si="85"/>
        <v>0</v>
      </c>
      <c r="BT104" s="4"/>
      <c r="BU104" s="7"/>
      <c r="BV104" s="725"/>
      <c r="BW104" s="3"/>
      <c r="BX104" s="3"/>
      <c r="BY104" s="4">
        <f t="shared" si="86"/>
        <v>0</v>
      </c>
      <c r="BZ104" s="4"/>
      <c r="CA104" s="7"/>
      <c r="CB104" s="725"/>
      <c r="CC104" s="3"/>
      <c r="CD104" s="3"/>
      <c r="CE104" s="4">
        <f t="shared" si="87"/>
        <v>0</v>
      </c>
      <c r="CF104" s="4"/>
      <c r="CG104" s="7"/>
      <c r="CH104" s="725"/>
      <c r="CI104" s="3"/>
      <c r="CJ104" s="3"/>
      <c r="CK104" s="4">
        <f t="shared" ref="CK104:CK108" si="90">SUM(CI104:CJ104)</f>
        <v>0</v>
      </c>
      <c r="CL104" s="4"/>
      <c r="CM104" s="7"/>
      <c r="CN104" s="725"/>
      <c r="CO104" s="3"/>
      <c r="CP104" s="3"/>
      <c r="CQ104" s="4">
        <f t="shared" si="89"/>
        <v>0</v>
      </c>
      <c r="CR104" s="4"/>
      <c r="CS104" s="7"/>
    </row>
    <row r="105" spans="1:97" ht="16.5" x14ac:dyDescent="0.3">
      <c r="A105" s="709" t="s">
        <v>425</v>
      </c>
      <c r="B105" s="725"/>
      <c r="C105" s="3"/>
      <c r="D105" s="3"/>
      <c r="E105" s="4">
        <f t="shared" si="75"/>
        <v>0</v>
      </c>
      <c r="G105" s="7"/>
      <c r="H105" s="725"/>
      <c r="I105" s="3"/>
      <c r="J105" s="3"/>
      <c r="K105" s="4">
        <f t="shared" si="76"/>
        <v>0</v>
      </c>
      <c r="L105" s="4"/>
      <c r="M105" s="7"/>
      <c r="N105" s="725"/>
      <c r="O105" s="3"/>
      <c r="P105" s="3"/>
      <c r="Q105" s="4">
        <f t="shared" si="77"/>
        <v>0</v>
      </c>
      <c r="R105" s="4"/>
      <c r="S105" s="7"/>
      <c r="T105" s="725">
        <v>24</v>
      </c>
      <c r="U105" s="3">
        <v>25.200000000000003</v>
      </c>
      <c r="V105" s="3">
        <v>0</v>
      </c>
      <c r="W105" s="4">
        <f t="shared" si="78"/>
        <v>25.200000000000003</v>
      </c>
      <c r="X105" s="4">
        <v>38.699999999999996</v>
      </c>
      <c r="Y105" s="7">
        <v>941417.60000000009</v>
      </c>
      <c r="Z105" s="725"/>
      <c r="AA105" s="3"/>
      <c r="AB105" s="3"/>
      <c r="AC105" s="4">
        <f t="shared" si="79"/>
        <v>0</v>
      </c>
      <c r="AD105" s="4"/>
      <c r="AE105" s="7"/>
      <c r="AF105" s="725"/>
      <c r="AG105" s="3"/>
      <c r="AH105" s="3"/>
      <c r="AI105" s="4">
        <f t="shared" si="58"/>
        <v>0</v>
      </c>
      <c r="AJ105" s="4"/>
      <c r="AK105" s="7"/>
      <c r="AL105" s="725"/>
      <c r="AM105" s="3"/>
      <c r="AN105" s="3"/>
      <c r="AO105" s="4">
        <f t="shared" si="80"/>
        <v>0</v>
      </c>
      <c r="AP105" s="4"/>
      <c r="AQ105" s="7"/>
      <c r="AR105" s="725"/>
      <c r="AS105" s="3"/>
      <c r="AT105" s="3"/>
      <c r="AU105" s="4">
        <f t="shared" si="81"/>
        <v>0</v>
      </c>
      <c r="AV105" s="4"/>
      <c r="AW105" s="7"/>
      <c r="AX105" s="725"/>
      <c r="AY105" s="3"/>
      <c r="AZ105" s="3"/>
      <c r="BA105" s="4">
        <f t="shared" si="82"/>
        <v>0</v>
      </c>
      <c r="BB105" s="4"/>
      <c r="BC105" s="7"/>
      <c r="BD105" s="725"/>
      <c r="BE105" s="3"/>
      <c r="BF105" s="3"/>
      <c r="BG105" s="4">
        <f t="shared" si="83"/>
        <v>0</v>
      </c>
      <c r="BH105" s="4"/>
      <c r="BI105" s="7"/>
      <c r="BJ105" s="6"/>
      <c r="BK105" s="5"/>
      <c r="BL105" s="5"/>
      <c r="BM105" s="4">
        <f t="shared" si="84"/>
        <v>0</v>
      </c>
      <c r="BN105" s="4"/>
      <c r="BO105" s="7"/>
      <c r="BP105" s="725"/>
      <c r="BQ105" s="3"/>
      <c r="BR105" s="3"/>
      <c r="BS105" s="4">
        <f t="shared" si="85"/>
        <v>0</v>
      </c>
      <c r="BT105" s="4"/>
      <c r="BU105" s="7"/>
      <c r="BV105" s="725"/>
      <c r="BW105" s="3"/>
      <c r="BX105" s="3"/>
      <c r="BY105" s="4">
        <f t="shared" si="86"/>
        <v>0</v>
      </c>
      <c r="BZ105" s="4"/>
      <c r="CA105" s="7"/>
      <c r="CB105" s="725"/>
      <c r="CC105" s="3"/>
      <c r="CD105" s="3"/>
      <c r="CE105" s="4">
        <f t="shared" si="87"/>
        <v>0</v>
      </c>
      <c r="CF105" s="4"/>
      <c r="CG105" s="7"/>
      <c r="CH105" s="725"/>
      <c r="CI105" s="3"/>
      <c r="CJ105" s="3"/>
      <c r="CK105" s="4">
        <f t="shared" si="90"/>
        <v>0</v>
      </c>
      <c r="CL105" s="4"/>
      <c r="CM105" s="7"/>
      <c r="CN105" s="725">
        <v>9</v>
      </c>
      <c r="CO105" s="3">
        <v>11.3</v>
      </c>
      <c r="CP105" s="3">
        <v>0</v>
      </c>
      <c r="CQ105" s="4">
        <f t="shared" si="89"/>
        <v>11.3</v>
      </c>
      <c r="CR105" s="4">
        <v>40</v>
      </c>
      <c r="CS105" s="7">
        <v>576069.6</v>
      </c>
    </row>
    <row r="106" spans="1:97" ht="16.5" x14ac:dyDescent="0.3">
      <c r="A106" s="709" t="s">
        <v>426</v>
      </c>
      <c r="B106" s="725">
        <v>150</v>
      </c>
      <c r="C106" s="3">
        <v>0</v>
      </c>
      <c r="D106" s="3">
        <v>143.4</v>
      </c>
      <c r="E106" s="4">
        <f t="shared" si="75"/>
        <v>143.4</v>
      </c>
      <c r="F106" s="4">
        <v>96.8</v>
      </c>
      <c r="G106" s="7">
        <v>1645515</v>
      </c>
      <c r="H106" s="725">
        <v>317</v>
      </c>
      <c r="I106" s="3">
        <v>635.23</v>
      </c>
      <c r="J106" s="3">
        <v>17.850000000000001</v>
      </c>
      <c r="K106" s="4">
        <f t="shared" si="76"/>
        <v>653.08000000000004</v>
      </c>
      <c r="L106" s="4">
        <v>54.97</v>
      </c>
      <c r="M106" s="7">
        <v>17813917.074999999</v>
      </c>
      <c r="N106" s="725"/>
      <c r="O106" s="3"/>
      <c r="P106" s="3"/>
      <c r="Q106" s="4">
        <f t="shared" si="77"/>
        <v>0</v>
      </c>
      <c r="R106" s="4"/>
      <c r="S106" s="7"/>
      <c r="T106" s="725">
        <v>837</v>
      </c>
      <c r="U106" s="3">
        <v>1423.5</v>
      </c>
      <c r="V106" s="3">
        <v>0</v>
      </c>
      <c r="W106" s="4">
        <f t="shared" si="78"/>
        <v>1423.5</v>
      </c>
      <c r="X106" s="4">
        <v>3261.6</v>
      </c>
      <c r="Y106" s="7">
        <v>60518784</v>
      </c>
      <c r="Z106" s="725">
        <v>945</v>
      </c>
      <c r="AA106" s="3">
        <v>2120.1999999999998</v>
      </c>
      <c r="AB106" s="3">
        <v>0</v>
      </c>
      <c r="AC106" s="4">
        <f t="shared" si="79"/>
        <v>2120.1999999999998</v>
      </c>
      <c r="AD106" s="4"/>
      <c r="AE106" s="7">
        <v>60926067.199999996</v>
      </c>
      <c r="AF106" s="725"/>
      <c r="AG106" s="3"/>
      <c r="AH106" s="3"/>
      <c r="AI106" s="4">
        <f t="shared" si="58"/>
        <v>0</v>
      </c>
      <c r="AJ106" s="4"/>
      <c r="AK106" s="7"/>
      <c r="AL106" s="725">
        <v>115</v>
      </c>
      <c r="AM106" s="3">
        <v>22.8</v>
      </c>
      <c r="AN106" s="3">
        <v>259.60000000000002</v>
      </c>
      <c r="AO106" s="4">
        <f t="shared" si="80"/>
        <v>282.40000000000003</v>
      </c>
      <c r="AP106" s="4">
        <v>589.52499999999998</v>
      </c>
      <c r="AQ106" s="7">
        <v>11790500</v>
      </c>
      <c r="AR106" s="725">
        <v>127</v>
      </c>
      <c r="AS106" s="3">
        <v>1.5</v>
      </c>
      <c r="AT106" s="3">
        <v>254.7</v>
      </c>
      <c r="AU106" s="4">
        <f t="shared" si="81"/>
        <v>256.2</v>
      </c>
      <c r="AV106" s="4">
        <v>0</v>
      </c>
      <c r="AW106" s="7">
        <v>3238258.1999999997</v>
      </c>
      <c r="AX106" s="725"/>
      <c r="AY106" s="3"/>
      <c r="AZ106" s="3"/>
      <c r="BA106" s="4">
        <f t="shared" si="82"/>
        <v>0</v>
      </c>
      <c r="BB106" s="4"/>
      <c r="BC106" s="7"/>
      <c r="BD106" s="725"/>
      <c r="BE106" s="3"/>
      <c r="BF106" s="3"/>
      <c r="BG106" s="4">
        <f t="shared" si="83"/>
        <v>0</v>
      </c>
      <c r="BH106" s="4"/>
      <c r="BI106" s="7"/>
      <c r="BJ106" s="8"/>
      <c r="BK106" s="3"/>
      <c r="BL106" s="3"/>
      <c r="BM106" s="4">
        <f t="shared" si="84"/>
        <v>0</v>
      </c>
      <c r="BN106" s="4"/>
      <c r="BO106" s="7"/>
      <c r="BP106" s="725">
        <v>67</v>
      </c>
      <c r="BQ106" s="3">
        <v>0</v>
      </c>
      <c r="BR106" s="3">
        <v>179.27</v>
      </c>
      <c r="BS106" s="4">
        <f t="shared" si="85"/>
        <v>179.27</v>
      </c>
      <c r="BT106" s="4">
        <v>313.72249999999997</v>
      </c>
      <c r="BU106" s="7">
        <v>5333282.4999999991</v>
      </c>
      <c r="BV106" s="725"/>
      <c r="BW106" s="3"/>
      <c r="BX106" s="3"/>
      <c r="BY106" s="4">
        <f t="shared" si="86"/>
        <v>0</v>
      </c>
      <c r="BZ106" s="4"/>
      <c r="CA106" s="7"/>
      <c r="CB106" s="725">
        <v>9</v>
      </c>
      <c r="CC106" s="3">
        <v>6</v>
      </c>
      <c r="CD106" s="3">
        <v>0</v>
      </c>
      <c r="CE106" s="4">
        <f t="shared" si="87"/>
        <v>6</v>
      </c>
      <c r="CF106" s="4">
        <v>30</v>
      </c>
      <c r="CG106" s="7">
        <v>427000</v>
      </c>
      <c r="CH106" s="725"/>
      <c r="CI106" s="3"/>
      <c r="CJ106" s="3"/>
      <c r="CK106" s="4">
        <f t="shared" si="90"/>
        <v>0</v>
      </c>
      <c r="CL106" s="4"/>
      <c r="CM106" s="7"/>
      <c r="CN106" s="725">
        <v>190</v>
      </c>
      <c r="CO106" s="3">
        <v>315.79000000000002</v>
      </c>
      <c r="CP106" s="3">
        <v>0</v>
      </c>
      <c r="CQ106" s="4">
        <f t="shared" si="89"/>
        <v>315.79000000000002</v>
      </c>
      <c r="CR106" s="4">
        <v>1532.4499999999998</v>
      </c>
      <c r="CS106" s="7">
        <v>18660141.599999998</v>
      </c>
    </row>
    <row r="107" spans="1:97" ht="16.5" x14ac:dyDescent="0.3">
      <c r="A107" s="709" t="s">
        <v>427</v>
      </c>
      <c r="B107" s="725">
        <v>75</v>
      </c>
      <c r="C107" s="3">
        <v>0</v>
      </c>
      <c r="D107" s="3">
        <v>92.6</v>
      </c>
      <c r="E107" s="4">
        <f t="shared" si="75"/>
        <v>92.6</v>
      </c>
      <c r="F107" s="4">
        <v>62.51</v>
      </c>
      <c r="G107" s="7">
        <v>1062585</v>
      </c>
      <c r="H107" s="725">
        <v>98</v>
      </c>
      <c r="I107" s="3">
        <v>89</v>
      </c>
      <c r="J107" s="3">
        <v>102</v>
      </c>
      <c r="K107" s="4">
        <f t="shared" si="76"/>
        <v>191</v>
      </c>
      <c r="L107" s="4">
        <v>128.6</v>
      </c>
      <c r="M107" s="7">
        <v>4152245</v>
      </c>
      <c r="N107" s="725"/>
      <c r="O107" s="3"/>
      <c r="P107" s="3"/>
      <c r="Q107" s="4">
        <f t="shared" si="77"/>
        <v>0</v>
      </c>
      <c r="R107" s="4"/>
      <c r="S107" s="7"/>
      <c r="T107" s="725">
        <v>849</v>
      </c>
      <c r="U107" s="3">
        <v>684</v>
      </c>
      <c r="V107" s="3">
        <v>0</v>
      </c>
      <c r="W107" s="4">
        <f t="shared" si="78"/>
        <v>684</v>
      </c>
      <c r="X107" s="4">
        <v>1298.0000000000002</v>
      </c>
      <c r="Y107" s="7">
        <v>26365072</v>
      </c>
      <c r="Z107" s="725">
        <v>618</v>
      </c>
      <c r="AA107" s="3">
        <v>1365</v>
      </c>
      <c r="AB107" s="3">
        <v>0</v>
      </c>
      <c r="AC107" s="4">
        <f t="shared" si="79"/>
        <v>1365</v>
      </c>
      <c r="AD107" s="4"/>
      <c r="AE107" s="7">
        <v>36777524</v>
      </c>
      <c r="AF107" s="725">
        <v>58</v>
      </c>
      <c r="AG107" s="3"/>
      <c r="AH107" s="3">
        <v>117.5</v>
      </c>
      <c r="AI107" s="4">
        <f t="shared" si="58"/>
        <v>117.5</v>
      </c>
      <c r="AJ107" s="4">
        <v>146.88</v>
      </c>
      <c r="AK107" s="7">
        <v>2496875</v>
      </c>
      <c r="AL107" s="725"/>
      <c r="AM107" s="3"/>
      <c r="AN107" s="3"/>
      <c r="AO107" s="4">
        <f t="shared" si="80"/>
        <v>0</v>
      </c>
      <c r="AP107" s="4"/>
      <c r="AQ107" s="7"/>
      <c r="AR107" s="725">
        <v>143</v>
      </c>
      <c r="AS107" s="3">
        <v>0</v>
      </c>
      <c r="AT107" s="3">
        <v>200</v>
      </c>
      <c r="AU107" s="4">
        <f t="shared" si="81"/>
        <v>200</v>
      </c>
      <c r="AV107" s="4">
        <v>0</v>
      </c>
      <c r="AW107" s="7">
        <v>2873600</v>
      </c>
      <c r="AX107" s="725"/>
      <c r="AY107" s="3"/>
      <c r="AZ107" s="3"/>
      <c r="BA107" s="4">
        <f t="shared" si="82"/>
        <v>0</v>
      </c>
      <c r="BB107" s="4"/>
      <c r="BC107" s="7"/>
      <c r="BD107" s="725"/>
      <c r="BE107" s="3"/>
      <c r="BF107" s="3"/>
      <c r="BG107" s="4">
        <f t="shared" si="83"/>
        <v>0</v>
      </c>
      <c r="BH107" s="4"/>
      <c r="BI107" s="7"/>
      <c r="BJ107" s="8"/>
      <c r="BK107" s="3"/>
      <c r="BL107" s="3"/>
      <c r="BM107" s="4">
        <f t="shared" si="84"/>
        <v>0</v>
      </c>
      <c r="BN107" s="4"/>
      <c r="BO107" s="7"/>
      <c r="BP107" s="725">
        <v>202</v>
      </c>
      <c r="BQ107" s="3">
        <v>0</v>
      </c>
      <c r="BR107" s="3">
        <v>383.9</v>
      </c>
      <c r="BS107" s="4">
        <f t="shared" si="85"/>
        <v>383.9</v>
      </c>
      <c r="BT107" s="4">
        <v>1060.2</v>
      </c>
      <c r="BU107" s="7">
        <v>18023400</v>
      </c>
      <c r="BV107" s="725"/>
      <c r="BW107" s="3"/>
      <c r="BX107" s="3"/>
      <c r="BY107" s="4">
        <f t="shared" si="86"/>
        <v>0</v>
      </c>
      <c r="BZ107" s="4"/>
      <c r="CA107" s="7"/>
      <c r="CB107" s="725">
        <v>9</v>
      </c>
      <c r="CC107" s="3">
        <v>24.8</v>
      </c>
      <c r="CD107" s="3">
        <v>0</v>
      </c>
      <c r="CE107" s="4">
        <f t="shared" si="87"/>
        <v>24.8</v>
      </c>
      <c r="CF107" s="4">
        <v>124</v>
      </c>
      <c r="CG107" s="7">
        <v>1612000</v>
      </c>
      <c r="CH107" s="725"/>
      <c r="CI107" s="3"/>
      <c r="CJ107" s="3"/>
      <c r="CK107" s="4">
        <f t="shared" si="90"/>
        <v>0</v>
      </c>
      <c r="CL107" s="4"/>
      <c r="CM107" s="7"/>
      <c r="CN107" s="725">
        <v>416</v>
      </c>
      <c r="CO107" s="3">
        <v>729</v>
      </c>
      <c r="CP107" s="3">
        <v>0</v>
      </c>
      <c r="CQ107" s="4">
        <f t="shared" si="89"/>
        <v>729</v>
      </c>
      <c r="CR107" s="4">
        <v>0</v>
      </c>
      <c r="CS107" s="7">
        <v>20450528</v>
      </c>
    </row>
    <row r="108" spans="1:97" ht="16.5" x14ac:dyDescent="0.3">
      <c r="A108" s="709" t="s">
        <v>428</v>
      </c>
      <c r="B108" s="725"/>
      <c r="C108" s="3"/>
      <c r="D108" s="3"/>
      <c r="E108" s="4">
        <f t="shared" si="75"/>
        <v>0</v>
      </c>
      <c r="G108" s="7"/>
      <c r="H108" s="725"/>
      <c r="I108" s="3"/>
      <c r="J108" s="3"/>
      <c r="K108" s="4">
        <f t="shared" si="76"/>
        <v>0</v>
      </c>
      <c r="L108" s="4"/>
      <c r="M108" s="7"/>
      <c r="N108" s="725"/>
      <c r="O108" s="3"/>
      <c r="P108" s="3"/>
      <c r="Q108" s="4">
        <f t="shared" si="77"/>
        <v>0</v>
      </c>
      <c r="R108" s="4"/>
      <c r="S108" s="7"/>
      <c r="T108" s="725">
        <v>20</v>
      </c>
      <c r="U108" s="3">
        <v>36.700000000000003</v>
      </c>
      <c r="V108" s="3">
        <v>0</v>
      </c>
      <c r="W108" s="4">
        <f t="shared" si="78"/>
        <v>36.700000000000003</v>
      </c>
      <c r="X108" s="4"/>
      <c r="Y108" s="7">
        <v>1054611.2000000002</v>
      </c>
      <c r="Z108" s="725">
        <v>40</v>
      </c>
      <c r="AA108" s="3">
        <v>49.5</v>
      </c>
      <c r="AB108" s="3">
        <v>0</v>
      </c>
      <c r="AC108" s="4">
        <f t="shared" si="79"/>
        <v>49.5</v>
      </c>
      <c r="AD108" s="4">
        <v>12</v>
      </c>
      <c r="AE108" s="7">
        <v>1646668</v>
      </c>
      <c r="AF108" s="725"/>
      <c r="AG108" s="3"/>
      <c r="AH108" s="3"/>
      <c r="AI108" s="4">
        <f t="shared" si="58"/>
        <v>0</v>
      </c>
      <c r="AJ108" s="4"/>
      <c r="AK108" s="7"/>
      <c r="AL108" s="725"/>
      <c r="AM108" s="3"/>
      <c r="AN108" s="3"/>
      <c r="AO108" s="4">
        <f t="shared" si="80"/>
        <v>0</v>
      </c>
      <c r="AP108" s="4"/>
      <c r="AQ108" s="7"/>
      <c r="AR108" s="725">
        <v>7</v>
      </c>
      <c r="AS108" s="3">
        <v>15</v>
      </c>
      <c r="AT108" s="3">
        <v>0</v>
      </c>
      <c r="AU108" s="4">
        <f t="shared" si="81"/>
        <v>15</v>
      </c>
      <c r="AV108" s="4">
        <v>0</v>
      </c>
      <c r="AW108" s="7">
        <v>458900</v>
      </c>
      <c r="AX108" s="725"/>
      <c r="AY108" s="3"/>
      <c r="AZ108" s="3"/>
      <c r="BA108" s="4">
        <f t="shared" si="82"/>
        <v>0</v>
      </c>
      <c r="BB108" s="4"/>
      <c r="BC108" s="7"/>
      <c r="BD108" s="725"/>
      <c r="BE108" s="3"/>
      <c r="BF108" s="3"/>
      <c r="BG108" s="4">
        <f t="shared" si="83"/>
        <v>0</v>
      </c>
      <c r="BH108" s="4"/>
      <c r="BI108" s="7"/>
      <c r="BJ108" s="8">
        <v>1</v>
      </c>
      <c r="BK108" s="3">
        <v>0</v>
      </c>
      <c r="BL108" s="3">
        <v>0.5</v>
      </c>
      <c r="BM108" s="4">
        <f t="shared" si="84"/>
        <v>0.5</v>
      </c>
      <c r="BN108" s="4">
        <v>0</v>
      </c>
      <c r="BO108" s="7">
        <v>2911.2000000000003</v>
      </c>
      <c r="BP108" s="725">
        <v>3</v>
      </c>
      <c r="BQ108" s="3">
        <v>0</v>
      </c>
      <c r="BR108" s="3">
        <v>3</v>
      </c>
      <c r="BS108" s="4">
        <f t="shared" si="85"/>
        <v>3</v>
      </c>
      <c r="BT108" s="4">
        <v>2.8049999999999997</v>
      </c>
      <c r="BU108" s="7">
        <v>47685</v>
      </c>
      <c r="BV108" s="725"/>
      <c r="BW108" s="3"/>
      <c r="BX108" s="3"/>
      <c r="BY108" s="4">
        <f t="shared" si="86"/>
        <v>0</v>
      </c>
      <c r="BZ108" s="4"/>
      <c r="CA108" s="7"/>
      <c r="CB108" s="725"/>
      <c r="CC108" s="3"/>
      <c r="CD108" s="3"/>
      <c r="CE108" s="4">
        <f t="shared" si="87"/>
        <v>0</v>
      </c>
      <c r="CF108" s="4"/>
      <c r="CG108" s="7"/>
      <c r="CH108" s="725"/>
      <c r="CI108" s="3"/>
      <c r="CJ108" s="3"/>
      <c r="CK108" s="4">
        <f t="shared" si="90"/>
        <v>0</v>
      </c>
      <c r="CL108" s="4"/>
      <c r="CM108" s="7"/>
      <c r="CN108" s="725">
        <v>30</v>
      </c>
      <c r="CO108" s="3">
        <v>0</v>
      </c>
      <c r="CP108" s="3">
        <v>70.210000000000008</v>
      </c>
      <c r="CQ108" s="4">
        <f t="shared" si="89"/>
        <v>70.210000000000008</v>
      </c>
      <c r="CR108" s="4">
        <v>17.639999999999997</v>
      </c>
      <c r="CS108" s="7">
        <v>331024.73600000003</v>
      </c>
    </row>
    <row r="109" spans="1:97" ht="16.5" x14ac:dyDescent="0.3">
      <c r="A109" s="709" t="s">
        <v>429</v>
      </c>
      <c r="B109" s="725"/>
      <c r="C109" s="3"/>
      <c r="D109" s="3"/>
      <c r="E109" s="4">
        <f t="shared" si="75"/>
        <v>0</v>
      </c>
      <c r="G109" s="7"/>
      <c r="H109" s="725">
        <v>2292</v>
      </c>
      <c r="I109" s="3">
        <v>2612.5500000000002</v>
      </c>
      <c r="J109" s="3">
        <v>1279.3</v>
      </c>
      <c r="K109" s="4">
        <f t="shared" si="76"/>
        <v>3891.8500000000004</v>
      </c>
      <c r="L109" s="4">
        <v>3316.6</v>
      </c>
      <c r="M109" s="7">
        <v>110888085.5</v>
      </c>
      <c r="N109" s="725">
        <v>1367</v>
      </c>
      <c r="O109" s="3">
        <v>770.5</v>
      </c>
      <c r="P109" s="3">
        <v>715.6</v>
      </c>
      <c r="Q109" s="4">
        <f t="shared" si="77"/>
        <v>1486.1</v>
      </c>
      <c r="R109" s="4">
        <v>1914.75</v>
      </c>
      <c r="S109" s="7">
        <v>43209872.799999997</v>
      </c>
      <c r="T109" s="725">
        <v>3365</v>
      </c>
      <c r="U109" s="3">
        <v>6555.3</v>
      </c>
      <c r="V109" s="3">
        <v>0</v>
      </c>
      <c r="W109" s="4">
        <f t="shared" si="78"/>
        <v>6555.3</v>
      </c>
      <c r="X109" s="4">
        <v>8576.75</v>
      </c>
      <c r="Y109" s="7">
        <v>202323471.59999999</v>
      </c>
      <c r="Z109" s="725">
        <v>4232</v>
      </c>
      <c r="AA109" s="3">
        <v>8990.4</v>
      </c>
      <c r="AB109" s="3">
        <v>0</v>
      </c>
      <c r="AC109" s="4">
        <f t="shared" si="79"/>
        <v>8990.4</v>
      </c>
      <c r="AD109" s="4"/>
      <c r="AE109" s="7">
        <v>256070578.80000001</v>
      </c>
      <c r="AF109" s="725">
        <v>1611</v>
      </c>
      <c r="AG109" s="3">
        <v>1507.65</v>
      </c>
      <c r="AH109" s="3">
        <v>746.1</v>
      </c>
      <c r="AI109" s="4">
        <f t="shared" si="58"/>
        <v>2253.75</v>
      </c>
      <c r="AJ109" s="4">
        <v>1195.425</v>
      </c>
      <c r="AK109" s="7">
        <v>49377965.359999999</v>
      </c>
      <c r="AL109" s="725">
        <v>535</v>
      </c>
      <c r="AM109" s="3">
        <v>66</v>
      </c>
      <c r="AN109" s="3">
        <v>1301.0999999999999</v>
      </c>
      <c r="AO109" s="4">
        <f t="shared" si="80"/>
        <v>1367.1</v>
      </c>
      <c r="AP109" s="4">
        <v>3931.5149999999999</v>
      </c>
      <c r="AQ109" s="7">
        <v>69602524.599999994</v>
      </c>
      <c r="AR109" s="725">
        <v>1909</v>
      </c>
      <c r="AS109" s="3">
        <v>1085.9000000000001</v>
      </c>
      <c r="AT109" s="3">
        <v>2322.8000000000002</v>
      </c>
      <c r="AU109" s="4">
        <f t="shared" si="81"/>
        <v>3408.7000000000003</v>
      </c>
      <c r="AV109" s="4">
        <v>6918</v>
      </c>
      <c r="AW109" s="7">
        <v>135692056.40000001</v>
      </c>
      <c r="AX109" s="725">
        <v>208</v>
      </c>
      <c r="AY109" s="3">
        <v>1</v>
      </c>
      <c r="AZ109" s="3">
        <v>286</v>
      </c>
      <c r="BA109" s="4">
        <f t="shared" si="82"/>
        <v>287</v>
      </c>
      <c r="BB109" s="4">
        <v>715</v>
      </c>
      <c r="BC109" s="7">
        <v>12180132</v>
      </c>
      <c r="BD109" s="725"/>
      <c r="BE109" s="3"/>
      <c r="BF109" s="3"/>
      <c r="BG109" s="4">
        <f t="shared" si="83"/>
        <v>0</v>
      </c>
      <c r="BH109" s="4"/>
      <c r="BI109" s="7"/>
      <c r="BJ109" s="8"/>
      <c r="BK109" s="3"/>
      <c r="BL109" s="3"/>
      <c r="BM109" s="4">
        <f t="shared" si="84"/>
        <v>0</v>
      </c>
      <c r="BN109" s="4"/>
      <c r="BO109" s="7"/>
      <c r="BP109" s="725">
        <v>127</v>
      </c>
      <c r="BQ109" s="3">
        <v>0</v>
      </c>
      <c r="BR109" s="3">
        <v>219</v>
      </c>
      <c r="BS109" s="4">
        <f t="shared" si="85"/>
        <v>219</v>
      </c>
      <c r="BT109" s="4">
        <v>668.625</v>
      </c>
      <c r="BU109" s="7">
        <v>11366625</v>
      </c>
      <c r="BV109" s="725">
        <v>854</v>
      </c>
      <c r="BW109" s="3">
        <v>1109.1699999999998</v>
      </c>
      <c r="BX109" s="3">
        <v>54.2</v>
      </c>
      <c r="BY109" s="4">
        <f t="shared" si="86"/>
        <v>1163.3699999999999</v>
      </c>
      <c r="BZ109" s="4">
        <v>0</v>
      </c>
      <c r="CA109" s="7">
        <v>29408059.400000002</v>
      </c>
      <c r="CB109" s="725">
        <v>452</v>
      </c>
      <c r="CC109" s="3">
        <v>666.43000000000006</v>
      </c>
      <c r="CD109" s="3">
        <v>132.10999999999999</v>
      </c>
      <c r="CE109" s="4">
        <f t="shared" si="87"/>
        <v>798.54000000000008</v>
      </c>
      <c r="CF109" s="4">
        <v>149.56320000000002</v>
      </c>
      <c r="CG109" s="7">
        <v>19931815.559999999</v>
      </c>
      <c r="CH109" s="725">
        <v>854</v>
      </c>
      <c r="CI109" s="3">
        <v>1109.1699999999998</v>
      </c>
      <c r="CJ109" s="3">
        <v>54.2</v>
      </c>
      <c r="CK109" s="4">
        <f t="shared" ref="CK109" si="91">SUM(CI109:CJ109)</f>
        <v>1163.3699999999999</v>
      </c>
      <c r="CL109" s="4">
        <v>0</v>
      </c>
      <c r="CM109" s="7">
        <v>29408059.400000002</v>
      </c>
      <c r="CN109" s="725">
        <v>958</v>
      </c>
      <c r="CO109" s="3">
        <v>1535</v>
      </c>
      <c r="CP109" s="3">
        <v>0</v>
      </c>
      <c r="CQ109" s="4">
        <f t="shared" si="89"/>
        <v>1535</v>
      </c>
      <c r="CR109" s="4">
        <v>321.096</v>
      </c>
      <c r="CS109" s="7">
        <v>38590233.600000001</v>
      </c>
    </row>
    <row r="110" spans="1:97" s="719" customFormat="1" ht="16.5" x14ac:dyDescent="0.3">
      <c r="A110" s="720" t="s">
        <v>334</v>
      </c>
      <c r="B110" s="726">
        <f t="shared" ref="B110:R110" si="92">SUM(B111:B128)</f>
        <v>0</v>
      </c>
      <c r="C110" s="722">
        <f t="shared" si="92"/>
        <v>0</v>
      </c>
      <c r="D110" s="722">
        <f t="shared" si="92"/>
        <v>0</v>
      </c>
      <c r="E110" s="717">
        <f t="shared" si="92"/>
        <v>0</v>
      </c>
      <c r="F110" s="717">
        <f t="shared" si="92"/>
        <v>0</v>
      </c>
      <c r="G110" s="718">
        <f t="shared" si="92"/>
        <v>0</v>
      </c>
      <c r="H110" s="726">
        <f t="shared" si="92"/>
        <v>10415</v>
      </c>
      <c r="I110" s="722">
        <f t="shared" si="92"/>
        <v>1791.4</v>
      </c>
      <c r="J110" s="722">
        <f t="shared" si="92"/>
        <v>9345.9500000000007</v>
      </c>
      <c r="K110" s="717">
        <f t="shared" si="92"/>
        <v>11137.349999999999</v>
      </c>
      <c r="L110" s="717">
        <f t="shared" si="92"/>
        <v>18044.7575</v>
      </c>
      <c r="M110" s="718">
        <f t="shared" si="92"/>
        <v>308336881.5</v>
      </c>
      <c r="N110" s="726">
        <f t="shared" si="92"/>
        <v>0</v>
      </c>
      <c r="O110" s="722">
        <f t="shared" si="92"/>
        <v>0</v>
      </c>
      <c r="P110" s="722">
        <f t="shared" si="92"/>
        <v>171</v>
      </c>
      <c r="Q110" s="717">
        <f t="shared" si="92"/>
        <v>171</v>
      </c>
      <c r="R110" s="717">
        <f t="shared" si="92"/>
        <v>84.65</v>
      </c>
      <c r="S110" s="718">
        <f t="shared" ref="S110:X110" si="93">SUM(S111:S128)</f>
        <v>1438965.0000000002</v>
      </c>
      <c r="T110" s="726">
        <f t="shared" si="93"/>
        <v>0</v>
      </c>
      <c r="U110" s="722">
        <f t="shared" si="93"/>
        <v>5124.8499999999995</v>
      </c>
      <c r="V110" s="722">
        <f t="shared" si="93"/>
        <v>34314.769999999997</v>
      </c>
      <c r="W110" s="717">
        <f t="shared" si="93"/>
        <v>39439.619999999995</v>
      </c>
      <c r="X110" s="717">
        <f t="shared" si="93"/>
        <v>71113.722099999999</v>
      </c>
      <c r="Y110" s="718">
        <f t="shared" ref="Y110:AK110" si="94">SUM(Y111:Y128)</f>
        <v>1232917907.1000001</v>
      </c>
      <c r="Z110" s="726">
        <f t="shared" si="94"/>
        <v>7251</v>
      </c>
      <c r="AA110" s="722">
        <f t="shared" si="94"/>
        <v>595</v>
      </c>
      <c r="AB110" s="722">
        <f t="shared" si="94"/>
        <v>5659.23</v>
      </c>
      <c r="AC110" s="717">
        <f t="shared" si="94"/>
        <v>6254.23</v>
      </c>
      <c r="AD110" s="717">
        <f t="shared" si="94"/>
        <v>280.41750000000002</v>
      </c>
      <c r="AE110" s="718">
        <f t="shared" si="94"/>
        <v>54811824.428000003</v>
      </c>
      <c r="AF110" s="726">
        <f t="shared" si="94"/>
        <v>11869</v>
      </c>
      <c r="AG110" s="722">
        <f t="shared" si="94"/>
        <v>407.1</v>
      </c>
      <c r="AH110" s="722">
        <f t="shared" si="94"/>
        <v>13776.86</v>
      </c>
      <c r="AI110" s="722">
        <f t="shared" si="94"/>
        <v>14183.960000000001</v>
      </c>
      <c r="AJ110" s="717">
        <f t="shared" si="94"/>
        <v>11879.858874999996</v>
      </c>
      <c r="AK110" s="718">
        <f t="shared" si="94"/>
        <v>189853319.375</v>
      </c>
      <c r="AL110" s="726">
        <f t="shared" ref="AL110:BC110" si="95">SUM(AL111:AL128)</f>
        <v>0</v>
      </c>
      <c r="AM110" s="722">
        <f t="shared" si="95"/>
        <v>0</v>
      </c>
      <c r="AN110" s="722">
        <f t="shared" si="95"/>
        <v>0</v>
      </c>
      <c r="AO110" s="717">
        <f t="shared" si="95"/>
        <v>0</v>
      </c>
      <c r="AP110" s="717">
        <f t="shared" si="95"/>
        <v>0</v>
      </c>
      <c r="AQ110" s="718">
        <f t="shared" si="95"/>
        <v>0</v>
      </c>
      <c r="AR110" s="726">
        <f t="shared" si="95"/>
        <v>10372</v>
      </c>
      <c r="AS110" s="722">
        <f t="shared" si="95"/>
        <v>2388.6000000000004</v>
      </c>
      <c r="AT110" s="722">
        <f t="shared" si="95"/>
        <v>6895.22</v>
      </c>
      <c r="AU110" s="717">
        <f t="shared" si="95"/>
        <v>9283.8200000000015</v>
      </c>
      <c r="AV110" s="717">
        <f t="shared" si="95"/>
        <v>21385.941999999999</v>
      </c>
      <c r="AW110" s="718">
        <f t="shared" si="95"/>
        <v>384070273.92000002</v>
      </c>
      <c r="AX110" s="726">
        <f t="shared" si="95"/>
        <v>0</v>
      </c>
      <c r="AY110" s="722">
        <f t="shared" si="95"/>
        <v>0</v>
      </c>
      <c r="AZ110" s="722">
        <f t="shared" si="95"/>
        <v>0</v>
      </c>
      <c r="BA110" s="717">
        <f t="shared" si="95"/>
        <v>0</v>
      </c>
      <c r="BB110" s="717">
        <f t="shared" si="95"/>
        <v>0</v>
      </c>
      <c r="BC110" s="718">
        <f t="shared" si="95"/>
        <v>0</v>
      </c>
      <c r="BD110" s="726">
        <f t="shared" ref="BD110:BU110" si="96">SUM(BD111:BD128)</f>
        <v>0</v>
      </c>
      <c r="BE110" s="722">
        <f t="shared" si="96"/>
        <v>0</v>
      </c>
      <c r="BF110" s="722">
        <f t="shared" si="96"/>
        <v>0</v>
      </c>
      <c r="BG110" s="717">
        <f t="shared" si="96"/>
        <v>0</v>
      </c>
      <c r="BH110" s="717">
        <f t="shared" si="96"/>
        <v>0</v>
      </c>
      <c r="BI110" s="718">
        <f t="shared" si="96"/>
        <v>0</v>
      </c>
      <c r="BJ110" s="721">
        <f t="shared" si="96"/>
        <v>0</v>
      </c>
      <c r="BK110" s="722">
        <f t="shared" si="96"/>
        <v>0</v>
      </c>
      <c r="BL110" s="722">
        <f t="shared" si="96"/>
        <v>0</v>
      </c>
      <c r="BM110" s="717">
        <f t="shared" si="96"/>
        <v>0</v>
      </c>
      <c r="BN110" s="717">
        <f t="shared" si="96"/>
        <v>0</v>
      </c>
      <c r="BO110" s="718">
        <f t="shared" si="96"/>
        <v>0</v>
      </c>
      <c r="BP110" s="726">
        <f t="shared" si="96"/>
        <v>0</v>
      </c>
      <c r="BQ110" s="722">
        <f t="shared" si="96"/>
        <v>0</v>
      </c>
      <c r="BR110" s="722">
        <f t="shared" si="96"/>
        <v>0</v>
      </c>
      <c r="BS110" s="717">
        <f t="shared" si="96"/>
        <v>0</v>
      </c>
      <c r="BT110" s="717">
        <f t="shared" si="96"/>
        <v>0</v>
      </c>
      <c r="BU110" s="718">
        <f t="shared" si="96"/>
        <v>0</v>
      </c>
      <c r="BV110" s="726">
        <f t="shared" ref="BV110:CM110" si="97">SUM(BV111:BV128)</f>
        <v>66</v>
      </c>
      <c r="BW110" s="722">
        <f t="shared" si="97"/>
        <v>0</v>
      </c>
      <c r="BX110" s="722">
        <f t="shared" si="97"/>
        <v>68.5</v>
      </c>
      <c r="BY110" s="717">
        <f t="shared" si="97"/>
        <v>68.5</v>
      </c>
      <c r="BZ110" s="717">
        <f t="shared" si="97"/>
        <v>87.4</v>
      </c>
      <c r="CA110" s="718">
        <f t="shared" si="97"/>
        <v>1092500</v>
      </c>
      <c r="CB110" s="726">
        <f t="shared" si="97"/>
        <v>1468</v>
      </c>
      <c r="CC110" s="722">
        <f t="shared" si="97"/>
        <v>92.7</v>
      </c>
      <c r="CD110" s="722">
        <f t="shared" si="97"/>
        <v>285.2</v>
      </c>
      <c r="CE110" s="717">
        <f t="shared" si="97"/>
        <v>377.9</v>
      </c>
      <c r="CF110" s="717">
        <f t="shared" si="97"/>
        <v>669.94124999999997</v>
      </c>
      <c r="CG110" s="718">
        <f t="shared" si="97"/>
        <v>19383261.25</v>
      </c>
      <c r="CH110" s="726">
        <f t="shared" si="97"/>
        <v>66</v>
      </c>
      <c r="CI110" s="722">
        <f t="shared" si="97"/>
        <v>0</v>
      </c>
      <c r="CJ110" s="722">
        <f t="shared" si="97"/>
        <v>68.5</v>
      </c>
      <c r="CK110" s="717">
        <f t="shared" si="97"/>
        <v>68.5</v>
      </c>
      <c r="CL110" s="717">
        <f t="shared" si="97"/>
        <v>87.4</v>
      </c>
      <c r="CM110" s="718">
        <f t="shared" si="97"/>
        <v>1092500</v>
      </c>
      <c r="CN110" s="726">
        <f t="shared" ref="CN110:CS110" si="98">SUM(CN111:CN128)</f>
        <v>6444</v>
      </c>
      <c r="CO110" s="722">
        <f t="shared" si="98"/>
        <v>2051.5699999999997</v>
      </c>
      <c r="CP110" s="722">
        <f t="shared" si="98"/>
        <v>2101.3000000000002</v>
      </c>
      <c r="CQ110" s="717">
        <f t="shared" si="98"/>
        <v>4152.87</v>
      </c>
      <c r="CR110" s="717">
        <f t="shared" si="98"/>
        <v>9725.4962499999983</v>
      </c>
      <c r="CS110" s="718">
        <f t="shared" si="98"/>
        <v>164124917.88999999</v>
      </c>
    </row>
    <row r="111" spans="1:97" ht="16.5" x14ac:dyDescent="0.3">
      <c r="A111" s="709" t="s">
        <v>434</v>
      </c>
      <c r="B111" s="725"/>
      <c r="C111" s="3"/>
      <c r="D111" s="3"/>
      <c r="E111" s="4">
        <f t="shared" ref="E111:E128" si="99">SUM(C111:D111)</f>
        <v>0</v>
      </c>
      <c r="G111" s="7"/>
      <c r="H111" s="725">
        <v>387</v>
      </c>
      <c r="I111" s="3"/>
      <c r="J111" s="3">
        <v>261</v>
      </c>
      <c r="K111" s="4">
        <f t="shared" ref="K111:K128" si="100">SUM(I111:J111)</f>
        <v>261</v>
      </c>
      <c r="L111" s="4">
        <v>391.5</v>
      </c>
      <c r="M111" s="7">
        <v>6655500</v>
      </c>
      <c r="N111" s="725"/>
      <c r="O111" s="3"/>
      <c r="P111" s="3"/>
      <c r="Q111" s="4">
        <f t="shared" ref="Q111:Q128" si="101">SUM(O111:P111)</f>
        <v>0</v>
      </c>
      <c r="R111" s="4"/>
      <c r="S111" s="7"/>
      <c r="T111" s="725">
        <v>0</v>
      </c>
      <c r="U111" s="3">
        <v>0</v>
      </c>
      <c r="V111" s="3">
        <v>476</v>
      </c>
      <c r="W111" s="4">
        <f t="shared" ref="W111:W128" si="102">SUM(U111:V111)</f>
        <v>476</v>
      </c>
      <c r="X111" s="4">
        <v>1712.58</v>
      </c>
      <c r="Y111" s="7">
        <v>29113860</v>
      </c>
      <c r="Z111" s="725">
        <v>200</v>
      </c>
      <c r="AA111" s="3">
        <v>181</v>
      </c>
      <c r="AB111" s="3">
        <v>0</v>
      </c>
      <c r="AC111" s="4">
        <f t="shared" ref="AC111:AC128" si="103">SUM(AA111:AB111)</f>
        <v>181</v>
      </c>
      <c r="AD111" s="4"/>
      <c r="AE111" s="7">
        <v>5108532</v>
      </c>
      <c r="AF111" s="725">
        <v>145</v>
      </c>
      <c r="AG111" s="3">
        <v>0</v>
      </c>
      <c r="AH111" s="3">
        <v>150</v>
      </c>
      <c r="AI111" s="4">
        <f t="shared" si="58"/>
        <v>150</v>
      </c>
      <c r="AJ111" s="4">
        <v>129.32</v>
      </c>
      <c r="AK111" s="7">
        <v>2198440</v>
      </c>
      <c r="AL111" s="725"/>
      <c r="AM111" s="3"/>
      <c r="AN111" s="3"/>
      <c r="AO111" s="4">
        <f t="shared" ref="AO111:AO128" si="104">SUM(AM111:AN111)</f>
        <v>0</v>
      </c>
      <c r="AP111" s="4"/>
      <c r="AQ111" s="7"/>
      <c r="AR111" s="725">
        <v>175</v>
      </c>
      <c r="AS111" s="3"/>
      <c r="AT111" s="3"/>
      <c r="AU111" s="4">
        <f t="shared" ref="AU111:AU142" si="105">SUM(AS111:AT111)</f>
        <v>0</v>
      </c>
      <c r="AV111" s="4">
        <v>0</v>
      </c>
      <c r="AW111" s="7">
        <v>712000</v>
      </c>
      <c r="AX111" s="725"/>
      <c r="AY111" s="3"/>
      <c r="AZ111" s="3"/>
      <c r="BA111" s="4">
        <f t="shared" ref="BA111:BA128" si="106">SUM(AY111:AZ111)</f>
        <v>0</v>
      </c>
      <c r="BB111" s="4"/>
      <c r="BC111" s="7"/>
      <c r="BD111" s="725"/>
      <c r="BE111" s="3"/>
      <c r="BF111" s="3"/>
      <c r="BG111" s="4">
        <f t="shared" ref="BG111:BG128" si="107">SUM(BE111:BF111)</f>
        <v>0</v>
      </c>
      <c r="BH111" s="4"/>
      <c r="BI111" s="7"/>
      <c r="BJ111" s="8"/>
      <c r="BK111" s="3"/>
      <c r="BL111" s="3"/>
      <c r="BM111" s="4">
        <f t="shared" ref="BM111:BM128" si="108">SUM(BK111:BL111)</f>
        <v>0</v>
      </c>
      <c r="BN111" s="4"/>
      <c r="BO111" s="7"/>
      <c r="BP111" s="725"/>
      <c r="BQ111" s="3"/>
      <c r="BR111" s="3"/>
      <c r="BS111" s="4">
        <f t="shared" ref="BS111:BS128" si="109">SUM(BQ111:BR111)</f>
        <v>0</v>
      </c>
      <c r="BT111" s="4"/>
      <c r="BU111" s="7"/>
      <c r="BV111" s="725"/>
      <c r="BW111" s="3"/>
      <c r="BX111" s="3"/>
      <c r="BY111" s="4">
        <f t="shared" ref="BY111:BY128" si="110">SUM(BW111:BX111)</f>
        <v>0</v>
      </c>
      <c r="BZ111" s="4"/>
      <c r="CA111" s="7"/>
      <c r="CB111" s="725">
        <v>25</v>
      </c>
      <c r="CC111" s="3">
        <v>12.7</v>
      </c>
      <c r="CD111" s="3">
        <v>0</v>
      </c>
      <c r="CE111" s="4">
        <f t="shared" ref="CE111:CE128" si="111">SUM(CC111:CD111)</f>
        <v>12.7</v>
      </c>
      <c r="CF111" s="4">
        <v>187.8</v>
      </c>
      <c r="CG111" s="7">
        <v>2669465.2000000002</v>
      </c>
      <c r="CH111" s="725"/>
      <c r="CI111" s="3"/>
      <c r="CJ111" s="3"/>
      <c r="CK111" s="4">
        <f t="shared" ref="CK111:CK128" si="112">SUM(CI111:CJ111)</f>
        <v>0</v>
      </c>
      <c r="CL111" s="4"/>
      <c r="CM111" s="7"/>
      <c r="CN111" s="725">
        <v>60</v>
      </c>
      <c r="CO111" s="3">
        <v>1</v>
      </c>
      <c r="CP111" s="3">
        <v>0</v>
      </c>
      <c r="CQ111" s="4">
        <f t="shared" ref="CQ111:CQ128" si="113">SUM(CO111:CP111)</f>
        <v>1</v>
      </c>
      <c r="CR111" s="4">
        <v>5.25</v>
      </c>
      <c r="CS111" s="7">
        <v>105540</v>
      </c>
    </row>
    <row r="112" spans="1:97" ht="16.5" x14ac:dyDescent="0.3">
      <c r="A112" s="709" t="s">
        <v>443</v>
      </c>
      <c r="B112" s="725"/>
      <c r="C112" s="3"/>
      <c r="D112" s="3"/>
      <c r="E112" s="4">
        <f t="shared" si="99"/>
        <v>0</v>
      </c>
      <c r="G112" s="7"/>
      <c r="H112" s="725">
        <v>2185</v>
      </c>
      <c r="I112" s="3">
        <v>319</v>
      </c>
      <c r="J112" s="3">
        <v>1647.3</v>
      </c>
      <c r="K112" s="4">
        <f t="shared" si="100"/>
        <v>1966.3</v>
      </c>
      <c r="L112" s="4">
        <v>2586.7249999999999</v>
      </c>
      <c r="M112" s="7">
        <v>44673565</v>
      </c>
      <c r="N112" s="725"/>
      <c r="O112" s="3"/>
      <c r="P112" s="3"/>
      <c r="Q112" s="4">
        <f t="shared" si="101"/>
        <v>0</v>
      </c>
      <c r="R112" s="4"/>
      <c r="S112" s="7"/>
      <c r="T112" s="725">
        <v>0</v>
      </c>
      <c r="U112" s="3">
        <v>0</v>
      </c>
      <c r="V112" s="3">
        <v>2453</v>
      </c>
      <c r="W112" s="4">
        <f t="shared" si="102"/>
        <v>2453</v>
      </c>
      <c r="X112" s="4">
        <v>4130.75</v>
      </c>
      <c r="Y112" s="7">
        <v>71662770</v>
      </c>
      <c r="Z112" s="725">
        <v>790</v>
      </c>
      <c r="AA112" s="3">
        <v>0</v>
      </c>
      <c r="AB112" s="3">
        <v>615.5</v>
      </c>
      <c r="AC112" s="4">
        <f t="shared" si="103"/>
        <v>615.5</v>
      </c>
      <c r="AD112" s="4">
        <v>30.9</v>
      </c>
      <c r="AE112" s="7">
        <v>3684028.8</v>
      </c>
      <c r="AF112" s="725">
        <v>311</v>
      </c>
      <c r="AG112" s="3">
        <v>0</v>
      </c>
      <c r="AH112" s="3">
        <v>226.6</v>
      </c>
      <c r="AI112" s="4">
        <f t="shared" si="58"/>
        <v>226.6</v>
      </c>
      <c r="AJ112" s="4">
        <v>277.58500000000004</v>
      </c>
      <c r="AK112" s="7">
        <v>3608605.0000000005</v>
      </c>
      <c r="AL112" s="725"/>
      <c r="AM112" s="3"/>
      <c r="AN112" s="3"/>
      <c r="AO112" s="4">
        <f t="shared" si="104"/>
        <v>0</v>
      </c>
      <c r="AP112" s="4"/>
      <c r="AQ112" s="7"/>
      <c r="AR112" s="725">
        <v>1393</v>
      </c>
      <c r="AS112" s="3">
        <v>520</v>
      </c>
      <c r="AT112" s="3">
        <v>453.59999999999997</v>
      </c>
      <c r="AU112" s="4">
        <f t="shared" si="105"/>
        <v>973.59999999999991</v>
      </c>
      <c r="AV112" s="4">
        <v>3046.6792</v>
      </c>
      <c r="AW112" s="7">
        <v>53382072.479999997</v>
      </c>
      <c r="AX112" s="725"/>
      <c r="AY112" s="3"/>
      <c r="AZ112" s="3"/>
      <c r="BA112" s="4">
        <f t="shared" si="106"/>
        <v>0</v>
      </c>
      <c r="BB112" s="4"/>
      <c r="BC112" s="7"/>
      <c r="BD112" s="725"/>
      <c r="BE112" s="3"/>
      <c r="BF112" s="3"/>
      <c r="BG112" s="4">
        <f t="shared" si="107"/>
        <v>0</v>
      </c>
      <c r="BH112" s="4"/>
      <c r="BI112" s="7"/>
      <c r="BJ112" s="8"/>
      <c r="BK112" s="3"/>
      <c r="BL112" s="3"/>
      <c r="BM112" s="4">
        <f t="shared" si="108"/>
        <v>0</v>
      </c>
      <c r="BN112" s="4"/>
      <c r="BO112" s="7"/>
      <c r="BP112" s="725"/>
      <c r="BQ112" s="3"/>
      <c r="BR112" s="3"/>
      <c r="BS112" s="4">
        <f t="shared" si="109"/>
        <v>0</v>
      </c>
      <c r="BT112" s="4"/>
      <c r="BU112" s="7"/>
      <c r="BV112" s="725"/>
      <c r="BW112" s="3"/>
      <c r="BX112" s="3"/>
      <c r="BY112" s="4">
        <f t="shared" si="110"/>
        <v>0</v>
      </c>
      <c r="BZ112" s="4"/>
      <c r="CA112" s="7"/>
      <c r="CB112" s="725"/>
      <c r="CC112" s="3"/>
      <c r="CD112" s="3"/>
      <c r="CE112" s="4">
        <f t="shared" si="111"/>
        <v>0</v>
      </c>
      <c r="CF112" s="4"/>
      <c r="CG112" s="7"/>
      <c r="CH112" s="725"/>
      <c r="CI112" s="3"/>
      <c r="CJ112" s="3"/>
      <c r="CK112" s="4">
        <f t="shared" si="112"/>
        <v>0</v>
      </c>
      <c r="CL112" s="4"/>
      <c r="CM112" s="7"/>
      <c r="CN112" s="725">
        <v>515</v>
      </c>
      <c r="CO112" s="3">
        <v>114.2</v>
      </c>
      <c r="CP112" s="3">
        <v>112.5</v>
      </c>
      <c r="CQ112" s="4">
        <f t="shared" si="113"/>
        <v>226.7</v>
      </c>
      <c r="CR112" s="4">
        <v>206.32499999999999</v>
      </c>
      <c r="CS112" s="7">
        <v>5997116.9000000004</v>
      </c>
    </row>
    <row r="113" spans="1:97" ht="16.5" x14ac:dyDescent="0.3">
      <c r="A113" s="709" t="s">
        <v>442</v>
      </c>
      <c r="B113" s="725"/>
      <c r="C113" s="3"/>
      <c r="D113" s="3"/>
      <c r="E113" s="4">
        <f t="shared" si="99"/>
        <v>0</v>
      </c>
      <c r="G113" s="7"/>
      <c r="H113" s="725">
        <v>650</v>
      </c>
      <c r="I113" s="3">
        <v>0</v>
      </c>
      <c r="J113" s="3">
        <v>757.5</v>
      </c>
      <c r="K113" s="4">
        <f t="shared" si="100"/>
        <v>757.5</v>
      </c>
      <c r="L113" s="4">
        <v>622.08749999999998</v>
      </c>
      <c r="M113" s="7">
        <v>10577687.5</v>
      </c>
      <c r="N113" s="725"/>
      <c r="O113" s="3"/>
      <c r="P113" s="3"/>
      <c r="Q113" s="4">
        <f t="shared" si="101"/>
        <v>0</v>
      </c>
      <c r="R113" s="4"/>
      <c r="S113" s="7"/>
      <c r="T113" s="725">
        <v>0</v>
      </c>
      <c r="U113" s="3">
        <v>0</v>
      </c>
      <c r="V113" s="3">
        <v>4349</v>
      </c>
      <c r="W113" s="4">
        <f t="shared" si="102"/>
        <v>4349</v>
      </c>
      <c r="X113" s="4">
        <v>5326.3600000000006</v>
      </c>
      <c r="Y113" s="7">
        <v>90982440</v>
      </c>
      <c r="Z113" s="725">
        <v>31</v>
      </c>
      <c r="AA113" s="3">
        <v>58.5</v>
      </c>
      <c r="AB113" s="3">
        <v>0</v>
      </c>
      <c r="AC113" s="4">
        <f t="shared" si="103"/>
        <v>58.5</v>
      </c>
      <c r="AD113" s="4"/>
      <c r="AE113" s="7">
        <v>1470222</v>
      </c>
      <c r="AF113" s="725">
        <v>296</v>
      </c>
      <c r="AG113" s="3">
        <v>0</v>
      </c>
      <c r="AH113" s="3">
        <v>296.5</v>
      </c>
      <c r="AI113" s="4">
        <f t="shared" si="58"/>
        <v>296.5</v>
      </c>
      <c r="AJ113" s="4">
        <v>299.47000000000003</v>
      </c>
      <c r="AK113" s="7">
        <v>5158545.0000000009</v>
      </c>
      <c r="AL113" s="725"/>
      <c r="AM113" s="3"/>
      <c r="AN113" s="3"/>
      <c r="AO113" s="4">
        <f t="shared" si="104"/>
        <v>0</v>
      </c>
      <c r="AP113" s="4"/>
      <c r="AQ113" s="7"/>
      <c r="AR113" s="725">
        <v>289</v>
      </c>
      <c r="AS113" s="3">
        <v>0</v>
      </c>
      <c r="AT113" s="3">
        <v>672</v>
      </c>
      <c r="AU113" s="4">
        <f t="shared" si="105"/>
        <v>672</v>
      </c>
      <c r="AV113" s="4">
        <v>1254.2670000000001</v>
      </c>
      <c r="AW113" s="7">
        <v>21333952.199999999</v>
      </c>
      <c r="AX113" s="725"/>
      <c r="AY113" s="3"/>
      <c r="AZ113" s="3"/>
      <c r="BA113" s="4">
        <f t="shared" si="106"/>
        <v>0</v>
      </c>
      <c r="BB113" s="4"/>
      <c r="BC113" s="7"/>
      <c r="BD113" s="725"/>
      <c r="BE113" s="3"/>
      <c r="BF113" s="3"/>
      <c r="BG113" s="4">
        <f t="shared" si="107"/>
        <v>0</v>
      </c>
      <c r="BH113" s="4"/>
      <c r="BI113" s="7"/>
      <c r="BJ113" s="8"/>
      <c r="BK113" s="3"/>
      <c r="BL113" s="3"/>
      <c r="BM113" s="4">
        <f t="shared" si="108"/>
        <v>0</v>
      </c>
      <c r="BN113" s="4"/>
      <c r="BO113" s="7"/>
      <c r="BP113" s="725"/>
      <c r="BQ113" s="3"/>
      <c r="BR113" s="3"/>
      <c r="BS113" s="4">
        <f t="shared" si="109"/>
        <v>0</v>
      </c>
      <c r="BT113" s="4"/>
      <c r="BU113" s="7"/>
      <c r="BV113" s="725">
        <v>66</v>
      </c>
      <c r="BW113" s="3">
        <v>0</v>
      </c>
      <c r="BX113" s="3">
        <v>68.5</v>
      </c>
      <c r="BY113" s="4">
        <f t="shared" ref="BY113" si="114">SUM(BW113:BX113)</f>
        <v>68.5</v>
      </c>
      <c r="BZ113" s="4">
        <v>87.4</v>
      </c>
      <c r="CA113" s="7">
        <v>1092500</v>
      </c>
      <c r="CB113" s="725">
        <v>168</v>
      </c>
      <c r="CC113" s="3">
        <v>0</v>
      </c>
      <c r="CD113" s="3">
        <v>92</v>
      </c>
      <c r="CE113" s="4">
        <f t="shared" si="111"/>
        <v>92</v>
      </c>
      <c r="CF113" s="4">
        <v>132.6875</v>
      </c>
      <c r="CG113" s="7">
        <v>1656450</v>
      </c>
      <c r="CH113" s="725">
        <v>66</v>
      </c>
      <c r="CI113" s="3">
        <v>0</v>
      </c>
      <c r="CJ113" s="3">
        <v>68.5</v>
      </c>
      <c r="CK113" s="4">
        <f t="shared" ref="CK113" si="115">SUM(CI113:CJ113)</f>
        <v>68.5</v>
      </c>
      <c r="CL113" s="4">
        <v>87.4</v>
      </c>
      <c r="CM113" s="7">
        <v>1092500</v>
      </c>
      <c r="CN113" s="725">
        <v>747</v>
      </c>
      <c r="CO113" s="3">
        <v>2</v>
      </c>
      <c r="CP113" s="3">
        <v>620</v>
      </c>
      <c r="CQ113" s="4">
        <f t="shared" si="113"/>
        <v>622</v>
      </c>
      <c r="CR113" s="4">
        <v>3029.2624999999998</v>
      </c>
      <c r="CS113" s="7">
        <v>36725937</v>
      </c>
    </row>
    <row r="114" spans="1:97" ht="16.5" x14ac:dyDescent="0.3">
      <c r="A114" s="709" t="s">
        <v>441</v>
      </c>
      <c r="B114" s="725"/>
      <c r="C114" s="3"/>
      <c r="D114" s="3"/>
      <c r="E114" s="4">
        <f t="shared" si="99"/>
        <v>0</v>
      </c>
      <c r="G114" s="7"/>
      <c r="H114" s="725">
        <v>1107</v>
      </c>
      <c r="I114" s="3">
        <v>372.1</v>
      </c>
      <c r="J114" s="3">
        <v>839</v>
      </c>
      <c r="K114" s="4">
        <f t="shared" si="100"/>
        <v>1211.0999999999999</v>
      </c>
      <c r="L114" s="4">
        <v>3181.38</v>
      </c>
      <c r="M114" s="7">
        <v>54083460</v>
      </c>
      <c r="N114" s="725"/>
      <c r="O114" s="3"/>
      <c r="P114" s="3"/>
      <c r="Q114" s="4">
        <f t="shared" si="101"/>
        <v>0</v>
      </c>
      <c r="R114" s="4"/>
      <c r="S114" s="7"/>
      <c r="T114" s="725">
        <v>0</v>
      </c>
      <c r="U114" s="3">
        <v>2448</v>
      </c>
      <c r="V114" s="3">
        <v>1801.4</v>
      </c>
      <c r="W114" s="4">
        <f t="shared" si="102"/>
        <v>4249.3999999999996</v>
      </c>
      <c r="X114" s="4">
        <v>14341.4</v>
      </c>
      <c r="Y114" s="7">
        <v>243827600</v>
      </c>
      <c r="Z114" s="725">
        <v>911</v>
      </c>
      <c r="AA114" s="3">
        <v>0</v>
      </c>
      <c r="AB114" s="3">
        <v>0</v>
      </c>
      <c r="AC114" s="4">
        <f t="shared" si="103"/>
        <v>0</v>
      </c>
      <c r="AD114" s="4"/>
      <c r="AE114" s="7">
        <v>4307600</v>
      </c>
      <c r="AF114" s="725">
        <v>1055</v>
      </c>
      <c r="AG114" s="3">
        <v>0</v>
      </c>
      <c r="AH114" s="3">
        <v>2056.1999999999998</v>
      </c>
      <c r="AI114" s="4">
        <f t="shared" si="58"/>
        <v>2056.1999999999998</v>
      </c>
      <c r="AJ114" s="4">
        <v>3396.0885000000003</v>
      </c>
      <c r="AK114" s="7">
        <v>57733504.500000007</v>
      </c>
      <c r="AL114" s="725"/>
      <c r="AM114" s="3"/>
      <c r="AN114" s="3"/>
      <c r="AO114" s="4">
        <f t="shared" si="104"/>
        <v>0</v>
      </c>
      <c r="AP114" s="4"/>
      <c r="AQ114" s="7"/>
      <c r="AR114" s="725">
        <v>2826</v>
      </c>
      <c r="AS114" s="3">
        <v>1168.4000000000001</v>
      </c>
      <c r="AT114" s="3">
        <v>786.8</v>
      </c>
      <c r="AU114" s="4">
        <f t="shared" si="105"/>
        <v>1955.2</v>
      </c>
      <c r="AV114" s="4">
        <v>6432.2960000000003</v>
      </c>
      <c r="AW114" s="7">
        <v>116317915.84</v>
      </c>
      <c r="AX114" s="725"/>
      <c r="AY114" s="3"/>
      <c r="AZ114" s="3"/>
      <c r="BA114" s="4">
        <f t="shared" si="106"/>
        <v>0</v>
      </c>
      <c r="BB114" s="4"/>
      <c r="BC114" s="7"/>
      <c r="BD114" s="725"/>
      <c r="BE114" s="3"/>
      <c r="BF114" s="3"/>
      <c r="BG114" s="4">
        <f t="shared" si="107"/>
        <v>0</v>
      </c>
      <c r="BH114" s="4"/>
      <c r="BI114" s="7"/>
      <c r="BJ114" s="8"/>
      <c r="BK114" s="3"/>
      <c r="BL114" s="3"/>
      <c r="BM114" s="4">
        <f t="shared" si="108"/>
        <v>0</v>
      </c>
      <c r="BN114" s="4"/>
      <c r="BO114" s="7"/>
      <c r="BP114" s="725"/>
      <c r="BQ114" s="3"/>
      <c r="BR114" s="3"/>
      <c r="BS114" s="4">
        <f t="shared" si="109"/>
        <v>0</v>
      </c>
      <c r="BT114" s="4"/>
      <c r="BU114" s="7"/>
      <c r="BV114" s="725"/>
      <c r="BW114" s="3"/>
      <c r="BX114" s="3"/>
      <c r="BY114" s="4">
        <f t="shared" si="110"/>
        <v>0</v>
      </c>
      <c r="BZ114" s="4"/>
      <c r="CA114" s="7"/>
      <c r="CB114" s="725">
        <v>64</v>
      </c>
      <c r="CC114" s="3">
        <v>10</v>
      </c>
      <c r="CD114" s="3">
        <v>51</v>
      </c>
      <c r="CE114" s="4">
        <f t="shared" si="111"/>
        <v>61</v>
      </c>
      <c r="CF114" s="4">
        <v>113.75</v>
      </c>
      <c r="CG114" s="7">
        <v>1454000</v>
      </c>
      <c r="CH114" s="725"/>
      <c r="CI114" s="3"/>
      <c r="CJ114" s="3"/>
      <c r="CK114" s="4">
        <f t="shared" si="112"/>
        <v>0</v>
      </c>
      <c r="CL114" s="4"/>
      <c r="CM114" s="7"/>
      <c r="CN114" s="725">
        <v>28</v>
      </c>
      <c r="CO114" s="3">
        <v>0</v>
      </c>
      <c r="CP114" s="3">
        <v>0</v>
      </c>
      <c r="CQ114" s="4">
        <f t="shared" si="113"/>
        <v>0</v>
      </c>
      <c r="CR114" s="4">
        <v>0</v>
      </c>
      <c r="CS114" s="7">
        <v>9968.0000000000018</v>
      </c>
    </row>
    <row r="115" spans="1:97" ht="16.5" x14ac:dyDescent="0.3">
      <c r="A115" s="709" t="s">
        <v>440</v>
      </c>
      <c r="B115" s="725"/>
      <c r="C115" s="3"/>
      <c r="D115" s="3"/>
      <c r="E115" s="4">
        <f t="shared" si="99"/>
        <v>0</v>
      </c>
      <c r="G115" s="7"/>
      <c r="H115" s="725">
        <v>623</v>
      </c>
      <c r="I115" s="3">
        <v>268.60000000000002</v>
      </c>
      <c r="J115" s="3">
        <v>265.10000000000002</v>
      </c>
      <c r="K115" s="4">
        <f t="shared" si="100"/>
        <v>533.70000000000005</v>
      </c>
      <c r="L115" s="4">
        <v>1904.5</v>
      </c>
      <c r="M115" s="7">
        <v>33033572</v>
      </c>
      <c r="N115" s="725"/>
      <c r="O115" s="3"/>
      <c r="P115" s="3"/>
      <c r="Q115" s="4">
        <f t="shared" si="101"/>
        <v>0</v>
      </c>
      <c r="R115" s="4"/>
      <c r="S115" s="7"/>
      <c r="T115" s="725">
        <v>0</v>
      </c>
      <c r="U115" s="3">
        <v>0</v>
      </c>
      <c r="V115" s="3">
        <v>1800</v>
      </c>
      <c r="W115" s="4">
        <f t="shared" si="102"/>
        <v>1800</v>
      </c>
      <c r="X115" s="4">
        <v>1816.2</v>
      </c>
      <c r="Y115" s="7">
        <v>30875400</v>
      </c>
      <c r="Z115" s="725">
        <v>689</v>
      </c>
      <c r="AA115" s="733">
        <v>0</v>
      </c>
      <c r="AB115" s="3">
        <v>472.13</v>
      </c>
      <c r="AC115" s="4">
        <f t="shared" si="103"/>
        <v>472.13</v>
      </c>
      <c r="AD115" s="4"/>
      <c r="AE115" s="7">
        <v>2063372.7680000002</v>
      </c>
      <c r="AF115" s="725">
        <v>3252</v>
      </c>
      <c r="AG115" s="3">
        <v>0</v>
      </c>
      <c r="AH115" s="3">
        <v>3684.1099999999997</v>
      </c>
      <c r="AI115" s="4">
        <f t="shared" si="58"/>
        <v>3684.1099999999997</v>
      </c>
      <c r="AJ115" s="4">
        <v>2950.7641250000001</v>
      </c>
      <c r="AK115" s="7">
        <v>43588933.625</v>
      </c>
      <c r="AL115" s="725"/>
      <c r="AM115" s="3"/>
      <c r="AN115" s="3"/>
      <c r="AO115" s="4">
        <f t="shared" si="104"/>
        <v>0</v>
      </c>
      <c r="AP115" s="4"/>
      <c r="AQ115" s="7"/>
      <c r="AR115" s="725"/>
      <c r="AS115" s="3"/>
      <c r="AT115" s="3"/>
      <c r="AU115" s="4">
        <f t="shared" si="105"/>
        <v>0</v>
      </c>
      <c r="AV115" s="4"/>
      <c r="AW115" s="7"/>
      <c r="AX115" s="725"/>
      <c r="AY115" s="3"/>
      <c r="AZ115" s="3"/>
      <c r="BA115" s="4">
        <f t="shared" si="106"/>
        <v>0</v>
      </c>
      <c r="BB115" s="4"/>
      <c r="BC115" s="7"/>
      <c r="BD115" s="725"/>
      <c r="BE115" s="3"/>
      <c r="BF115" s="3"/>
      <c r="BG115" s="4">
        <f t="shared" si="107"/>
        <v>0</v>
      </c>
      <c r="BH115" s="4"/>
      <c r="BI115" s="7"/>
      <c r="BJ115" s="8"/>
      <c r="BK115" s="3"/>
      <c r="BL115" s="3"/>
      <c r="BM115" s="4">
        <f t="shared" si="108"/>
        <v>0</v>
      </c>
      <c r="BN115" s="4"/>
      <c r="BO115" s="7"/>
      <c r="BP115" s="725"/>
      <c r="BQ115" s="3"/>
      <c r="BR115" s="3"/>
      <c r="BS115" s="4">
        <f t="shared" si="109"/>
        <v>0</v>
      </c>
      <c r="BT115" s="4"/>
      <c r="BU115" s="7"/>
      <c r="BV115" s="725"/>
      <c r="BW115" s="3"/>
      <c r="BX115" s="3"/>
      <c r="BY115" s="4">
        <f t="shared" si="110"/>
        <v>0</v>
      </c>
      <c r="BZ115" s="4"/>
      <c r="CA115" s="7"/>
      <c r="CB115" s="725"/>
      <c r="CC115" s="3"/>
      <c r="CD115" s="3"/>
      <c r="CE115" s="4">
        <f t="shared" si="111"/>
        <v>0</v>
      </c>
      <c r="CF115" s="4"/>
      <c r="CG115" s="7"/>
      <c r="CH115" s="725"/>
      <c r="CI115" s="3"/>
      <c r="CJ115" s="3"/>
      <c r="CK115" s="4">
        <f t="shared" si="112"/>
        <v>0</v>
      </c>
      <c r="CL115" s="4"/>
      <c r="CM115" s="7"/>
      <c r="CN115" s="725"/>
      <c r="CO115" s="3"/>
      <c r="CP115" s="3"/>
      <c r="CQ115" s="4">
        <f t="shared" si="113"/>
        <v>0</v>
      </c>
      <c r="CR115" s="4"/>
      <c r="CS115" s="7"/>
    </row>
    <row r="116" spans="1:97" ht="16.5" x14ac:dyDescent="0.3">
      <c r="A116" s="709" t="s">
        <v>439</v>
      </c>
      <c r="B116" s="725"/>
      <c r="C116" s="3"/>
      <c r="D116" s="3"/>
      <c r="E116" s="4">
        <f t="shared" si="99"/>
        <v>0</v>
      </c>
      <c r="G116" s="7"/>
      <c r="H116" s="725">
        <v>186</v>
      </c>
      <c r="I116" s="3">
        <v>0</v>
      </c>
      <c r="J116" s="3">
        <v>124.7</v>
      </c>
      <c r="K116" s="4">
        <f t="shared" si="100"/>
        <v>124.7</v>
      </c>
      <c r="L116" s="4">
        <v>187.04999999999998</v>
      </c>
      <c r="M116" s="7">
        <v>3179850</v>
      </c>
      <c r="N116" s="725"/>
      <c r="O116" s="3"/>
      <c r="P116" s="3"/>
      <c r="Q116" s="4">
        <f t="shared" si="101"/>
        <v>0</v>
      </c>
      <c r="R116" s="4"/>
      <c r="S116" s="7"/>
      <c r="T116" s="725">
        <v>0</v>
      </c>
      <c r="U116" s="3">
        <v>580.85</v>
      </c>
      <c r="V116" s="3">
        <v>190</v>
      </c>
      <c r="W116" s="4">
        <f t="shared" si="102"/>
        <v>770.85</v>
      </c>
      <c r="X116" s="4">
        <v>3152.335</v>
      </c>
      <c r="Y116" s="7">
        <v>56819695</v>
      </c>
      <c r="Z116" s="725"/>
      <c r="AA116" s="3"/>
      <c r="AB116" s="3"/>
      <c r="AC116" s="4">
        <f t="shared" si="103"/>
        <v>0</v>
      </c>
      <c r="AD116" s="4"/>
      <c r="AE116" s="7"/>
      <c r="AF116" s="725">
        <v>489</v>
      </c>
      <c r="AG116" s="3">
        <v>0</v>
      </c>
      <c r="AH116" s="3">
        <v>422.95</v>
      </c>
      <c r="AI116" s="4">
        <f t="shared" si="58"/>
        <v>422.95</v>
      </c>
      <c r="AJ116" s="4">
        <v>236.595</v>
      </c>
      <c r="AK116" s="7">
        <v>4022115</v>
      </c>
      <c r="AL116" s="725"/>
      <c r="AM116" s="3"/>
      <c r="AN116" s="3"/>
      <c r="AO116" s="4">
        <f t="shared" si="104"/>
        <v>0</v>
      </c>
      <c r="AP116" s="4"/>
      <c r="AQ116" s="7"/>
      <c r="AR116" s="725">
        <v>1089</v>
      </c>
      <c r="AS116" s="3">
        <v>27.4</v>
      </c>
      <c r="AT116" s="3">
        <v>238.55</v>
      </c>
      <c r="AU116" s="4">
        <f t="shared" si="105"/>
        <v>265.95</v>
      </c>
      <c r="AV116" s="4">
        <v>480.96170000000001</v>
      </c>
      <c r="AW116" s="7">
        <v>10639868.9</v>
      </c>
      <c r="AX116" s="725"/>
      <c r="AY116" s="3"/>
      <c r="AZ116" s="3"/>
      <c r="BA116" s="4">
        <f t="shared" si="106"/>
        <v>0</v>
      </c>
      <c r="BB116" s="4"/>
      <c r="BC116" s="7"/>
      <c r="BD116" s="725"/>
      <c r="BE116" s="3"/>
      <c r="BF116" s="3"/>
      <c r="BG116" s="4">
        <f t="shared" si="107"/>
        <v>0</v>
      </c>
      <c r="BH116" s="4"/>
      <c r="BI116" s="7"/>
      <c r="BJ116" s="8"/>
      <c r="BK116" s="3"/>
      <c r="BL116" s="3"/>
      <c r="BM116" s="4">
        <f t="shared" si="108"/>
        <v>0</v>
      </c>
      <c r="BN116" s="4"/>
      <c r="BO116" s="7"/>
      <c r="BP116" s="725"/>
      <c r="BQ116" s="3"/>
      <c r="BR116" s="3"/>
      <c r="BS116" s="4">
        <f t="shared" si="109"/>
        <v>0</v>
      </c>
      <c r="BT116" s="4"/>
      <c r="BU116" s="7"/>
      <c r="BV116" s="725"/>
      <c r="BW116" s="3"/>
      <c r="BX116" s="3"/>
      <c r="BY116" s="4">
        <f t="shared" si="110"/>
        <v>0</v>
      </c>
      <c r="BZ116" s="4"/>
      <c r="CA116" s="7"/>
      <c r="CB116" s="725"/>
      <c r="CC116" s="3"/>
      <c r="CD116" s="3"/>
      <c r="CE116" s="4">
        <f t="shared" si="111"/>
        <v>0</v>
      </c>
      <c r="CF116" s="4"/>
      <c r="CG116" s="7"/>
      <c r="CH116" s="725"/>
      <c r="CI116" s="3"/>
      <c r="CJ116" s="3"/>
      <c r="CK116" s="4">
        <f t="shared" si="112"/>
        <v>0</v>
      </c>
      <c r="CL116" s="4"/>
      <c r="CM116" s="7"/>
      <c r="CN116" s="725">
        <v>16</v>
      </c>
      <c r="CO116" s="3">
        <v>1</v>
      </c>
      <c r="CP116" s="3">
        <v>5.0999999999999996</v>
      </c>
      <c r="CQ116" s="4">
        <f t="shared" si="113"/>
        <v>6.1</v>
      </c>
      <c r="CR116" s="4">
        <v>11.62875</v>
      </c>
      <c r="CS116" s="7">
        <v>186773.75</v>
      </c>
    </row>
    <row r="117" spans="1:97" ht="16.5" x14ac:dyDescent="0.3">
      <c r="A117" s="709" t="s">
        <v>438</v>
      </c>
      <c r="B117" s="725"/>
      <c r="C117" s="3"/>
      <c r="D117" s="3"/>
      <c r="E117" s="4">
        <f t="shared" si="99"/>
        <v>0</v>
      </c>
      <c r="G117" s="7"/>
      <c r="H117" s="725">
        <v>732</v>
      </c>
      <c r="I117" s="3"/>
      <c r="J117" s="3">
        <v>681</v>
      </c>
      <c r="K117" s="4">
        <f t="shared" si="100"/>
        <v>681</v>
      </c>
      <c r="L117" s="4">
        <v>330.28500000000003</v>
      </c>
      <c r="M117" s="7">
        <v>5614845</v>
      </c>
      <c r="N117" s="725"/>
      <c r="O117" s="3"/>
      <c r="P117" s="3"/>
      <c r="Q117" s="4">
        <f t="shared" si="101"/>
        <v>0</v>
      </c>
      <c r="R117" s="4"/>
      <c r="S117" s="7"/>
      <c r="T117" s="725">
        <v>0</v>
      </c>
      <c r="U117" s="3">
        <v>431</v>
      </c>
      <c r="V117" s="3">
        <v>431</v>
      </c>
      <c r="W117" s="4">
        <f t="shared" si="102"/>
        <v>862</v>
      </c>
      <c r="X117" s="4">
        <v>2534.2800000000002</v>
      </c>
      <c r="Y117" s="7">
        <v>43082760</v>
      </c>
      <c r="Z117" s="725">
        <v>269</v>
      </c>
      <c r="AA117" s="3">
        <v>0</v>
      </c>
      <c r="AB117" s="3">
        <v>0</v>
      </c>
      <c r="AC117" s="4">
        <f t="shared" si="103"/>
        <v>0</v>
      </c>
      <c r="AD117" s="4"/>
      <c r="AE117" s="7">
        <v>1502340</v>
      </c>
      <c r="AF117" s="725">
        <v>165</v>
      </c>
      <c r="AG117" s="3">
        <v>0</v>
      </c>
      <c r="AH117" s="3">
        <v>139</v>
      </c>
      <c r="AI117" s="4">
        <f t="shared" si="58"/>
        <v>139</v>
      </c>
      <c r="AJ117" s="4">
        <v>104.25</v>
      </c>
      <c r="AK117" s="7">
        <v>1772250</v>
      </c>
      <c r="AL117" s="725"/>
      <c r="AM117" s="3"/>
      <c r="AN117" s="3"/>
      <c r="AO117" s="4">
        <f t="shared" si="104"/>
        <v>0</v>
      </c>
      <c r="AP117" s="4"/>
      <c r="AQ117" s="7"/>
      <c r="AR117" s="725">
        <v>505</v>
      </c>
      <c r="AS117" s="3">
        <v>0</v>
      </c>
      <c r="AT117" s="3">
        <v>82</v>
      </c>
      <c r="AU117" s="4">
        <f t="shared" si="105"/>
        <v>82</v>
      </c>
      <c r="AV117" s="4">
        <v>130.30199999999999</v>
      </c>
      <c r="AW117" s="7">
        <v>3871814</v>
      </c>
      <c r="AX117" s="725"/>
      <c r="AY117" s="3"/>
      <c r="AZ117" s="3"/>
      <c r="BA117" s="4">
        <f t="shared" si="106"/>
        <v>0</v>
      </c>
      <c r="BB117" s="4"/>
      <c r="BC117" s="7"/>
      <c r="BD117" s="725"/>
      <c r="BE117" s="3"/>
      <c r="BF117" s="3"/>
      <c r="BG117" s="4">
        <f t="shared" si="107"/>
        <v>0</v>
      </c>
      <c r="BH117" s="4"/>
      <c r="BI117" s="7"/>
      <c r="BJ117" s="8"/>
      <c r="BK117" s="3"/>
      <c r="BL117" s="3"/>
      <c r="BM117" s="4">
        <f t="shared" si="108"/>
        <v>0</v>
      </c>
      <c r="BN117" s="4"/>
      <c r="BO117" s="7"/>
      <c r="BP117" s="725"/>
      <c r="BQ117" s="3"/>
      <c r="BR117" s="3"/>
      <c r="BS117" s="4">
        <f t="shared" si="109"/>
        <v>0</v>
      </c>
      <c r="BT117" s="4"/>
      <c r="BU117" s="7"/>
      <c r="BV117" s="725"/>
      <c r="BW117" s="3"/>
      <c r="BX117" s="3"/>
      <c r="BY117" s="4">
        <f t="shared" si="110"/>
        <v>0</v>
      </c>
      <c r="BZ117" s="4"/>
      <c r="CA117" s="7"/>
      <c r="CB117" s="725"/>
      <c r="CC117" s="3"/>
      <c r="CD117" s="3"/>
      <c r="CE117" s="4">
        <f t="shared" si="111"/>
        <v>0</v>
      </c>
      <c r="CF117" s="4"/>
      <c r="CG117" s="7"/>
      <c r="CH117" s="725"/>
      <c r="CI117" s="3"/>
      <c r="CJ117" s="3"/>
      <c r="CK117" s="4">
        <f t="shared" si="112"/>
        <v>0</v>
      </c>
      <c r="CL117" s="4"/>
      <c r="CM117" s="7"/>
      <c r="CN117" s="725">
        <v>29</v>
      </c>
      <c r="CO117" s="3">
        <v>4</v>
      </c>
      <c r="CP117" s="3">
        <v>15</v>
      </c>
      <c r="CQ117" s="4">
        <f t="shared" si="113"/>
        <v>19</v>
      </c>
      <c r="CR117" s="4">
        <v>11.475</v>
      </c>
      <c r="CS117" s="7">
        <v>292800.8</v>
      </c>
    </row>
    <row r="118" spans="1:97" ht="16.5" x14ac:dyDescent="0.3">
      <c r="A118" s="709" t="s">
        <v>437</v>
      </c>
      <c r="B118" s="725"/>
      <c r="C118" s="3"/>
      <c r="D118" s="3"/>
      <c r="E118" s="4">
        <f t="shared" si="99"/>
        <v>0</v>
      </c>
      <c r="G118" s="7"/>
      <c r="H118" s="725">
        <v>29</v>
      </c>
      <c r="I118" s="3">
        <v>0</v>
      </c>
      <c r="J118" s="3">
        <v>30</v>
      </c>
      <c r="K118" s="4">
        <f t="shared" si="100"/>
        <v>30</v>
      </c>
      <c r="L118" s="4">
        <v>2.6</v>
      </c>
      <c r="M118" s="7">
        <v>136000</v>
      </c>
      <c r="N118" s="725"/>
      <c r="O118" s="3"/>
      <c r="P118" s="3"/>
      <c r="Q118" s="4">
        <f t="shared" si="101"/>
        <v>0</v>
      </c>
      <c r="R118" s="4"/>
      <c r="S118" s="7"/>
      <c r="T118" s="725">
        <v>0</v>
      </c>
      <c r="U118" s="3">
        <v>0</v>
      </c>
      <c r="V118" s="3">
        <v>420.8</v>
      </c>
      <c r="W118" s="4">
        <f t="shared" si="102"/>
        <v>420.8</v>
      </c>
      <c r="X118" s="4">
        <v>429.22</v>
      </c>
      <c r="Y118" s="7">
        <v>8208388.0000000009</v>
      </c>
      <c r="Z118" s="725"/>
      <c r="AA118" s="3"/>
      <c r="AB118" s="3"/>
      <c r="AC118" s="4">
        <f t="shared" si="103"/>
        <v>0</v>
      </c>
      <c r="AD118" s="4"/>
      <c r="AE118" s="7"/>
      <c r="AF118" s="725">
        <v>617</v>
      </c>
      <c r="AG118" s="3">
        <v>0</v>
      </c>
      <c r="AH118" s="3">
        <v>670</v>
      </c>
      <c r="AI118" s="4">
        <f t="shared" si="58"/>
        <v>670</v>
      </c>
      <c r="AJ118" s="4">
        <v>197.65000000000003</v>
      </c>
      <c r="AK118" s="7">
        <v>3360050.0000000005</v>
      </c>
      <c r="AL118" s="725"/>
      <c r="AM118" s="3"/>
      <c r="AN118" s="3"/>
      <c r="AO118" s="4">
        <f t="shared" si="104"/>
        <v>0</v>
      </c>
      <c r="AP118" s="4"/>
      <c r="AQ118" s="7"/>
      <c r="AR118" s="725">
        <v>226</v>
      </c>
      <c r="AS118" s="3">
        <v>0</v>
      </c>
      <c r="AT118" s="3">
        <v>0</v>
      </c>
      <c r="AU118" s="4">
        <f t="shared" si="105"/>
        <v>0</v>
      </c>
      <c r="AV118" s="4">
        <v>0</v>
      </c>
      <c r="AW118" s="7">
        <v>806340</v>
      </c>
      <c r="AX118" s="725"/>
      <c r="AY118" s="3"/>
      <c r="AZ118" s="3"/>
      <c r="BA118" s="4">
        <f t="shared" si="106"/>
        <v>0</v>
      </c>
      <c r="BB118" s="4"/>
      <c r="BC118" s="7"/>
      <c r="BD118" s="725"/>
      <c r="BE118" s="3"/>
      <c r="BF118" s="3"/>
      <c r="BG118" s="4">
        <f t="shared" si="107"/>
        <v>0</v>
      </c>
      <c r="BH118" s="4"/>
      <c r="BI118" s="7"/>
      <c r="BJ118" s="8"/>
      <c r="BK118" s="3"/>
      <c r="BL118" s="3"/>
      <c r="BM118" s="4">
        <f t="shared" si="108"/>
        <v>0</v>
      </c>
      <c r="BN118" s="4"/>
      <c r="BO118" s="7"/>
      <c r="BP118" s="725"/>
      <c r="BQ118" s="3"/>
      <c r="BR118" s="3"/>
      <c r="BS118" s="4">
        <f t="shared" si="109"/>
        <v>0</v>
      </c>
      <c r="BT118" s="4"/>
      <c r="BU118" s="7"/>
      <c r="BV118" s="725"/>
      <c r="BW118" s="3"/>
      <c r="BX118" s="3"/>
      <c r="BY118" s="4">
        <f t="shared" si="110"/>
        <v>0</v>
      </c>
      <c r="BZ118" s="4"/>
      <c r="CA118" s="7"/>
      <c r="CB118" s="725">
        <v>60</v>
      </c>
      <c r="CC118" s="3">
        <v>0</v>
      </c>
      <c r="CD118" s="3">
        <v>1.5</v>
      </c>
      <c r="CE118" s="4">
        <f t="shared" si="111"/>
        <v>1.5</v>
      </c>
      <c r="CF118" s="4">
        <v>4.76</v>
      </c>
      <c r="CG118" s="7">
        <v>422164</v>
      </c>
      <c r="CH118" s="725"/>
      <c r="CI118" s="3"/>
      <c r="CJ118" s="3"/>
      <c r="CK118" s="4">
        <f t="shared" si="112"/>
        <v>0</v>
      </c>
      <c r="CL118" s="4"/>
      <c r="CM118" s="7"/>
      <c r="CN118" s="725">
        <v>288</v>
      </c>
      <c r="CO118" s="3">
        <v>177.9</v>
      </c>
      <c r="CP118" s="3">
        <v>96.699999999999989</v>
      </c>
      <c r="CQ118" s="4">
        <f t="shared" si="113"/>
        <v>274.60000000000002</v>
      </c>
      <c r="CR118" s="4">
        <v>860.22</v>
      </c>
      <c r="CS118" s="7">
        <v>13349195.279999999</v>
      </c>
    </row>
    <row r="119" spans="1:97" ht="16.5" x14ac:dyDescent="0.3">
      <c r="A119" s="709" t="s">
        <v>436</v>
      </c>
      <c r="B119" s="725"/>
      <c r="C119" s="3"/>
      <c r="D119" s="3"/>
      <c r="E119" s="4">
        <f t="shared" si="99"/>
        <v>0</v>
      </c>
      <c r="G119" s="7"/>
      <c r="H119" s="725">
        <v>711</v>
      </c>
      <c r="I119" s="3">
        <v>422</v>
      </c>
      <c r="J119" s="3">
        <v>439</v>
      </c>
      <c r="K119" s="4">
        <f t="shared" si="100"/>
        <v>861</v>
      </c>
      <c r="L119" s="4">
        <v>2536.8200000000002</v>
      </c>
      <c r="M119" s="7">
        <v>43125940</v>
      </c>
      <c r="N119" s="725"/>
      <c r="O119" s="3"/>
      <c r="P119" s="3"/>
      <c r="Q119" s="4">
        <f t="shared" si="101"/>
        <v>0</v>
      </c>
      <c r="R119" s="4"/>
      <c r="S119" s="7"/>
      <c r="T119" s="725">
        <v>0</v>
      </c>
      <c r="U119" s="3">
        <v>507</v>
      </c>
      <c r="V119" s="3">
        <v>240</v>
      </c>
      <c r="W119" s="4">
        <f t="shared" si="102"/>
        <v>747</v>
      </c>
      <c r="X119" s="4">
        <v>2830.5</v>
      </c>
      <c r="Y119" s="7">
        <v>48118499.999999993</v>
      </c>
      <c r="Z119" s="725">
        <v>20</v>
      </c>
      <c r="AA119" s="3">
        <v>25</v>
      </c>
      <c r="AB119" s="3">
        <v>0</v>
      </c>
      <c r="AC119" s="4">
        <f t="shared" si="103"/>
        <v>25</v>
      </c>
      <c r="AD119" s="4"/>
      <c r="AE119" s="7">
        <v>718400</v>
      </c>
      <c r="AF119" s="725">
        <v>533</v>
      </c>
      <c r="AG119" s="3">
        <v>230</v>
      </c>
      <c r="AH119" s="3">
        <v>345</v>
      </c>
      <c r="AI119" s="4">
        <f t="shared" si="58"/>
        <v>575</v>
      </c>
      <c r="AJ119" s="4">
        <v>373.75</v>
      </c>
      <c r="AK119" s="7">
        <v>6353750</v>
      </c>
      <c r="AL119" s="725"/>
      <c r="AM119" s="3"/>
      <c r="AN119" s="3"/>
      <c r="AO119" s="4">
        <f t="shared" si="104"/>
        <v>0</v>
      </c>
      <c r="AP119" s="4"/>
      <c r="AQ119" s="7"/>
      <c r="AR119" s="725">
        <v>633</v>
      </c>
      <c r="AS119" s="3">
        <v>586</v>
      </c>
      <c r="AT119" s="3">
        <v>211</v>
      </c>
      <c r="AU119" s="4">
        <f t="shared" si="105"/>
        <v>797</v>
      </c>
      <c r="AV119" s="4">
        <v>3437.8900000000003</v>
      </c>
      <c r="AW119" s="7">
        <v>58444130</v>
      </c>
      <c r="AX119" s="725"/>
      <c r="AY119" s="3"/>
      <c r="AZ119" s="3"/>
      <c r="BA119" s="4">
        <f t="shared" si="106"/>
        <v>0</v>
      </c>
      <c r="BB119" s="4"/>
      <c r="BC119" s="7"/>
      <c r="BD119" s="725"/>
      <c r="BE119" s="3"/>
      <c r="BF119" s="3"/>
      <c r="BG119" s="4">
        <f t="shared" si="107"/>
        <v>0</v>
      </c>
      <c r="BH119" s="4"/>
      <c r="BI119" s="7"/>
      <c r="BJ119" s="8"/>
      <c r="BK119" s="3"/>
      <c r="BL119" s="3"/>
      <c r="BM119" s="4">
        <f t="shared" si="108"/>
        <v>0</v>
      </c>
      <c r="BN119" s="4"/>
      <c r="BO119" s="7"/>
      <c r="BP119" s="725"/>
      <c r="BQ119" s="3"/>
      <c r="BR119" s="3"/>
      <c r="BS119" s="4">
        <f t="shared" si="109"/>
        <v>0</v>
      </c>
      <c r="BT119" s="4"/>
      <c r="BU119" s="7"/>
      <c r="BV119" s="725"/>
      <c r="BW119" s="3"/>
      <c r="BX119" s="3"/>
      <c r="BY119" s="4">
        <f t="shared" si="110"/>
        <v>0</v>
      </c>
      <c r="BZ119" s="4"/>
      <c r="CA119" s="7"/>
      <c r="CB119" s="725"/>
      <c r="CC119" s="3"/>
      <c r="CD119" s="3"/>
      <c r="CE119" s="4">
        <f t="shared" si="111"/>
        <v>0</v>
      </c>
      <c r="CF119" s="4"/>
      <c r="CG119" s="7"/>
      <c r="CH119" s="725"/>
      <c r="CI119" s="3"/>
      <c r="CJ119" s="3"/>
      <c r="CK119" s="4">
        <f t="shared" si="112"/>
        <v>0</v>
      </c>
      <c r="CL119" s="4"/>
      <c r="CM119" s="7"/>
      <c r="CN119" s="725"/>
      <c r="CO119" s="3"/>
      <c r="CP119" s="3"/>
      <c r="CQ119" s="4">
        <f t="shared" si="113"/>
        <v>0</v>
      </c>
      <c r="CR119" s="4"/>
      <c r="CS119" s="7"/>
    </row>
    <row r="120" spans="1:97" ht="16.5" x14ac:dyDescent="0.3">
      <c r="A120" s="709" t="s">
        <v>435</v>
      </c>
      <c r="B120" s="725"/>
      <c r="C120" s="3"/>
      <c r="D120" s="3"/>
      <c r="E120" s="4">
        <f t="shared" si="99"/>
        <v>0</v>
      </c>
      <c r="G120" s="7"/>
      <c r="H120" s="725">
        <v>113</v>
      </c>
      <c r="I120" s="3">
        <v>0</v>
      </c>
      <c r="J120" s="3">
        <v>260</v>
      </c>
      <c r="K120" s="4">
        <f t="shared" si="100"/>
        <v>260</v>
      </c>
      <c r="L120" s="4">
        <v>124.8</v>
      </c>
      <c r="M120" s="7">
        <v>2121600</v>
      </c>
      <c r="N120" s="725"/>
      <c r="O120" s="3"/>
      <c r="P120" s="3"/>
      <c r="Q120" s="4">
        <f t="shared" si="101"/>
        <v>0</v>
      </c>
      <c r="R120" s="4"/>
      <c r="S120" s="7"/>
      <c r="T120" s="725">
        <v>0</v>
      </c>
      <c r="U120" s="3">
        <v>503.6</v>
      </c>
      <c r="V120" s="3">
        <v>1567.8</v>
      </c>
      <c r="W120" s="4">
        <f t="shared" si="102"/>
        <v>2071.4</v>
      </c>
      <c r="X120" s="4">
        <v>2737.2849999999999</v>
      </c>
      <c r="Y120" s="7">
        <v>54490501</v>
      </c>
      <c r="Z120" s="725"/>
      <c r="AA120" s="3"/>
      <c r="AB120" s="3"/>
      <c r="AC120" s="4">
        <f t="shared" si="103"/>
        <v>0</v>
      </c>
      <c r="AD120" s="4"/>
      <c r="AE120" s="7"/>
      <c r="AF120" s="725">
        <v>397</v>
      </c>
      <c r="AG120" s="3">
        <v>54.6</v>
      </c>
      <c r="AH120" s="3">
        <v>370.75</v>
      </c>
      <c r="AI120" s="4">
        <f t="shared" si="58"/>
        <v>425.35</v>
      </c>
      <c r="AJ120" s="4">
        <v>444.62374999999997</v>
      </c>
      <c r="AK120" s="7">
        <v>7583523.75</v>
      </c>
      <c r="AL120" s="725"/>
      <c r="AM120" s="3"/>
      <c r="AN120" s="3"/>
      <c r="AO120" s="4">
        <f t="shared" si="104"/>
        <v>0</v>
      </c>
      <c r="AP120" s="4"/>
      <c r="AQ120" s="7"/>
      <c r="AR120" s="725">
        <v>137</v>
      </c>
      <c r="AS120" s="3">
        <v>23.8</v>
      </c>
      <c r="AT120" s="3">
        <v>98.8</v>
      </c>
      <c r="AU120" s="4">
        <f t="shared" si="105"/>
        <v>122.6</v>
      </c>
      <c r="AV120" s="4">
        <v>277.57119999999998</v>
      </c>
      <c r="AW120" s="7">
        <v>4718710.4000000004</v>
      </c>
      <c r="AX120" s="725"/>
      <c r="AY120" s="3"/>
      <c r="AZ120" s="3"/>
      <c r="BA120" s="4">
        <f t="shared" si="106"/>
        <v>0</v>
      </c>
      <c r="BB120" s="4"/>
      <c r="BC120" s="7"/>
      <c r="BD120" s="725"/>
      <c r="BE120" s="3"/>
      <c r="BF120" s="3"/>
      <c r="BG120" s="4">
        <f t="shared" si="107"/>
        <v>0</v>
      </c>
      <c r="BH120" s="4"/>
      <c r="BI120" s="7"/>
      <c r="BJ120" s="8"/>
      <c r="BK120" s="3"/>
      <c r="BL120" s="3"/>
      <c r="BM120" s="4">
        <f t="shared" si="108"/>
        <v>0</v>
      </c>
      <c r="BN120" s="4"/>
      <c r="BO120" s="7"/>
      <c r="BP120" s="725"/>
      <c r="BQ120" s="3"/>
      <c r="BR120" s="3"/>
      <c r="BS120" s="4">
        <f t="shared" si="109"/>
        <v>0</v>
      </c>
      <c r="BT120" s="4"/>
      <c r="BU120" s="7"/>
      <c r="BV120" s="725"/>
      <c r="BW120" s="3"/>
      <c r="BX120" s="3"/>
      <c r="BY120" s="4">
        <f t="shared" si="110"/>
        <v>0</v>
      </c>
      <c r="BZ120" s="4"/>
      <c r="CA120" s="7"/>
      <c r="CB120" s="725"/>
      <c r="CC120" s="3"/>
      <c r="CD120" s="3"/>
      <c r="CE120" s="4">
        <f t="shared" si="111"/>
        <v>0</v>
      </c>
      <c r="CF120" s="4"/>
      <c r="CG120" s="7"/>
      <c r="CH120" s="725"/>
      <c r="CI120" s="3"/>
      <c r="CJ120" s="3"/>
      <c r="CK120" s="4">
        <f t="shared" si="112"/>
        <v>0</v>
      </c>
      <c r="CL120" s="4"/>
      <c r="CM120" s="7"/>
      <c r="CN120" s="725">
        <v>755</v>
      </c>
      <c r="CO120" s="3">
        <v>725</v>
      </c>
      <c r="CP120" s="3">
        <v>236</v>
      </c>
      <c r="CQ120" s="4">
        <f t="shared" si="113"/>
        <v>961</v>
      </c>
      <c r="CR120" s="4">
        <v>3104.85</v>
      </c>
      <c r="CS120" s="7">
        <v>48324284</v>
      </c>
    </row>
    <row r="121" spans="1:97" ht="16.5" x14ac:dyDescent="0.3">
      <c r="A121" s="709" t="s">
        <v>446</v>
      </c>
      <c r="B121" s="725"/>
      <c r="C121" s="3"/>
      <c r="D121" s="3"/>
      <c r="E121" s="4">
        <f t="shared" si="99"/>
        <v>0</v>
      </c>
      <c r="G121" s="7"/>
      <c r="H121" s="725">
        <v>389</v>
      </c>
      <c r="I121" s="3">
        <v>0</v>
      </c>
      <c r="J121" s="3">
        <v>313</v>
      </c>
      <c r="K121" s="4">
        <f t="shared" si="100"/>
        <v>313</v>
      </c>
      <c r="L121" s="4">
        <v>240.24750000000003</v>
      </c>
      <c r="M121" s="7">
        <v>4089615.5000000005</v>
      </c>
      <c r="N121" s="725">
        <v>0</v>
      </c>
      <c r="O121" s="3">
        <v>0</v>
      </c>
      <c r="P121" s="3">
        <v>171</v>
      </c>
      <c r="Q121" s="4">
        <f t="shared" si="101"/>
        <v>171</v>
      </c>
      <c r="R121" s="4">
        <v>84.65</v>
      </c>
      <c r="S121" s="7">
        <v>1438965.0000000002</v>
      </c>
      <c r="T121" s="725">
        <v>0</v>
      </c>
      <c r="U121" s="3">
        <v>0</v>
      </c>
      <c r="V121" s="3">
        <v>1681</v>
      </c>
      <c r="W121" s="4">
        <f t="shared" si="102"/>
        <v>1681</v>
      </c>
      <c r="X121" s="4">
        <v>2519.5</v>
      </c>
      <c r="Y121" s="7">
        <v>43095300</v>
      </c>
      <c r="Z121" s="725">
        <v>335</v>
      </c>
      <c r="AA121" s="3">
        <v>0</v>
      </c>
      <c r="AB121" s="3">
        <v>0</v>
      </c>
      <c r="AC121" s="4">
        <f t="shared" si="103"/>
        <v>0</v>
      </c>
      <c r="AD121" s="4"/>
      <c r="AE121" s="7">
        <v>2392500</v>
      </c>
      <c r="AF121" s="725">
        <v>1145</v>
      </c>
      <c r="AG121" s="3">
        <v>2</v>
      </c>
      <c r="AH121" s="3">
        <v>1060.95</v>
      </c>
      <c r="AI121" s="4">
        <f t="shared" si="58"/>
        <v>1062.95</v>
      </c>
      <c r="AJ121" s="4">
        <v>297.25650000000002</v>
      </c>
      <c r="AK121" s="7">
        <v>5067600.5</v>
      </c>
      <c r="AL121" s="725"/>
      <c r="AM121" s="3"/>
      <c r="AN121" s="3"/>
      <c r="AO121" s="4">
        <f t="shared" si="104"/>
        <v>0</v>
      </c>
      <c r="AP121" s="4"/>
      <c r="AQ121" s="7"/>
      <c r="AR121" s="725">
        <v>752</v>
      </c>
      <c r="AS121" s="3">
        <v>43</v>
      </c>
      <c r="AT121" s="3">
        <v>648</v>
      </c>
      <c r="AU121" s="4">
        <f t="shared" si="105"/>
        <v>691</v>
      </c>
      <c r="AV121" s="4">
        <v>1699.7680000000003</v>
      </c>
      <c r="AW121" s="7">
        <v>28896056.000000004</v>
      </c>
      <c r="AX121" s="725"/>
      <c r="AY121" s="3"/>
      <c r="AZ121" s="3"/>
      <c r="BA121" s="4">
        <f t="shared" si="106"/>
        <v>0</v>
      </c>
      <c r="BB121" s="4"/>
      <c r="BC121" s="7"/>
      <c r="BD121" s="725"/>
      <c r="BE121" s="3"/>
      <c r="BF121" s="3"/>
      <c r="BG121" s="4">
        <f t="shared" si="107"/>
        <v>0</v>
      </c>
      <c r="BH121" s="4"/>
      <c r="BI121" s="7"/>
      <c r="BJ121" s="8"/>
      <c r="BK121" s="3"/>
      <c r="BL121" s="3"/>
      <c r="BM121" s="4">
        <f t="shared" si="108"/>
        <v>0</v>
      </c>
      <c r="BN121" s="4"/>
      <c r="BO121" s="7"/>
      <c r="BP121" s="725"/>
      <c r="BQ121" s="3"/>
      <c r="BR121" s="3"/>
      <c r="BS121" s="4">
        <f t="shared" si="109"/>
        <v>0</v>
      </c>
      <c r="BT121" s="4"/>
      <c r="BU121" s="7"/>
      <c r="BV121" s="725"/>
      <c r="BW121" s="3"/>
      <c r="BX121" s="3"/>
      <c r="BY121" s="4">
        <f t="shared" si="110"/>
        <v>0</v>
      </c>
      <c r="BZ121" s="4"/>
      <c r="CA121" s="7"/>
      <c r="CB121" s="725"/>
      <c r="CC121" s="3"/>
      <c r="CD121" s="3"/>
      <c r="CE121" s="4">
        <f t="shared" si="111"/>
        <v>0</v>
      </c>
      <c r="CF121" s="4"/>
      <c r="CG121" s="7"/>
      <c r="CH121" s="725"/>
      <c r="CI121" s="3"/>
      <c r="CJ121" s="3"/>
      <c r="CK121" s="4">
        <f t="shared" si="112"/>
        <v>0</v>
      </c>
      <c r="CL121" s="4"/>
      <c r="CM121" s="7"/>
      <c r="CN121" s="725">
        <v>62</v>
      </c>
      <c r="CO121" s="3">
        <v>13.2</v>
      </c>
      <c r="CP121" s="3">
        <v>153.30000000000001</v>
      </c>
      <c r="CQ121" s="4">
        <f t="shared" si="113"/>
        <v>166.5</v>
      </c>
      <c r="CR121" s="4">
        <v>319.32</v>
      </c>
      <c r="CS121" s="7">
        <v>4164402</v>
      </c>
    </row>
    <row r="122" spans="1:97" ht="16.5" x14ac:dyDescent="0.3">
      <c r="A122" s="709" t="s">
        <v>395</v>
      </c>
      <c r="B122" s="725"/>
      <c r="C122" s="3"/>
      <c r="D122" s="3"/>
      <c r="E122" s="4">
        <f t="shared" si="99"/>
        <v>0</v>
      </c>
      <c r="G122" s="7"/>
      <c r="H122" s="725">
        <v>65</v>
      </c>
      <c r="I122" s="3">
        <v>0</v>
      </c>
      <c r="J122" s="3">
        <v>109</v>
      </c>
      <c r="K122" s="4">
        <f t="shared" si="100"/>
        <v>109</v>
      </c>
      <c r="L122" s="4">
        <v>52.320000000000007</v>
      </c>
      <c r="M122" s="7">
        <v>889440.00000000012</v>
      </c>
      <c r="N122" s="725"/>
      <c r="O122" s="3"/>
      <c r="P122" s="3"/>
      <c r="Q122" s="4">
        <f t="shared" si="101"/>
        <v>0</v>
      </c>
      <c r="R122" s="4"/>
      <c r="S122" s="7"/>
      <c r="T122" s="725">
        <v>0</v>
      </c>
      <c r="U122" s="3">
        <v>212</v>
      </c>
      <c r="V122" s="3">
        <v>4100</v>
      </c>
      <c r="W122" s="4">
        <f t="shared" si="102"/>
        <v>4312</v>
      </c>
      <c r="X122" s="4">
        <v>10970.7</v>
      </c>
      <c r="Y122" s="7">
        <v>186501900</v>
      </c>
      <c r="Z122" s="725">
        <v>235</v>
      </c>
      <c r="AA122" s="3">
        <v>0</v>
      </c>
      <c r="AB122" s="3">
        <v>0</v>
      </c>
      <c r="AC122" s="4">
        <f t="shared" si="103"/>
        <v>0</v>
      </c>
      <c r="AD122" s="4"/>
      <c r="AE122" s="7">
        <v>1747960</v>
      </c>
      <c r="AF122" s="725">
        <v>1500</v>
      </c>
      <c r="AG122" s="3">
        <v>0</v>
      </c>
      <c r="AH122" s="3">
        <v>1656</v>
      </c>
      <c r="AI122" s="4">
        <f t="shared" ref="AI122:AI127" si="116">SUM(AG122:AH122)</f>
        <v>1656</v>
      </c>
      <c r="AJ122" s="4">
        <v>1322.88</v>
      </c>
      <c r="AK122" s="7">
        <v>18027360</v>
      </c>
      <c r="AL122" s="725"/>
      <c r="AM122" s="3"/>
      <c r="AN122" s="3"/>
      <c r="AO122" s="4">
        <f t="shared" si="104"/>
        <v>0</v>
      </c>
      <c r="AP122" s="4"/>
      <c r="AQ122" s="7"/>
      <c r="AR122" s="725"/>
      <c r="AS122" s="3"/>
      <c r="AT122" s="3"/>
      <c r="AU122" s="4">
        <f t="shared" si="105"/>
        <v>0</v>
      </c>
      <c r="AV122" s="4"/>
      <c r="AW122" s="7"/>
      <c r="AX122" s="725"/>
      <c r="AY122" s="3"/>
      <c r="AZ122" s="3"/>
      <c r="BA122" s="4">
        <f t="shared" si="106"/>
        <v>0</v>
      </c>
      <c r="BB122" s="4"/>
      <c r="BC122" s="7"/>
      <c r="BD122" s="725"/>
      <c r="BE122" s="3"/>
      <c r="BF122" s="3"/>
      <c r="BG122" s="4">
        <f t="shared" si="107"/>
        <v>0</v>
      </c>
      <c r="BH122" s="4"/>
      <c r="BI122" s="7"/>
      <c r="BJ122" s="8"/>
      <c r="BK122" s="3"/>
      <c r="BL122" s="3"/>
      <c r="BM122" s="4">
        <f t="shared" si="108"/>
        <v>0</v>
      </c>
      <c r="BN122" s="4"/>
      <c r="BO122" s="7"/>
      <c r="BP122" s="725"/>
      <c r="BQ122" s="3"/>
      <c r="BR122" s="3"/>
      <c r="BS122" s="4">
        <f t="shared" si="109"/>
        <v>0</v>
      </c>
      <c r="BT122" s="4"/>
      <c r="BU122" s="7"/>
      <c r="BV122" s="725"/>
      <c r="BW122" s="3"/>
      <c r="BX122" s="3"/>
      <c r="BY122" s="4">
        <f t="shared" si="110"/>
        <v>0</v>
      </c>
      <c r="BZ122" s="4"/>
      <c r="CA122" s="7"/>
      <c r="CB122" s="725"/>
      <c r="CC122" s="3"/>
      <c r="CD122" s="3"/>
      <c r="CE122" s="4">
        <f t="shared" si="111"/>
        <v>0</v>
      </c>
      <c r="CF122" s="4"/>
      <c r="CG122" s="7"/>
      <c r="CH122" s="725"/>
      <c r="CI122" s="3"/>
      <c r="CJ122" s="3"/>
      <c r="CK122" s="4">
        <f t="shared" si="112"/>
        <v>0</v>
      </c>
      <c r="CL122" s="4"/>
      <c r="CM122" s="7"/>
      <c r="CN122" s="725">
        <v>968</v>
      </c>
      <c r="CO122" s="3">
        <v>521.25</v>
      </c>
      <c r="CP122" s="3">
        <v>177.5</v>
      </c>
      <c r="CQ122" s="4">
        <f t="shared" si="113"/>
        <v>698.75</v>
      </c>
      <c r="CR122" s="4">
        <v>0</v>
      </c>
      <c r="CS122" s="7">
        <v>40050</v>
      </c>
    </row>
    <row r="123" spans="1:97" ht="16.5" x14ac:dyDescent="0.3">
      <c r="A123" s="709" t="s">
        <v>445</v>
      </c>
      <c r="B123" s="725"/>
      <c r="C123" s="3"/>
      <c r="D123" s="3"/>
      <c r="E123" s="4">
        <f t="shared" si="99"/>
        <v>0</v>
      </c>
      <c r="G123" s="7"/>
      <c r="H123" s="725">
        <v>90</v>
      </c>
      <c r="I123" s="3"/>
      <c r="J123" s="3">
        <v>150</v>
      </c>
      <c r="K123" s="4">
        <f t="shared" si="100"/>
        <v>150</v>
      </c>
      <c r="L123" s="4">
        <v>75</v>
      </c>
      <c r="M123" s="7">
        <v>1275000</v>
      </c>
      <c r="N123" s="725"/>
      <c r="O123" s="3"/>
      <c r="P123" s="3"/>
      <c r="Q123" s="4">
        <f t="shared" si="101"/>
        <v>0</v>
      </c>
      <c r="R123" s="4"/>
      <c r="S123" s="7"/>
      <c r="T123" s="725">
        <v>0</v>
      </c>
      <c r="U123" s="3">
        <v>0</v>
      </c>
      <c r="V123" s="3">
        <v>1936.3000000000002</v>
      </c>
      <c r="W123" s="4">
        <f t="shared" si="102"/>
        <v>1936.3000000000002</v>
      </c>
      <c r="X123" s="4">
        <v>2411.5374999999999</v>
      </c>
      <c r="Y123" s="7">
        <v>41196005.5</v>
      </c>
      <c r="Z123" s="725">
        <v>26</v>
      </c>
      <c r="AA123" s="3">
        <v>32.5</v>
      </c>
      <c r="AB123" s="3">
        <v>0</v>
      </c>
      <c r="AC123" s="4">
        <f t="shared" si="103"/>
        <v>32.5</v>
      </c>
      <c r="AD123" s="4"/>
      <c r="AE123" s="7">
        <v>829250</v>
      </c>
      <c r="AF123" s="725">
        <v>411</v>
      </c>
      <c r="AG123" s="3">
        <v>0</v>
      </c>
      <c r="AH123" s="3">
        <v>459</v>
      </c>
      <c r="AI123" s="4">
        <f t="shared" si="116"/>
        <v>459</v>
      </c>
      <c r="AJ123" s="4">
        <v>344.25</v>
      </c>
      <c r="AK123" s="7">
        <v>5852250</v>
      </c>
      <c r="AL123" s="725"/>
      <c r="AM123" s="3"/>
      <c r="AN123" s="3"/>
      <c r="AO123" s="4">
        <f t="shared" si="104"/>
        <v>0</v>
      </c>
      <c r="AP123" s="4"/>
      <c r="AQ123" s="7"/>
      <c r="AR123" s="725">
        <v>514</v>
      </c>
      <c r="AS123" s="3">
        <v>0</v>
      </c>
      <c r="AT123" s="3">
        <v>664.92</v>
      </c>
      <c r="AU123" s="4">
        <f t="shared" si="105"/>
        <v>664.92</v>
      </c>
      <c r="AV123" s="4">
        <v>1083.6148000000001</v>
      </c>
      <c r="AW123" s="7">
        <v>18421451.600000001</v>
      </c>
      <c r="AX123" s="725"/>
      <c r="AY123" s="3"/>
      <c r="AZ123" s="3"/>
      <c r="BA123" s="4">
        <f t="shared" si="106"/>
        <v>0</v>
      </c>
      <c r="BB123" s="4"/>
      <c r="BC123" s="7"/>
      <c r="BD123" s="725"/>
      <c r="BE123" s="3"/>
      <c r="BF123" s="3"/>
      <c r="BG123" s="4">
        <f t="shared" si="107"/>
        <v>0</v>
      </c>
      <c r="BH123" s="4"/>
      <c r="BI123" s="7"/>
      <c r="BJ123" s="8"/>
      <c r="BK123" s="3"/>
      <c r="BL123" s="3"/>
      <c r="BM123" s="4">
        <f t="shared" si="108"/>
        <v>0</v>
      </c>
      <c r="BN123" s="4"/>
      <c r="BO123" s="7"/>
      <c r="BP123" s="725"/>
      <c r="BQ123" s="3"/>
      <c r="BR123" s="3"/>
      <c r="BS123" s="4">
        <f t="shared" si="109"/>
        <v>0</v>
      </c>
      <c r="BT123" s="4"/>
      <c r="BU123" s="7"/>
      <c r="BV123" s="725"/>
      <c r="BW123" s="3"/>
      <c r="BX123" s="3"/>
      <c r="BY123" s="4">
        <f t="shared" si="110"/>
        <v>0</v>
      </c>
      <c r="BZ123" s="4"/>
      <c r="CA123" s="7"/>
      <c r="CB123" s="725">
        <v>400</v>
      </c>
      <c r="CC123" s="3">
        <v>3</v>
      </c>
      <c r="CD123" s="3">
        <v>82.699999999999989</v>
      </c>
      <c r="CE123" s="4">
        <f t="shared" si="111"/>
        <v>85.699999999999989</v>
      </c>
      <c r="CF123" s="4">
        <v>65.126249999999999</v>
      </c>
      <c r="CG123" s="7">
        <v>3172830.8</v>
      </c>
      <c r="CH123" s="725"/>
      <c r="CI123" s="3"/>
      <c r="CJ123" s="3"/>
      <c r="CK123" s="4">
        <f t="shared" si="112"/>
        <v>0</v>
      </c>
      <c r="CL123" s="4"/>
      <c r="CM123" s="7"/>
      <c r="CN123" s="725">
        <v>1233</v>
      </c>
      <c r="CO123" s="3">
        <v>98.02</v>
      </c>
      <c r="CP123" s="3">
        <v>535.20000000000005</v>
      </c>
      <c r="CQ123" s="4">
        <f t="shared" si="113"/>
        <v>633.22</v>
      </c>
      <c r="CR123" s="4">
        <v>261.85499999999996</v>
      </c>
      <c r="CS123" s="7">
        <v>10852671.560000001</v>
      </c>
    </row>
    <row r="124" spans="1:97" ht="16.5" x14ac:dyDescent="0.3">
      <c r="A124" s="709" t="s">
        <v>444</v>
      </c>
      <c r="B124" s="725"/>
      <c r="C124" s="3"/>
      <c r="D124" s="3"/>
      <c r="E124" s="4">
        <f t="shared" si="99"/>
        <v>0</v>
      </c>
      <c r="G124" s="7"/>
      <c r="H124" s="725">
        <v>1789</v>
      </c>
      <c r="I124" s="3"/>
      <c r="J124" s="3">
        <v>1906.5</v>
      </c>
      <c r="K124" s="4">
        <f t="shared" si="100"/>
        <v>1906.5</v>
      </c>
      <c r="L124" s="4">
        <v>1515.6674999999998</v>
      </c>
      <c r="M124" s="7">
        <v>25766347.499999996</v>
      </c>
      <c r="N124" s="725"/>
      <c r="O124" s="3"/>
      <c r="P124" s="3"/>
      <c r="Q124" s="4">
        <f t="shared" si="101"/>
        <v>0</v>
      </c>
      <c r="R124" s="4"/>
      <c r="S124" s="7"/>
      <c r="T124" s="725">
        <v>0</v>
      </c>
      <c r="U124" s="3">
        <v>117.4</v>
      </c>
      <c r="V124" s="3">
        <v>2277.4700000000003</v>
      </c>
      <c r="W124" s="4">
        <f t="shared" si="102"/>
        <v>2394.8700000000003</v>
      </c>
      <c r="X124" s="4">
        <v>2921.4645999999998</v>
      </c>
      <c r="Y124" s="7">
        <v>49927208.199999996</v>
      </c>
      <c r="Z124" s="725">
        <v>687</v>
      </c>
      <c r="AA124" s="3">
        <v>235</v>
      </c>
      <c r="AB124" s="3">
        <v>392</v>
      </c>
      <c r="AC124" s="4">
        <f t="shared" si="103"/>
        <v>627</v>
      </c>
      <c r="AD124" s="4"/>
      <c r="AE124" s="7">
        <v>4600653.2</v>
      </c>
      <c r="AF124" s="725">
        <v>660</v>
      </c>
      <c r="AG124" s="3">
        <v>0</v>
      </c>
      <c r="AH124" s="3">
        <v>663</v>
      </c>
      <c r="AI124" s="4">
        <f t="shared" si="116"/>
        <v>663</v>
      </c>
      <c r="AJ124" s="4">
        <v>571.83749999999998</v>
      </c>
      <c r="AK124" s="7">
        <v>9721237.5</v>
      </c>
      <c r="AL124" s="725"/>
      <c r="AM124" s="3"/>
      <c r="AN124" s="3"/>
      <c r="AO124" s="4">
        <f t="shared" si="104"/>
        <v>0</v>
      </c>
      <c r="AP124" s="4"/>
      <c r="AQ124" s="7"/>
      <c r="AR124" s="725"/>
      <c r="AS124" s="3"/>
      <c r="AT124" s="3"/>
      <c r="AU124" s="4">
        <f t="shared" si="105"/>
        <v>0</v>
      </c>
      <c r="AV124" s="4"/>
      <c r="AW124" s="7"/>
      <c r="AX124" s="725"/>
      <c r="AY124" s="3"/>
      <c r="AZ124" s="3"/>
      <c r="BA124" s="4">
        <f t="shared" si="106"/>
        <v>0</v>
      </c>
      <c r="BB124" s="4"/>
      <c r="BC124" s="7"/>
      <c r="BD124" s="725"/>
      <c r="BE124" s="3"/>
      <c r="BF124" s="3"/>
      <c r="BG124" s="4">
        <f t="shared" si="107"/>
        <v>0</v>
      </c>
      <c r="BH124" s="4"/>
      <c r="BI124" s="7"/>
      <c r="BJ124" s="8"/>
      <c r="BK124" s="3"/>
      <c r="BL124" s="3"/>
      <c r="BM124" s="4">
        <f t="shared" si="108"/>
        <v>0</v>
      </c>
      <c r="BN124" s="4"/>
      <c r="BO124" s="7"/>
      <c r="BP124" s="725"/>
      <c r="BQ124" s="3"/>
      <c r="BR124" s="3"/>
      <c r="BS124" s="4">
        <f t="shared" si="109"/>
        <v>0</v>
      </c>
      <c r="BT124" s="4"/>
      <c r="BU124" s="7"/>
      <c r="BV124" s="725"/>
      <c r="BW124" s="3"/>
      <c r="BX124" s="3"/>
      <c r="BY124" s="4">
        <f t="shared" si="110"/>
        <v>0</v>
      </c>
      <c r="BZ124" s="4"/>
      <c r="CA124" s="7"/>
      <c r="CB124" s="725"/>
      <c r="CC124" s="3"/>
      <c r="CD124" s="3"/>
      <c r="CE124" s="4">
        <f t="shared" si="111"/>
        <v>0</v>
      </c>
      <c r="CF124" s="4"/>
      <c r="CG124" s="7"/>
      <c r="CH124" s="725"/>
      <c r="CI124" s="3"/>
      <c r="CJ124" s="3"/>
      <c r="CK124" s="4">
        <f t="shared" si="112"/>
        <v>0</v>
      </c>
      <c r="CL124" s="4"/>
      <c r="CM124" s="7"/>
      <c r="CN124" s="725"/>
      <c r="CO124" s="3"/>
      <c r="CP124" s="3"/>
      <c r="CQ124" s="4">
        <f t="shared" si="113"/>
        <v>0</v>
      </c>
      <c r="CR124" s="4"/>
      <c r="CS124" s="7"/>
    </row>
    <row r="125" spans="1:97" ht="16.5" x14ac:dyDescent="0.3">
      <c r="A125" s="709" t="s">
        <v>430</v>
      </c>
      <c r="B125" s="725"/>
      <c r="C125" s="3"/>
      <c r="D125" s="3"/>
      <c r="E125" s="4">
        <f t="shared" si="99"/>
        <v>0</v>
      </c>
      <c r="G125" s="7"/>
      <c r="H125" s="725"/>
      <c r="I125" s="3"/>
      <c r="J125" s="3"/>
      <c r="K125" s="4">
        <f t="shared" si="100"/>
        <v>0</v>
      </c>
      <c r="L125" s="4"/>
      <c r="M125" s="7"/>
      <c r="N125" s="725"/>
      <c r="O125" s="3"/>
      <c r="P125" s="3"/>
      <c r="Q125" s="4">
        <f t="shared" si="101"/>
        <v>0</v>
      </c>
      <c r="R125" s="4"/>
      <c r="S125" s="7"/>
      <c r="T125" s="725">
        <v>0</v>
      </c>
      <c r="U125" s="3">
        <v>201</v>
      </c>
      <c r="V125" s="3">
        <v>427</v>
      </c>
      <c r="W125" s="4">
        <f t="shared" si="102"/>
        <v>628</v>
      </c>
      <c r="X125" s="4">
        <v>1374.72</v>
      </c>
      <c r="Y125" s="7">
        <v>23370240</v>
      </c>
      <c r="Z125" s="725">
        <v>325</v>
      </c>
      <c r="AA125" s="3">
        <v>63</v>
      </c>
      <c r="AB125" s="3">
        <v>189</v>
      </c>
      <c r="AC125" s="4">
        <f t="shared" si="103"/>
        <v>252</v>
      </c>
      <c r="AD125" s="4">
        <v>249.51750000000001</v>
      </c>
      <c r="AE125" s="7">
        <v>7120957.5</v>
      </c>
      <c r="AF125" s="725">
        <v>33</v>
      </c>
      <c r="AG125" s="3">
        <v>0</v>
      </c>
      <c r="AH125" s="3">
        <v>38</v>
      </c>
      <c r="AI125" s="4">
        <f t="shared" si="116"/>
        <v>38</v>
      </c>
      <c r="AJ125" s="4">
        <v>18.43</v>
      </c>
      <c r="AK125" s="7">
        <v>313310</v>
      </c>
      <c r="AL125" s="725"/>
      <c r="AM125" s="3"/>
      <c r="AN125" s="3"/>
      <c r="AO125" s="4">
        <f t="shared" si="104"/>
        <v>0</v>
      </c>
      <c r="AP125" s="4"/>
      <c r="AQ125" s="7"/>
      <c r="AR125" s="725">
        <v>89</v>
      </c>
      <c r="AS125" s="3">
        <v>0</v>
      </c>
      <c r="AT125" s="3">
        <v>101</v>
      </c>
      <c r="AU125" s="4">
        <f t="shared" si="105"/>
        <v>101</v>
      </c>
      <c r="AV125" s="4">
        <v>136.90600000000001</v>
      </c>
      <c r="AW125" s="7">
        <v>2384874.0000000005</v>
      </c>
      <c r="AX125" s="725"/>
      <c r="AY125" s="3"/>
      <c r="AZ125" s="3"/>
      <c r="BA125" s="4">
        <f t="shared" si="106"/>
        <v>0</v>
      </c>
      <c r="BB125" s="4"/>
      <c r="BC125" s="7"/>
      <c r="BD125" s="725"/>
      <c r="BE125" s="3"/>
      <c r="BF125" s="3"/>
      <c r="BG125" s="4">
        <f t="shared" si="107"/>
        <v>0</v>
      </c>
      <c r="BH125" s="4"/>
      <c r="BI125" s="7"/>
      <c r="BJ125" s="8"/>
      <c r="BK125" s="3"/>
      <c r="BL125" s="3"/>
      <c r="BM125" s="4">
        <f t="shared" si="108"/>
        <v>0</v>
      </c>
      <c r="BN125" s="4"/>
      <c r="BO125" s="7"/>
      <c r="BP125" s="725"/>
      <c r="BQ125" s="3"/>
      <c r="BR125" s="3"/>
      <c r="BS125" s="4">
        <f t="shared" si="109"/>
        <v>0</v>
      </c>
      <c r="BT125" s="4"/>
      <c r="BU125" s="7"/>
      <c r="BV125" s="725"/>
      <c r="BW125" s="3"/>
      <c r="BX125" s="3"/>
      <c r="BY125" s="4">
        <f t="shared" si="110"/>
        <v>0</v>
      </c>
      <c r="BZ125" s="4"/>
      <c r="CA125" s="7"/>
      <c r="CB125" s="725">
        <v>39</v>
      </c>
      <c r="CC125" s="3">
        <v>10.5</v>
      </c>
      <c r="CD125" s="3">
        <v>16.5</v>
      </c>
      <c r="CE125" s="4">
        <f t="shared" si="111"/>
        <v>27</v>
      </c>
      <c r="CF125" s="4">
        <v>84.022499999999994</v>
      </c>
      <c r="CG125" s="7">
        <v>1062741.25</v>
      </c>
      <c r="CH125" s="725"/>
      <c r="CI125" s="3"/>
      <c r="CJ125" s="3"/>
      <c r="CK125" s="4">
        <f t="shared" si="112"/>
        <v>0</v>
      </c>
      <c r="CL125" s="4"/>
      <c r="CM125" s="7"/>
      <c r="CN125" s="725">
        <v>246</v>
      </c>
      <c r="CO125" s="3">
        <v>85</v>
      </c>
      <c r="CP125" s="3">
        <v>27</v>
      </c>
      <c r="CQ125" s="4">
        <f t="shared" si="113"/>
        <v>112</v>
      </c>
      <c r="CR125" s="4">
        <v>402.75</v>
      </c>
      <c r="CS125" s="7">
        <v>5333960</v>
      </c>
    </row>
    <row r="126" spans="1:97" ht="16.5" x14ac:dyDescent="0.3">
      <c r="A126" s="709" t="s">
        <v>431</v>
      </c>
      <c r="B126" s="725"/>
      <c r="C126" s="3"/>
      <c r="D126" s="3"/>
      <c r="E126" s="4">
        <f t="shared" si="99"/>
        <v>0</v>
      </c>
      <c r="G126" s="7"/>
      <c r="H126" s="725">
        <v>18</v>
      </c>
      <c r="I126" s="3"/>
      <c r="J126" s="3">
        <v>30</v>
      </c>
      <c r="K126" s="4">
        <f t="shared" si="100"/>
        <v>30</v>
      </c>
      <c r="L126" s="4">
        <v>22.5</v>
      </c>
      <c r="M126" s="7">
        <v>382500</v>
      </c>
      <c r="N126" s="725"/>
      <c r="O126" s="3"/>
      <c r="P126" s="3"/>
      <c r="Q126" s="4">
        <f t="shared" si="101"/>
        <v>0</v>
      </c>
      <c r="R126" s="4"/>
      <c r="S126" s="7"/>
      <c r="T126" s="725">
        <v>0</v>
      </c>
      <c r="U126" s="3">
        <v>23</v>
      </c>
      <c r="V126" s="3">
        <v>4329.2</v>
      </c>
      <c r="W126" s="4">
        <f t="shared" si="102"/>
        <v>4352.2</v>
      </c>
      <c r="X126" s="4">
        <v>4444.2</v>
      </c>
      <c r="Y126" s="7">
        <v>75558200</v>
      </c>
      <c r="Z126" s="725"/>
      <c r="AA126" s="3"/>
      <c r="AB126" s="3"/>
      <c r="AC126" s="4">
        <f t="shared" si="103"/>
        <v>0</v>
      </c>
      <c r="AD126" s="4"/>
      <c r="AE126" s="7"/>
      <c r="AF126" s="725">
        <v>134</v>
      </c>
      <c r="AG126" s="3">
        <v>31</v>
      </c>
      <c r="AH126" s="3">
        <v>120.3</v>
      </c>
      <c r="AI126" s="4">
        <f t="shared" si="116"/>
        <v>151.30000000000001</v>
      </c>
      <c r="AJ126" s="4">
        <v>212.99850000000004</v>
      </c>
      <c r="AK126" s="7">
        <v>3620974.5</v>
      </c>
      <c r="AL126" s="725"/>
      <c r="AM126" s="3"/>
      <c r="AN126" s="3"/>
      <c r="AO126" s="4">
        <f t="shared" si="104"/>
        <v>0</v>
      </c>
      <c r="AP126" s="4"/>
      <c r="AQ126" s="7"/>
      <c r="AR126" s="725">
        <v>38</v>
      </c>
      <c r="AS126" s="3">
        <v>0</v>
      </c>
      <c r="AT126" s="3">
        <v>74</v>
      </c>
      <c r="AU126" s="4">
        <f t="shared" si="105"/>
        <v>74</v>
      </c>
      <c r="AV126" s="4">
        <v>89.17</v>
      </c>
      <c r="AW126" s="7">
        <v>1533131.6</v>
      </c>
      <c r="AX126" s="725"/>
      <c r="AY126" s="3"/>
      <c r="AZ126" s="3"/>
      <c r="BA126" s="4">
        <f t="shared" si="106"/>
        <v>0</v>
      </c>
      <c r="BB126" s="4"/>
      <c r="BC126" s="7"/>
      <c r="BD126" s="725"/>
      <c r="BE126" s="3"/>
      <c r="BF126" s="3"/>
      <c r="BG126" s="4">
        <f t="shared" si="107"/>
        <v>0</v>
      </c>
      <c r="BH126" s="4"/>
      <c r="BI126" s="7"/>
      <c r="BJ126" s="8"/>
      <c r="BK126" s="3"/>
      <c r="BL126" s="3"/>
      <c r="BM126" s="4">
        <f t="shared" si="108"/>
        <v>0</v>
      </c>
      <c r="BN126" s="4"/>
      <c r="BO126" s="7"/>
      <c r="BP126" s="725"/>
      <c r="BQ126" s="3"/>
      <c r="BR126" s="3"/>
      <c r="BS126" s="4">
        <f t="shared" si="109"/>
        <v>0</v>
      </c>
      <c r="BT126" s="4"/>
      <c r="BU126" s="7"/>
      <c r="BV126" s="725"/>
      <c r="BW126" s="3"/>
      <c r="BX126" s="3"/>
      <c r="BY126" s="4">
        <f t="shared" si="110"/>
        <v>0</v>
      </c>
      <c r="BZ126" s="4"/>
      <c r="CA126" s="7"/>
      <c r="CB126" s="725"/>
      <c r="CC126" s="3"/>
      <c r="CD126" s="3"/>
      <c r="CE126" s="4">
        <f t="shared" si="111"/>
        <v>0</v>
      </c>
      <c r="CF126" s="4"/>
      <c r="CG126" s="7"/>
      <c r="CH126" s="725"/>
      <c r="CI126" s="3"/>
      <c r="CJ126" s="3"/>
      <c r="CK126" s="4">
        <f t="shared" si="112"/>
        <v>0</v>
      </c>
      <c r="CL126" s="4"/>
      <c r="CM126" s="7"/>
      <c r="CN126" s="725">
        <v>358</v>
      </c>
      <c r="CO126" s="3">
        <v>85</v>
      </c>
      <c r="CP126" s="3">
        <v>27</v>
      </c>
      <c r="CQ126" s="4">
        <f t="shared" si="113"/>
        <v>112</v>
      </c>
      <c r="CR126" s="4">
        <v>486.25</v>
      </c>
      <c r="CS126" s="7">
        <v>6822210</v>
      </c>
    </row>
    <row r="127" spans="1:97" ht="16.5" x14ac:dyDescent="0.3">
      <c r="A127" s="709" t="s">
        <v>432</v>
      </c>
      <c r="B127" s="725"/>
      <c r="C127" s="3"/>
      <c r="D127" s="3"/>
      <c r="E127" s="4">
        <f t="shared" si="99"/>
        <v>0</v>
      </c>
      <c r="G127" s="7"/>
      <c r="H127" s="725">
        <v>392</v>
      </c>
      <c r="I127" s="3">
        <v>0</v>
      </c>
      <c r="J127" s="3">
        <v>760</v>
      </c>
      <c r="K127" s="4">
        <f t="shared" si="100"/>
        <v>760</v>
      </c>
      <c r="L127" s="4">
        <v>1076</v>
      </c>
      <c r="M127" s="7">
        <v>18351444</v>
      </c>
      <c r="N127" s="725"/>
      <c r="O127" s="3"/>
      <c r="P127" s="3"/>
      <c r="Q127" s="4">
        <f t="shared" si="101"/>
        <v>0</v>
      </c>
      <c r="R127" s="4"/>
      <c r="S127" s="7"/>
      <c r="T127" s="725">
        <v>0</v>
      </c>
      <c r="U127" s="3">
        <v>101</v>
      </c>
      <c r="V127" s="3">
        <v>5342.7</v>
      </c>
      <c r="W127" s="4">
        <f t="shared" si="102"/>
        <v>5443.7</v>
      </c>
      <c r="X127" s="4">
        <v>6737.3</v>
      </c>
      <c r="Y127" s="7">
        <v>115128080.40000001</v>
      </c>
      <c r="Z127" s="725">
        <v>282</v>
      </c>
      <c r="AA127" s="3">
        <v>0</v>
      </c>
      <c r="AB127" s="3">
        <v>540</v>
      </c>
      <c r="AC127" s="4">
        <f t="shared" si="103"/>
        <v>540</v>
      </c>
      <c r="AD127" s="4"/>
      <c r="AE127" s="7">
        <v>1692364</v>
      </c>
      <c r="AF127" s="725">
        <v>675</v>
      </c>
      <c r="AG127" s="3">
        <v>35</v>
      </c>
      <c r="AH127" s="3">
        <v>1387</v>
      </c>
      <c r="AI127" s="4">
        <f t="shared" si="116"/>
        <v>1422</v>
      </c>
      <c r="AJ127" s="4">
        <v>678.89</v>
      </c>
      <c r="AK127" s="7">
        <v>11476130</v>
      </c>
      <c r="AL127" s="725"/>
      <c r="AM127" s="3"/>
      <c r="AN127" s="3"/>
      <c r="AO127" s="4">
        <f t="shared" si="104"/>
        <v>0</v>
      </c>
      <c r="AP127" s="4"/>
      <c r="AQ127" s="7"/>
      <c r="AR127" s="725">
        <v>1143</v>
      </c>
      <c r="AS127" s="3">
        <v>17.5</v>
      </c>
      <c r="AT127" s="3">
        <v>2021.35</v>
      </c>
      <c r="AU127" s="4">
        <f t="shared" si="105"/>
        <v>2038.85</v>
      </c>
      <c r="AV127" s="4">
        <v>2650.9345000000003</v>
      </c>
      <c r="AW127" s="7">
        <v>45094622.5</v>
      </c>
      <c r="AX127" s="725"/>
      <c r="AY127" s="3"/>
      <c r="AZ127" s="3"/>
      <c r="BA127" s="4">
        <f t="shared" si="106"/>
        <v>0</v>
      </c>
      <c r="BB127" s="4"/>
      <c r="BC127" s="7"/>
      <c r="BD127" s="725"/>
      <c r="BE127" s="3"/>
      <c r="BF127" s="3"/>
      <c r="BG127" s="4">
        <f t="shared" si="107"/>
        <v>0</v>
      </c>
      <c r="BH127" s="4"/>
      <c r="BI127" s="7"/>
      <c r="BJ127" s="8"/>
      <c r="BK127" s="3"/>
      <c r="BL127" s="3"/>
      <c r="BM127" s="4">
        <f t="shared" si="108"/>
        <v>0</v>
      </c>
      <c r="BN127" s="4"/>
      <c r="BO127" s="7"/>
      <c r="BP127" s="725"/>
      <c r="BQ127" s="3"/>
      <c r="BR127" s="3"/>
      <c r="BS127" s="4">
        <f t="shared" si="109"/>
        <v>0</v>
      </c>
      <c r="BT127" s="4"/>
      <c r="BU127" s="7"/>
      <c r="BV127" s="725"/>
      <c r="BW127" s="3"/>
      <c r="BX127" s="3"/>
      <c r="BY127" s="4">
        <f t="shared" si="110"/>
        <v>0</v>
      </c>
      <c r="BZ127" s="4"/>
      <c r="CA127" s="7"/>
      <c r="CB127" s="725">
        <v>664</v>
      </c>
      <c r="CC127" s="3">
        <v>47.5</v>
      </c>
      <c r="CD127" s="3">
        <v>41.5</v>
      </c>
      <c r="CE127" s="4">
        <f t="shared" si="111"/>
        <v>89</v>
      </c>
      <c r="CF127" s="4">
        <v>35.534999999999997</v>
      </c>
      <c r="CG127" s="7">
        <v>7906870</v>
      </c>
      <c r="CH127" s="725"/>
      <c r="CI127" s="3"/>
      <c r="CJ127" s="3"/>
      <c r="CK127" s="4">
        <f t="shared" si="112"/>
        <v>0</v>
      </c>
      <c r="CL127" s="4"/>
      <c r="CM127" s="7"/>
      <c r="CN127" s="725">
        <v>1091</v>
      </c>
      <c r="CO127" s="3">
        <v>193</v>
      </c>
      <c r="CP127" s="3">
        <v>96</v>
      </c>
      <c r="CQ127" s="4">
        <f t="shared" si="113"/>
        <v>289</v>
      </c>
      <c r="CR127" s="4">
        <v>1026.31</v>
      </c>
      <c r="CS127" s="7">
        <v>27034214.600000001</v>
      </c>
    </row>
    <row r="128" spans="1:97" ht="16.5" x14ac:dyDescent="0.3">
      <c r="A128" s="709" t="s">
        <v>433</v>
      </c>
      <c r="B128" s="725"/>
      <c r="C128" s="3"/>
      <c r="D128" s="3"/>
      <c r="E128" s="4">
        <f t="shared" si="99"/>
        <v>0</v>
      </c>
      <c r="G128" s="7"/>
      <c r="H128" s="725">
        <v>949</v>
      </c>
      <c r="I128" s="3">
        <v>409.7</v>
      </c>
      <c r="J128" s="3">
        <v>772.85</v>
      </c>
      <c r="K128" s="4">
        <f t="shared" si="100"/>
        <v>1182.55</v>
      </c>
      <c r="L128" s="4">
        <v>3195.2750000000001</v>
      </c>
      <c r="M128" s="7">
        <v>54380515</v>
      </c>
      <c r="N128" s="725"/>
      <c r="O128" s="3"/>
      <c r="P128" s="3"/>
      <c r="Q128" s="4">
        <f t="shared" si="101"/>
        <v>0</v>
      </c>
      <c r="R128" s="4"/>
      <c r="S128" s="7"/>
      <c r="T128" s="725">
        <v>0</v>
      </c>
      <c r="U128" s="3">
        <v>0</v>
      </c>
      <c r="V128" s="3">
        <v>492.1</v>
      </c>
      <c r="W128" s="4">
        <f t="shared" si="102"/>
        <v>492.1</v>
      </c>
      <c r="X128" s="4">
        <v>723.39</v>
      </c>
      <c r="Y128" s="7">
        <v>20959059</v>
      </c>
      <c r="Z128" s="725">
        <v>2451</v>
      </c>
      <c r="AA128" s="3">
        <v>0</v>
      </c>
      <c r="AB128" s="3">
        <v>3450.6</v>
      </c>
      <c r="AC128" s="4">
        <f t="shared" si="103"/>
        <v>3450.6</v>
      </c>
      <c r="AD128" s="4"/>
      <c r="AE128" s="7">
        <v>17573644.16</v>
      </c>
      <c r="AF128" s="725">
        <v>51</v>
      </c>
      <c r="AG128" s="3">
        <v>54.5</v>
      </c>
      <c r="AH128" s="3">
        <v>31.5</v>
      </c>
      <c r="AI128" s="4">
        <f t="shared" ref="AI128:AI142" si="117">SUM(AG128:AH128)</f>
        <v>86</v>
      </c>
      <c r="AJ128" s="4">
        <v>23.220000000000002</v>
      </c>
      <c r="AK128" s="7">
        <v>394740</v>
      </c>
      <c r="AL128" s="725"/>
      <c r="AM128" s="3"/>
      <c r="AN128" s="3"/>
      <c r="AO128" s="4">
        <f t="shared" si="104"/>
        <v>0</v>
      </c>
      <c r="AP128" s="4"/>
      <c r="AQ128" s="7"/>
      <c r="AR128" s="725">
        <v>563</v>
      </c>
      <c r="AS128" s="3">
        <v>2.5</v>
      </c>
      <c r="AT128" s="3">
        <v>843.2</v>
      </c>
      <c r="AU128" s="4">
        <f t="shared" si="105"/>
        <v>845.7</v>
      </c>
      <c r="AV128" s="4">
        <v>665.58159999999998</v>
      </c>
      <c r="AW128" s="7">
        <v>17513334.400000002</v>
      </c>
      <c r="AX128" s="725"/>
      <c r="AY128" s="3"/>
      <c r="AZ128" s="3"/>
      <c r="BA128" s="4">
        <f t="shared" si="106"/>
        <v>0</v>
      </c>
      <c r="BB128" s="4"/>
      <c r="BC128" s="7"/>
      <c r="BD128" s="725"/>
      <c r="BE128" s="3"/>
      <c r="BF128" s="3"/>
      <c r="BG128" s="4">
        <f t="shared" si="107"/>
        <v>0</v>
      </c>
      <c r="BH128" s="4"/>
      <c r="BI128" s="7"/>
      <c r="BJ128" s="8"/>
      <c r="BK128" s="3"/>
      <c r="BL128" s="3"/>
      <c r="BM128" s="4">
        <f t="shared" si="108"/>
        <v>0</v>
      </c>
      <c r="BN128" s="4"/>
      <c r="BO128" s="7"/>
      <c r="BP128" s="725"/>
      <c r="BQ128" s="3"/>
      <c r="BR128" s="3"/>
      <c r="BS128" s="4">
        <f t="shared" si="109"/>
        <v>0</v>
      </c>
      <c r="BT128" s="4"/>
      <c r="BU128" s="7"/>
      <c r="BV128" s="725"/>
      <c r="BW128" s="3"/>
      <c r="BX128" s="3"/>
      <c r="BY128" s="4">
        <f t="shared" si="110"/>
        <v>0</v>
      </c>
      <c r="BZ128" s="4"/>
      <c r="CA128" s="7"/>
      <c r="CB128" s="725">
        <v>48</v>
      </c>
      <c r="CC128" s="3">
        <v>9</v>
      </c>
      <c r="CD128" s="3">
        <v>0</v>
      </c>
      <c r="CE128" s="4">
        <f t="shared" si="111"/>
        <v>9</v>
      </c>
      <c r="CF128" s="4">
        <v>46.26</v>
      </c>
      <c r="CG128" s="7">
        <v>1038740</v>
      </c>
      <c r="CH128" s="725"/>
      <c r="CI128" s="3"/>
      <c r="CJ128" s="3"/>
      <c r="CK128" s="4">
        <f t="shared" si="112"/>
        <v>0</v>
      </c>
      <c r="CL128" s="4"/>
      <c r="CM128" s="7"/>
      <c r="CN128" s="725">
        <v>48</v>
      </c>
      <c r="CO128" s="3">
        <v>31</v>
      </c>
      <c r="CP128" s="3">
        <v>0</v>
      </c>
      <c r="CQ128" s="4">
        <f t="shared" si="113"/>
        <v>31</v>
      </c>
      <c r="CR128" s="4">
        <v>0</v>
      </c>
      <c r="CS128" s="7">
        <v>4885794</v>
      </c>
    </row>
    <row r="129" spans="1:97" s="719" customFormat="1" ht="16.5" x14ac:dyDescent="0.3">
      <c r="A129" s="714" t="s">
        <v>335</v>
      </c>
      <c r="B129" s="726">
        <f t="shared" ref="B129:R129" si="118">SUM(B130:B142)</f>
        <v>0</v>
      </c>
      <c r="C129" s="722">
        <f t="shared" si="118"/>
        <v>0</v>
      </c>
      <c r="D129" s="722">
        <f t="shared" si="118"/>
        <v>64</v>
      </c>
      <c r="E129" s="717">
        <f t="shared" si="118"/>
        <v>64</v>
      </c>
      <c r="F129" s="717">
        <f t="shared" si="118"/>
        <v>17.920000000000002</v>
      </c>
      <c r="G129" s="718">
        <f t="shared" si="118"/>
        <v>1843282.5</v>
      </c>
      <c r="H129" s="726">
        <f t="shared" si="118"/>
        <v>2510</v>
      </c>
      <c r="I129" s="722">
        <f t="shared" si="118"/>
        <v>0</v>
      </c>
      <c r="J129" s="722">
        <f t="shared" si="118"/>
        <v>2169.69</v>
      </c>
      <c r="K129" s="717">
        <f t="shared" si="118"/>
        <v>2169.69</v>
      </c>
      <c r="L129" s="717">
        <f t="shared" si="118"/>
        <v>952.68412999999987</v>
      </c>
      <c r="M129" s="718">
        <f t="shared" si="118"/>
        <v>20201379.119999997</v>
      </c>
      <c r="N129" s="726">
        <f t="shared" si="118"/>
        <v>0</v>
      </c>
      <c r="O129" s="722">
        <f t="shared" si="118"/>
        <v>0</v>
      </c>
      <c r="P129" s="722">
        <f t="shared" si="118"/>
        <v>0</v>
      </c>
      <c r="Q129" s="717">
        <f t="shared" si="118"/>
        <v>0</v>
      </c>
      <c r="R129" s="717">
        <f t="shared" si="118"/>
        <v>0</v>
      </c>
      <c r="S129" s="718">
        <f t="shared" ref="S129:X129" si="119">SUM(S130:S142)</f>
        <v>0</v>
      </c>
      <c r="T129" s="726">
        <f t="shared" si="119"/>
        <v>0</v>
      </c>
      <c r="U129" s="722">
        <f t="shared" si="119"/>
        <v>265</v>
      </c>
      <c r="V129" s="722">
        <f t="shared" si="119"/>
        <v>5645.91</v>
      </c>
      <c r="W129" s="717">
        <f t="shared" si="119"/>
        <v>5910.91</v>
      </c>
      <c r="X129" s="717">
        <f t="shared" si="119"/>
        <v>8286.4986499999995</v>
      </c>
      <c r="Y129" s="718">
        <f t="shared" ref="Y129:AK129" si="120">SUM(Y130:Y142)</f>
        <v>142921443.65000001</v>
      </c>
      <c r="Z129" s="726">
        <f t="shared" si="120"/>
        <v>0</v>
      </c>
      <c r="AA129" s="722">
        <f t="shared" si="120"/>
        <v>0</v>
      </c>
      <c r="AB129" s="722">
        <f t="shared" si="120"/>
        <v>0</v>
      </c>
      <c r="AC129" s="717">
        <f t="shared" si="120"/>
        <v>0</v>
      </c>
      <c r="AD129" s="717">
        <f t="shared" si="120"/>
        <v>0</v>
      </c>
      <c r="AE129" s="718">
        <f t="shared" si="120"/>
        <v>0</v>
      </c>
      <c r="AF129" s="726">
        <f t="shared" si="120"/>
        <v>511</v>
      </c>
      <c r="AG129" s="722">
        <f t="shared" si="120"/>
        <v>6.5</v>
      </c>
      <c r="AH129" s="722">
        <f t="shared" si="120"/>
        <v>417.31</v>
      </c>
      <c r="AI129" s="722">
        <f t="shared" si="120"/>
        <v>423.80999999999995</v>
      </c>
      <c r="AJ129" s="717">
        <f t="shared" si="120"/>
        <v>231.3914</v>
      </c>
      <c r="AK129" s="718">
        <f t="shared" si="120"/>
        <v>4069341.6000000006</v>
      </c>
      <c r="AL129" s="726">
        <f t="shared" ref="AL129:BC129" si="121">SUM(AL130:AL142)</f>
        <v>681</v>
      </c>
      <c r="AM129" s="722">
        <f t="shared" si="121"/>
        <v>5.0200000000000005</v>
      </c>
      <c r="AN129" s="722">
        <f t="shared" si="121"/>
        <v>1.2</v>
      </c>
      <c r="AO129" s="717">
        <f t="shared" si="121"/>
        <v>6.2200000000000006</v>
      </c>
      <c r="AP129" s="717">
        <f t="shared" si="121"/>
        <v>0</v>
      </c>
      <c r="AQ129" s="718">
        <f t="shared" si="121"/>
        <v>3376972.6799999997</v>
      </c>
      <c r="AR129" s="726">
        <f t="shared" si="121"/>
        <v>7194</v>
      </c>
      <c r="AS129" s="722">
        <f t="shared" si="121"/>
        <v>0</v>
      </c>
      <c r="AT129" s="722">
        <f t="shared" si="121"/>
        <v>7579.53</v>
      </c>
      <c r="AU129" s="717">
        <f t="shared" si="121"/>
        <v>7579.53</v>
      </c>
      <c r="AV129" s="717">
        <f t="shared" si="121"/>
        <v>3547.2060800000004</v>
      </c>
      <c r="AW129" s="718">
        <f t="shared" si="121"/>
        <v>85211264.700000003</v>
      </c>
      <c r="AX129" s="726">
        <f t="shared" si="121"/>
        <v>2</v>
      </c>
      <c r="AY129" s="722">
        <f t="shared" si="121"/>
        <v>0</v>
      </c>
      <c r="AZ129" s="722">
        <f t="shared" si="121"/>
        <v>1</v>
      </c>
      <c r="BA129" s="717">
        <f t="shared" si="121"/>
        <v>1</v>
      </c>
      <c r="BB129" s="717">
        <f t="shared" si="121"/>
        <v>1.75</v>
      </c>
      <c r="BC129" s="718">
        <f t="shared" si="121"/>
        <v>29750</v>
      </c>
      <c r="BD129" s="726">
        <f t="shared" ref="BD129:BU129" si="122">SUM(BD130:BD142)</f>
        <v>0</v>
      </c>
      <c r="BE129" s="722">
        <f t="shared" si="122"/>
        <v>0</v>
      </c>
      <c r="BF129" s="722">
        <f t="shared" si="122"/>
        <v>0</v>
      </c>
      <c r="BG129" s="717">
        <f t="shared" si="122"/>
        <v>0</v>
      </c>
      <c r="BH129" s="717">
        <f t="shared" si="122"/>
        <v>0</v>
      </c>
      <c r="BI129" s="718">
        <f t="shared" si="122"/>
        <v>0</v>
      </c>
      <c r="BJ129" s="715">
        <f t="shared" si="122"/>
        <v>0</v>
      </c>
      <c r="BK129" s="716">
        <f t="shared" si="122"/>
        <v>0</v>
      </c>
      <c r="BL129" s="716">
        <f t="shared" si="122"/>
        <v>0</v>
      </c>
      <c r="BM129" s="717">
        <f t="shared" si="122"/>
        <v>0</v>
      </c>
      <c r="BN129" s="717">
        <f t="shared" si="122"/>
        <v>0</v>
      </c>
      <c r="BO129" s="718">
        <f t="shared" si="122"/>
        <v>0</v>
      </c>
      <c r="BP129" s="726">
        <f t="shared" si="122"/>
        <v>0</v>
      </c>
      <c r="BQ129" s="722">
        <f t="shared" si="122"/>
        <v>0</v>
      </c>
      <c r="BR129" s="722">
        <f t="shared" si="122"/>
        <v>0</v>
      </c>
      <c r="BS129" s="717">
        <f t="shared" si="122"/>
        <v>0</v>
      </c>
      <c r="BT129" s="717">
        <f t="shared" si="122"/>
        <v>0</v>
      </c>
      <c r="BU129" s="718">
        <f t="shared" si="122"/>
        <v>0</v>
      </c>
      <c r="BV129" s="726">
        <f t="shared" ref="BV129:CM129" si="123">SUM(BV130:BV142)</f>
        <v>326</v>
      </c>
      <c r="BW129" s="722">
        <f t="shared" si="123"/>
        <v>6</v>
      </c>
      <c r="BX129" s="722">
        <f t="shared" si="123"/>
        <v>211.5</v>
      </c>
      <c r="BY129" s="717">
        <f t="shared" si="123"/>
        <v>217.5</v>
      </c>
      <c r="BZ129" s="717">
        <f t="shared" si="123"/>
        <v>337.06912</v>
      </c>
      <c r="CA129" s="718">
        <f t="shared" si="123"/>
        <v>6471934.6030000001</v>
      </c>
      <c r="CB129" s="726">
        <f t="shared" si="123"/>
        <v>59</v>
      </c>
      <c r="CC129" s="722">
        <f t="shared" si="123"/>
        <v>3.1399999999999997</v>
      </c>
      <c r="CD129" s="722">
        <f t="shared" si="123"/>
        <v>4.4499999999999993</v>
      </c>
      <c r="CE129" s="717">
        <f t="shared" si="123"/>
        <v>7.59</v>
      </c>
      <c r="CF129" s="717">
        <f t="shared" si="123"/>
        <v>10.625</v>
      </c>
      <c r="CG129" s="718">
        <f t="shared" si="123"/>
        <v>557509.19999999995</v>
      </c>
      <c r="CH129" s="726">
        <f t="shared" si="123"/>
        <v>326</v>
      </c>
      <c r="CI129" s="722">
        <f t="shared" si="123"/>
        <v>6</v>
      </c>
      <c r="CJ129" s="722">
        <f t="shared" si="123"/>
        <v>211.5</v>
      </c>
      <c r="CK129" s="717">
        <f t="shared" si="123"/>
        <v>217.5</v>
      </c>
      <c r="CL129" s="717">
        <f t="shared" si="123"/>
        <v>337.06912</v>
      </c>
      <c r="CM129" s="718">
        <f t="shared" si="123"/>
        <v>6471934.6030000001</v>
      </c>
      <c r="CN129" s="726">
        <f t="shared" ref="CN129:CS129" si="124">SUM(CN130:CN142)</f>
        <v>729</v>
      </c>
      <c r="CO129" s="722">
        <f t="shared" si="124"/>
        <v>6.95</v>
      </c>
      <c r="CP129" s="722">
        <f t="shared" si="124"/>
        <v>502.16999999999996</v>
      </c>
      <c r="CQ129" s="717">
        <f t="shared" si="124"/>
        <v>509.12</v>
      </c>
      <c r="CR129" s="717">
        <f t="shared" si="124"/>
        <v>104.05305</v>
      </c>
      <c r="CS129" s="718">
        <f t="shared" si="124"/>
        <v>3162555.7039999999</v>
      </c>
    </row>
    <row r="130" spans="1:97" ht="16.5" x14ac:dyDescent="0.3">
      <c r="A130" s="709" t="s">
        <v>449</v>
      </c>
      <c r="B130" s="725"/>
      <c r="C130" s="3"/>
      <c r="D130" s="3"/>
      <c r="E130" s="4">
        <f t="shared" ref="E130:E142" si="125">SUM(C130:D130)</f>
        <v>0</v>
      </c>
      <c r="G130" s="7"/>
      <c r="H130" s="725">
        <v>15</v>
      </c>
      <c r="I130" s="3">
        <v>0</v>
      </c>
      <c r="J130" s="3">
        <v>24.9</v>
      </c>
      <c r="K130" s="4">
        <f t="shared" ref="K130:K139" si="126">SUM(I130:J130)</f>
        <v>24.9</v>
      </c>
      <c r="L130" s="4">
        <v>14.96</v>
      </c>
      <c r="M130" s="7">
        <v>0</v>
      </c>
      <c r="N130" s="725"/>
      <c r="O130" s="3"/>
      <c r="P130" s="3"/>
      <c r="Q130" s="4">
        <f t="shared" ref="Q130:Q142" si="127">SUM(O130:P130)</f>
        <v>0</v>
      </c>
      <c r="R130" s="4"/>
      <c r="S130" s="7"/>
      <c r="T130" s="725">
        <v>0</v>
      </c>
      <c r="U130" s="3">
        <v>0</v>
      </c>
      <c r="V130" s="3">
        <v>53.59</v>
      </c>
      <c r="W130" s="4">
        <f t="shared" ref="W130:W142" si="128">SUM(U130:V130)</f>
        <v>53.59</v>
      </c>
      <c r="X130" s="4">
        <v>82.375500000000002</v>
      </c>
      <c r="Y130" s="7">
        <v>1400383.5</v>
      </c>
      <c r="Z130" s="725"/>
      <c r="AA130" s="3"/>
      <c r="AB130" s="3"/>
      <c r="AC130" s="4">
        <f t="shared" ref="AC130:AC142" si="129">SUM(AA130:AB130)</f>
        <v>0</v>
      </c>
      <c r="AD130" s="4"/>
      <c r="AE130" s="7"/>
      <c r="AF130" s="725">
        <v>18</v>
      </c>
      <c r="AG130" s="3">
        <v>0</v>
      </c>
      <c r="AH130" s="3">
        <v>20.6</v>
      </c>
      <c r="AI130" s="4">
        <f t="shared" si="117"/>
        <v>20.6</v>
      </c>
      <c r="AJ130" s="4">
        <v>8.652000000000001</v>
      </c>
      <c r="AK130" s="7">
        <v>147084</v>
      </c>
      <c r="AL130" s="725"/>
      <c r="AM130" s="3"/>
      <c r="AN130" s="3"/>
      <c r="AO130" s="4">
        <f t="shared" ref="AO130:AO142" si="130">SUM(AM130:AN130)</f>
        <v>0</v>
      </c>
      <c r="AP130" s="4"/>
      <c r="AQ130" s="7"/>
      <c r="AR130" s="725">
        <v>131</v>
      </c>
      <c r="AS130" s="3">
        <v>0</v>
      </c>
      <c r="AT130" s="3">
        <v>105</v>
      </c>
      <c r="AU130" s="4">
        <f t="shared" si="105"/>
        <v>105</v>
      </c>
      <c r="AV130" s="4">
        <v>43.155000000000001</v>
      </c>
      <c r="AW130" s="7">
        <v>1035720</v>
      </c>
      <c r="AX130" s="725"/>
      <c r="AY130" s="3"/>
      <c r="AZ130" s="3"/>
      <c r="BA130" s="4">
        <f t="shared" ref="BA130:BA142" si="131">SUM(AY130:AZ130)</f>
        <v>0</v>
      </c>
      <c r="BB130" s="4"/>
      <c r="BC130" s="7"/>
      <c r="BD130" s="725"/>
      <c r="BE130" s="3"/>
      <c r="BF130" s="3"/>
      <c r="BG130" s="4">
        <f t="shared" ref="BG130:BG142" si="132">SUM(BE130:BF130)</f>
        <v>0</v>
      </c>
      <c r="BH130" s="4"/>
      <c r="BI130" s="7"/>
      <c r="BJ130" s="6"/>
      <c r="BK130" s="5"/>
      <c r="BL130" s="5"/>
      <c r="BM130" s="4">
        <f t="shared" ref="BM130:BM142" si="133">SUM(BK130:BL130)</f>
        <v>0</v>
      </c>
      <c r="BN130" s="4"/>
      <c r="BO130" s="7"/>
      <c r="BP130" s="725"/>
      <c r="BQ130" s="3"/>
      <c r="BR130" s="3"/>
      <c r="BS130" s="4">
        <f t="shared" ref="BS130:BS142" si="134">SUM(BQ130:BR130)</f>
        <v>0</v>
      </c>
      <c r="BT130" s="4"/>
      <c r="BU130" s="7"/>
      <c r="BV130" s="725">
        <v>49</v>
      </c>
      <c r="BW130" s="3">
        <v>0</v>
      </c>
      <c r="BX130" s="3">
        <v>79.330000000000013</v>
      </c>
      <c r="BY130" s="4">
        <f t="shared" ref="BY130:BY142" si="135">SUM(BW130:BX130)</f>
        <v>79.330000000000013</v>
      </c>
      <c r="BZ130" s="4">
        <v>94.03119999999997</v>
      </c>
      <c r="CA130" s="7">
        <v>1794092.8</v>
      </c>
      <c r="CB130" s="725"/>
      <c r="CC130" s="3"/>
      <c r="CD130" s="3"/>
      <c r="CE130" s="4">
        <f t="shared" ref="CE130:CE142" si="136">SUM(CC130:CD130)</f>
        <v>0</v>
      </c>
      <c r="CF130" s="4"/>
      <c r="CG130" s="7"/>
      <c r="CH130" s="725">
        <v>49</v>
      </c>
      <c r="CI130" s="3">
        <v>0</v>
      </c>
      <c r="CJ130" s="3">
        <v>79.330000000000013</v>
      </c>
      <c r="CK130" s="4">
        <f t="shared" ref="CK130:CK142" si="137">SUM(CI130:CJ130)</f>
        <v>79.330000000000013</v>
      </c>
      <c r="CL130" s="4">
        <v>94.03119999999997</v>
      </c>
      <c r="CM130" s="7">
        <v>1794092.8</v>
      </c>
      <c r="CN130" s="725">
        <v>137</v>
      </c>
      <c r="CO130" s="3">
        <v>0</v>
      </c>
      <c r="CP130" s="3">
        <v>120.2</v>
      </c>
      <c r="CQ130" s="4">
        <f t="shared" ref="CQ130:CQ142" si="138">SUM(CO130:CP130)</f>
        <v>120.2</v>
      </c>
      <c r="CR130" s="4">
        <v>28.297000000000001</v>
      </c>
      <c r="CS130" s="7">
        <v>460982.48</v>
      </c>
    </row>
    <row r="131" spans="1:97" ht="16.5" x14ac:dyDescent="0.3">
      <c r="A131" s="709" t="s">
        <v>447</v>
      </c>
      <c r="B131" s="725"/>
      <c r="C131" s="3"/>
      <c r="D131" s="3"/>
      <c r="E131" s="4">
        <f t="shared" si="125"/>
        <v>0</v>
      </c>
      <c r="G131" s="7"/>
      <c r="H131" s="725">
        <v>48</v>
      </c>
      <c r="I131" s="3"/>
      <c r="J131" s="3">
        <v>42</v>
      </c>
      <c r="K131" s="4">
        <f t="shared" si="126"/>
        <v>42</v>
      </c>
      <c r="L131" s="4">
        <v>25.83</v>
      </c>
      <c r="M131" s="7">
        <v>619920</v>
      </c>
      <c r="N131" s="725"/>
      <c r="O131" s="3"/>
      <c r="P131" s="3"/>
      <c r="Q131" s="4">
        <f t="shared" si="127"/>
        <v>0</v>
      </c>
      <c r="R131" s="4"/>
      <c r="S131" s="7"/>
      <c r="T131" s="725">
        <v>0</v>
      </c>
      <c r="U131" s="3">
        <v>0</v>
      </c>
      <c r="V131" s="3">
        <v>194.6</v>
      </c>
      <c r="W131" s="4">
        <f t="shared" si="128"/>
        <v>194.6</v>
      </c>
      <c r="X131" s="4">
        <v>113.79074999999999</v>
      </c>
      <c r="Y131" s="7">
        <v>1947692.73</v>
      </c>
      <c r="Z131" s="725"/>
      <c r="AA131" s="3"/>
      <c r="AB131" s="3"/>
      <c r="AC131" s="4">
        <f t="shared" si="129"/>
        <v>0</v>
      </c>
      <c r="AD131" s="4"/>
      <c r="AE131" s="7"/>
      <c r="AF131" s="725"/>
      <c r="AG131" s="3"/>
      <c r="AH131" s="3"/>
      <c r="AI131" s="4">
        <f t="shared" si="117"/>
        <v>0</v>
      </c>
      <c r="AJ131" s="4"/>
      <c r="AK131" s="7"/>
      <c r="AL131" s="725">
        <v>3</v>
      </c>
      <c r="AM131" s="3"/>
      <c r="AN131" s="3"/>
      <c r="AO131" s="4">
        <f t="shared" si="130"/>
        <v>0</v>
      </c>
      <c r="AP131" s="4"/>
      <c r="AQ131" s="7">
        <v>22500</v>
      </c>
      <c r="AR131" s="725">
        <v>229</v>
      </c>
      <c r="AS131" s="3">
        <v>0</v>
      </c>
      <c r="AT131" s="3">
        <v>244</v>
      </c>
      <c r="AU131" s="4">
        <f t="shared" si="105"/>
        <v>244</v>
      </c>
      <c r="AV131" s="4">
        <v>97.356000000000009</v>
      </c>
      <c r="AW131" s="7">
        <v>2336544.0000000005</v>
      </c>
      <c r="AX131" s="725"/>
      <c r="AY131" s="3"/>
      <c r="AZ131" s="3"/>
      <c r="BA131" s="4">
        <f t="shared" si="131"/>
        <v>0</v>
      </c>
      <c r="BB131" s="4"/>
      <c r="BC131" s="7"/>
      <c r="BD131" s="725"/>
      <c r="BE131" s="3"/>
      <c r="BF131" s="3"/>
      <c r="BG131" s="4">
        <f t="shared" si="132"/>
        <v>0</v>
      </c>
      <c r="BH131" s="4"/>
      <c r="BI131" s="7"/>
      <c r="BJ131" s="6"/>
      <c r="BK131" s="5"/>
      <c r="BL131" s="5"/>
      <c r="BM131" s="4">
        <f t="shared" si="133"/>
        <v>0</v>
      </c>
      <c r="BN131" s="4"/>
      <c r="BO131" s="7"/>
      <c r="BP131" s="725"/>
      <c r="BQ131" s="3"/>
      <c r="BR131" s="3"/>
      <c r="BS131" s="4">
        <f t="shared" si="134"/>
        <v>0</v>
      </c>
      <c r="BT131" s="4"/>
      <c r="BU131" s="7"/>
      <c r="BV131" s="725">
        <v>101</v>
      </c>
      <c r="BW131" s="3">
        <v>0</v>
      </c>
      <c r="BX131" s="3">
        <v>70.599999999999994</v>
      </c>
      <c r="BY131" s="4">
        <f t="shared" si="135"/>
        <v>70.599999999999994</v>
      </c>
      <c r="BZ131" s="4">
        <v>68.917500000000004</v>
      </c>
      <c r="CA131" s="7">
        <v>1068471.2999999998</v>
      </c>
      <c r="CB131" s="725"/>
      <c r="CC131" s="3"/>
      <c r="CD131" s="3"/>
      <c r="CE131" s="4">
        <f t="shared" si="136"/>
        <v>0</v>
      </c>
      <c r="CF131" s="4"/>
      <c r="CG131" s="7"/>
      <c r="CH131" s="725">
        <v>101</v>
      </c>
      <c r="CI131" s="3">
        <v>0</v>
      </c>
      <c r="CJ131" s="3">
        <v>70.599999999999994</v>
      </c>
      <c r="CK131" s="4">
        <f t="shared" si="137"/>
        <v>70.599999999999994</v>
      </c>
      <c r="CL131" s="4">
        <v>68.917500000000004</v>
      </c>
      <c r="CM131" s="7">
        <v>1068471.2999999998</v>
      </c>
      <c r="CN131" s="725">
        <v>63</v>
      </c>
      <c r="CO131" s="3">
        <v>0</v>
      </c>
      <c r="CP131" s="3">
        <v>43.3</v>
      </c>
      <c r="CQ131" s="4">
        <f t="shared" si="138"/>
        <v>43.3</v>
      </c>
      <c r="CR131" s="4">
        <v>12.244500000000002</v>
      </c>
      <c r="CS131" s="7">
        <v>278249.28000000003</v>
      </c>
    </row>
    <row r="132" spans="1:97" ht="16.5" x14ac:dyDescent="0.3">
      <c r="A132" s="709" t="s">
        <v>448</v>
      </c>
      <c r="B132" s="725"/>
      <c r="C132" s="3">
        <v>0</v>
      </c>
      <c r="D132" s="3">
        <v>2</v>
      </c>
      <c r="E132" s="4">
        <f t="shared" si="125"/>
        <v>2</v>
      </c>
      <c r="F132" s="4">
        <v>2.5499999999999998</v>
      </c>
      <c r="G132" s="7">
        <v>63750</v>
      </c>
      <c r="H132" s="725">
        <v>130</v>
      </c>
      <c r="I132" s="3"/>
      <c r="J132" s="3">
        <v>125</v>
      </c>
      <c r="K132" s="4">
        <f t="shared" si="126"/>
        <v>125</v>
      </c>
      <c r="L132" s="4">
        <v>79.6875</v>
      </c>
      <c r="M132" s="7">
        <v>1912500</v>
      </c>
      <c r="N132" s="725"/>
      <c r="O132" s="3"/>
      <c r="P132" s="3"/>
      <c r="Q132" s="4">
        <f t="shared" si="127"/>
        <v>0</v>
      </c>
      <c r="R132" s="4"/>
      <c r="S132" s="7"/>
      <c r="T132" s="725">
        <v>0</v>
      </c>
      <c r="U132" s="3">
        <v>5</v>
      </c>
      <c r="V132" s="3">
        <v>80</v>
      </c>
      <c r="W132" s="4">
        <f t="shared" si="128"/>
        <v>85</v>
      </c>
      <c r="X132" s="4">
        <v>123.1</v>
      </c>
      <c r="Y132" s="7">
        <v>2092700</v>
      </c>
      <c r="Z132" s="725"/>
      <c r="AA132" s="3"/>
      <c r="AB132" s="3"/>
      <c r="AC132" s="4">
        <f t="shared" si="129"/>
        <v>0</v>
      </c>
      <c r="AD132" s="4"/>
      <c r="AE132" s="7"/>
      <c r="AF132" s="725"/>
      <c r="AG132" s="3"/>
      <c r="AH132" s="3"/>
      <c r="AI132" s="4">
        <f t="shared" si="117"/>
        <v>0</v>
      </c>
      <c r="AJ132" s="4"/>
      <c r="AK132" s="7"/>
      <c r="AL132" s="725">
        <v>5</v>
      </c>
      <c r="AM132" s="3"/>
      <c r="AN132" s="3"/>
      <c r="AO132" s="4">
        <f t="shared" si="130"/>
        <v>0</v>
      </c>
      <c r="AP132" s="4"/>
      <c r="AQ132" s="7">
        <v>18140</v>
      </c>
      <c r="AR132" s="725">
        <v>484</v>
      </c>
      <c r="AS132" s="3">
        <v>0</v>
      </c>
      <c r="AT132" s="3">
        <v>494</v>
      </c>
      <c r="AU132" s="4">
        <f t="shared" si="105"/>
        <v>494</v>
      </c>
      <c r="AV132" s="4">
        <v>222.79400000000001</v>
      </c>
      <c r="AW132" s="7">
        <v>5347056.0000000009</v>
      </c>
      <c r="AX132" s="725"/>
      <c r="AY132" s="3"/>
      <c r="AZ132" s="3"/>
      <c r="BA132" s="4">
        <f t="shared" si="131"/>
        <v>0</v>
      </c>
      <c r="BB132" s="4"/>
      <c r="BC132" s="7"/>
      <c r="BD132" s="725"/>
      <c r="BE132" s="3"/>
      <c r="BF132" s="3"/>
      <c r="BG132" s="4">
        <f t="shared" si="132"/>
        <v>0</v>
      </c>
      <c r="BH132" s="4"/>
      <c r="BI132" s="7"/>
      <c r="BJ132" s="6"/>
      <c r="BK132" s="5"/>
      <c r="BL132" s="5"/>
      <c r="BM132" s="4">
        <f t="shared" si="133"/>
        <v>0</v>
      </c>
      <c r="BN132" s="4"/>
      <c r="BO132" s="7"/>
      <c r="BP132" s="725"/>
      <c r="BQ132" s="3"/>
      <c r="BR132" s="3"/>
      <c r="BS132" s="4">
        <f t="shared" si="134"/>
        <v>0</v>
      </c>
      <c r="BT132" s="4"/>
      <c r="BU132" s="7"/>
      <c r="BV132" s="725">
        <v>7</v>
      </c>
      <c r="BW132" s="3">
        <v>5</v>
      </c>
      <c r="BX132" s="3">
        <v>2</v>
      </c>
      <c r="BY132" s="4">
        <f t="shared" si="135"/>
        <v>7</v>
      </c>
      <c r="BZ132" s="4">
        <v>28.065000000000001</v>
      </c>
      <c r="CA132" s="7">
        <v>336780</v>
      </c>
      <c r="CB132" s="725">
        <v>9</v>
      </c>
      <c r="CC132" s="3">
        <v>3.1399999999999997</v>
      </c>
      <c r="CD132" s="3">
        <v>2.4499999999999997</v>
      </c>
      <c r="CE132" s="4">
        <f t="shared" si="136"/>
        <v>5.59</v>
      </c>
      <c r="CF132" s="4">
        <v>8.15</v>
      </c>
      <c r="CG132" s="7">
        <v>120950</v>
      </c>
      <c r="CH132" s="725">
        <v>7</v>
      </c>
      <c r="CI132" s="3">
        <v>5</v>
      </c>
      <c r="CJ132" s="3">
        <v>2</v>
      </c>
      <c r="CK132" s="4">
        <f t="shared" si="137"/>
        <v>7</v>
      </c>
      <c r="CL132" s="4">
        <v>28.065000000000001</v>
      </c>
      <c r="CM132" s="7">
        <v>336780</v>
      </c>
      <c r="CN132" s="725">
        <v>17</v>
      </c>
      <c r="CO132" s="3">
        <v>2.5</v>
      </c>
      <c r="CP132" s="3">
        <v>15.7</v>
      </c>
      <c r="CQ132" s="4">
        <f t="shared" si="138"/>
        <v>18.2</v>
      </c>
      <c r="CR132" s="4">
        <v>0</v>
      </c>
      <c r="CS132" s="7">
        <v>228377.52000000002</v>
      </c>
    </row>
    <row r="133" spans="1:97" ht="16.5" x14ac:dyDescent="0.3">
      <c r="A133" s="709" t="s">
        <v>450</v>
      </c>
      <c r="B133" s="725"/>
      <c r="C133" s="3"/>
      <c r="D133" s="3"/>
      <c r="E133" s="4">
        <f t="shared" si="125"/>
        <v>0</v>
      </c>
      <c r="G133" s="7"/>
      <c r="H133" s="725">
        <v>291</v>
      </c>
      <c r="I133" s="3"/>
      <c r="J133" s="3">
        <v>212.69</v>
      </c>
      <c r="K133" s="4">
        <f t="shared" si="126"/>
        <v>212.69</v>
      </c>
      <c r="L133" s="4">
        <v>133.35663</v>
      </c>
      <c r="M133" s="7">
        <v>3200559.12</v>
      </c>
      <c r="N133" s="725"/>
      <c r="O133" s="3"/>
      <c r="P133" s="3"/>
      <c r="Q133" s="4">
        <f t="shared" si="127"/>
        <v>0</v>
      </c>
      <c r="R133" s="4"/>
      <c r="S133" s="7"/>
      <c r="T133" s="725">
        <v>0</v>
      </c>
      <c r="U133" s="3">
        <v>0</v>
      </c>
      <c r="V133" s="3">
        <v>278.45</v>
      </c>
      <c r="W133" s="4">
        <f t="shared" si="128"/>
        <v>278.45</v>
      </c>
      <c r="X133" s="4">
        <v>167.96699999999998</v>
      </c>
      <c r="Y133" s="7">
        <v>2855439</v>
      </c>
      <c r="Z133" s="725"/>
      <c r="AA133" s="3"/>
      <c r="AB133" s="3"/>
      <c r="AC133" s="4">
        <f t="shared" si="129"/>
        <v>0</v>
      </c>
      <c r="AD133" s="4"/>
      <c r="AE133" s="7"/>
      <c r="AF133" s="725"/>
      <c r="AG133" s="3"/>
      <c r="AH133" s="3"/>
      <c r="AI133" s="4">
        <f t="shared" si="117"/>
        <v>0</v>
      </c>
      <c r="AJ133" s="4"/>
      <c r="AK133" s="7"/>
      <c r="AL133" s="725">
        <v>1</v>
      </c>
      <c r="AM133" s="3"/>
      <c r="AN133" s="3"/>
      <c r="AO133" s="4">
        <f t="shared" si="130"/>
        <v>0</v>
      </c>
      <c r="AP133" s="4"/>
      <c r="AQ133" s="7">
        <v>7120</v>
      </c>
      <c r="AR133" s="725">
        <v>656</v>
      </c>
      <c r="AS133" s="3">
        <v>0</v>
      </c>
      <c r="AT133" s="3">
        <v>504.78</v>
      </c>
      <c r="AU133" s="4">
        <f t="shared" si="105"/>
        <v>504.78</v>
      </c>
      <c r="AV133" s="4">
        <v>210.48608000000002</v>
      </c>
      <c r="AW133" s="7">
        <v>5056621.2000000011</v>
      </c>
      <c r="AX133" s="725">
        <v>2</v>
      </c>
      <c r="AY133" s="3">
        <v>0</v>
      </c>
      <c r="AZ133" s="3">
        <v>1</v>
      </c>
      <c r="BA133" s="4">
        <f t="shared" si="131"/>
        <v>1</v>
      </c>
      <c r="BB133" s="4">
        <v>1.75</v>
      </c>
      <c r="BC133" s="7">
        <v>29750</v>
      </c>
      <c r="BD133" s="725"/>
      <c r="BE133" s="3"/>
      <c r="BF133" s="3"/>
      <c r="BG133" s="4">
        <f t="shared" si="132"/>
        <v>0</v>
      </c>
      <c r="BH133" s="4"/>
      <c r="BI133" s="7"/>
      <c r="BJ133" s="6"/>
      <c r="BK133" s="5"/>
      <c r="BL133" s="5"/>
      <c r="BM133" s="4">
        <f t="shared" si="133"/>
        <v>0</v>
      </c>
      <c r="BN133" s="4"/>
      <c r="BO133" s="7"/>
      <c r="BP133" s="725"/>
      <c r="BQ133" s="3"/>
      <c r="BR133" s="3"/>
      <c r="BS133" s="4">
        <f t="shared" si="134"/>
        <v>0</v>
      </c>
      <c r="BT133" s="4"/>
      <c r="BU133" s="7"/>
      <c r="BV133" s="725">
        <v>27</v>
      </c>
      <c r="BW133" s="3">
        <v>0</v>
      </c>
      <c r="BX133" s="3">
        <v>14.370000000000001</v>
      </c>
      <c r="BY133" s="4">
        <f t="shared" si="135"/>
        <v>14.370000000000001</v>
      </c>
      <c r="BZ133" s="4">
        <v>13.459249999999997</v>
      </c>
      <c r="CA133" s="7">
        <v>282163.29800000001</v>
      </c>
      <c r="CB133" s="725">
        <v>4</v>
      </c>
      <c r="CC133" s="3">
        <v>0</v>
      </c>
      <c r="CD133" s="3">
        <v>2</v>
      </c>
      <c r="CE133" s="4">
        <f t="shared" si="136"/>
        <v>2</v>
      </c>
      <c r="CF133" s="4">
        <v>2.4749999999999996</v>
      </c>
      <c r="CG133" s="7">
        <v>54836.19999999999</v>
      </c>
      <c r="CH133" s="725">
        <v>27</v>
      </c>
      <c r="CI133" s="3">
        <v>0</v>
      </c>
      <c r="CJ133" s="3">
        <v>14.370000000000001</v>
      </c>
      <c r="CK133" s="4">
        <f t="shared" si="137"/>
        <v>14.370000000000001</v>
      </c>
      <c r="CL133" s="4">
        <v>13.459249999999997</v>
      </c>
      <c r="CM133" s="7">
        <v>282163.29800000001</v>
      </c>
      <c r="CN133" s="725">
        <v>70</v>
      </c>
      <c r="CO133" s="3">
        <v>1.25</v>
      </c>
      <c r="CP133" s="3">
        <v>51.760000000000005</v>
      </c>
      <c r="CQ133" s="4">
        <f t="shared" si="138"/>
        <v>53.010000000000005</v>
      </c>
      <c r="CR133" s="4">
        <v>4.8654999999999999</v>
      </c>
      <c r="CS133" s="7">
        <v>290222.65600000002</v>
      </c>
    </row>
    <row r="134" spans="1:97" ht="16.5" x14ac:dyDescent="0.3">
      <c r="A134" s="709" t="s">
        <v>451</v>
      </c>
      <c r="B134" s="725"/>
      <c r="C134" s="3">
        <v>0</v>
      </c>
      <c r="D134" s="3">
        <v>52</v>
      </c>
      <c r="E134" s="4">
        <f t="shared" si="125"/>
        <v>52</v>
      </c>
      <c r="F134" s="4">
        <v>2.36</v>
      </c>
      <c r="G134" s="7">
        <v>123282.5</v>
      </c>
      <c r="H134" s="725">
        <v>226</v>
      </c>
      <c r="I134" s="3">
        <v>0</v>
      </c>
      <c r="J134" s="3">
        <v>222.5</v>
      </c>
      <c r="K134" s="4">
        <f t="shared" si="126"/>
        <v>222.5</v>
      </c>
      <c r="L134" s="4">
        <v>48</v>
      </c>
      <c r="M134" s="7">
        <v>0</v>
      </c>
      <c r="N134" s="725"/>
      <c r="O134" s="3"/>
      <c r="P134" s="3"/>
      <c r="Q134" s="4">
        <f t="shared" si="127"/>
        <v>0</v>
      </c>
      <c r="R134" s="4"/>
      <c r="S134" s="7"/>
      <c r="T134" s="725">
        <v>0</v>
      </c>
      <c r="U134" s="3">
        <v>0</v>
      </c>
      <c r="V134" s="3">
        <v>765.15</v>
      </c>
      <c r="W134" s="4">
        <f t="shared" si="128"/>
        <v>765.15</v>
      </c>
      <c r="X134" s="4">
        <v>332.95485000000008</v>
      </c>
      <c r="Y134" s="7">
        <v>5660232.4500000011</v>
      </c>
      <c r="Z134" s="725"/>
      <c r="AA134" s="3"/>
      <c r="AB134" s="3"/>
      <c r="AC134" s="4">
        <f t="shared" si="129"/>
        <v>0</v>
      </c>
      <c r="AD134" s="4"/>
      <c r="AE134" s="7"/>
      <c r="AF134" s="725"/>
      <c r="AG134" s="3"/>
      <c r="AH134" s="3"/>
      <c r="AI134" s="4">
        <f t="shared" si="117"/>
        <v>0</v>
      </c>
      <c r="AJ134" s="4"/>
      <c r="AK134" s="7"/>
      <c r="AL134" s="725">
        <v>26</v>
      </c>
      <c r="AM134" s="3"/>
      <c r="AN134" s="3"/>
      <c r="AO134" s="4">
        <f t="shared" si="130"/>
        <v>0</v>
      </c>
      <c r="AP134" s="4"/>
      <c r="AQ134" s="7">
        <v>81880</v>
      </c>
      <c r="AR134" s="725">
        <v>782</v>
      </c>
      <c r="AS134" s="3">
        <v>0</v>
      </c>
      <c r="AT134" s="3">
        <v>883</v>
      </c>
      <c r="AU134" s="4">
        <f t="shared" si="105"/>
        <v>883</v>
      </c>
      <c r="AV134" s="4">
        <v>425.20300000000003</v>
      </c>
      <c r="AW134" s="7">
        <v>10204872</v>
      </c>
      <c r="AX134" s="725"/>
      <c r="AY134" s="3"/>
      <c r="AZ134" s="3"/>
      <c r="BA134" s="4">
        <f t="shared" si="131"/>
        <v>0</v>
      </c>
      <c r="BB134" s="4"/>
      <c r="BC134" s="7"/>
      <c r="BD134" s="725"/>
      <c r="BE134" s="3"/>
      <c r="BF134" s="3"/>
      <c r="BG134" s="4">
        <f t="shared" si="132"/>
        <v>0</v>
      </c>
      <c r="BH134" s="4"/>
      <c r="BI134" s="7"/>
      <c r="BJ134" s="6"/>
      <c r="BK134" s="5"/>
      <c r="BL134" s="5"/>
      <c r="BM134" s="4">
        <f t="shared" si="133"/>
        <v>0</v>
      </c>
      <c r="BN134" s="4"/>
      <c r="BO134" s="7"/>
      <c r="BP134" s="725"/>
      <c r="BQ134" s="3"/>
      <c r="BR134" s="3"/>
      <c r="BS134" s="4">
        <f t="shared" si="134"/>
        <v>0</v>
      </c>
      <c r="BT134" s="4"/>
      <c r="BU134" s="7"/>
      <c r="BV134" s="725"/>
      <c r="BW134" s="3"/>
      <c r="BX134" s="3"/>
      <c r="BY134" s="4">
        <f t="shared" si="135"/>
        <v>0</v>
      </c>
      <c r="BZ134" s="4"/>
      <c r="CA134" s="7"/>
      <c r="CB134" s="725"/>
      <c r="CC134" s="3"/>
      <c r="CD134" s="3"/>
      <c r="CE134" s="4">
        <f t="shared" si="136"/>
        <v>0</v>
      </c>
      <c r="CF134" s="4"/>
      <c r="CG134" s="7"/>
      <c r="CH134" s="725"/>
      <c r="CI134" s="3"/>
      <c r="CJ134" s="3"/>
      <c r="CK134" s="4">
        <f t="shared" si="137"/>
        <v>0</v>
      </c>
      <c r="CL134" s="4"/>
      <c r="CM134" s="7"/>
      <c r="CN134" s="725">
        <v>97</v>
      </c>
      <c r="CO134" s="3">
        <v>0</v>
      </c>
      <c r="CP134" s="3">
        <v>3</v>
      </c>
      <c r="CQ134" s="4">
        <f t="shared" si="138"/>
        <v>3</v>
      </c>
      <c r="CR134" s="4">
        <v>0</v>
      </c>
      <c r="CS134" s="7">
        <v>407760</v>
      </c>
    </row>
    <row r="135" spans="1:97" ht="16.5" x14ac:dyDescent="0.3">
      <c r="A135" s="709" t="s">
        <v>452</v>
      </c>
      <c r="B135" s="725"/>
      <c r="C135" s="3">
        <v>0</v>
      </c>
      <c r="D135" s="3">
        <v>0</v>
      </c>
      <c r="E135" s="4">
        <f t="shared" si="125"/>
        <v>0</v>
      </c>
      <c r="G135" s="7">
        <v>616000</v>
      </c>
      <c r="H135" s="725"/>
      <c r="I135" s="3"/>
      <c r="J135" s="3"/>
      <c r="K135" s="4">
        <f t="shared" si="126"/>
        <v>0</v>
      </c>
      <c r="L135" s="4"/>
      <c r="M135" s="7"/>
      <c r="N135" s="725"/>
      <c r="O135" s="3"/>
      <c r="P135" s="3"/>
      <c r="Q135" s="4">
        <f t="shared" si="127"/>
        <v>0</v>
      </c>
      <c r="R135" s="4"/>
      <c r="S135" s="7"/>
      <c r="T135" s="725">
        <v>0</v>
      </c>
      <c r="U135" s="3">
        <v>0</v>
      </c>
      <c r="V135" s="3">
        <v>165</v>
      </c>
      <c r="W135" s="4">
        <f t="shared" si="128"/>
        <v>165</v>
      </c>
      <c r="X135" s="4">
        <v>173.25</v>
      </c>
      <c r="Y135" s="7">
        <v>2945250</v>
      </c>
      <c r="Z135" s="725"/>
      <c r="AA135" s="3"/>
      <c r="AB135" s="3"/>
      <c r="AC135" s="4">
        <f t="shared" si="129"/>
        <v>0</v>
      </c>
      <c r="AD135" s="4"/>
      <c r="AE135" s="7"/>
      <c r="AF135" s="725"/>
      <c r="AG135" s="3"/>
      <c r="AH135" s="3"/>
      <c r="AI135" s="4">
        <f t="shared" si="117"/>
        <v>0</v>
      </c>
      <c r="AJ135" s="4"/>
      <c r="AK135" s="7"/>
      <c r="AL135" s="725">
        <v>15</v>
      </c>
      <c r="AM135" s="3"/>
      <c r="AN135" s="3"/>
      <c r="AO135" s="4">
        <f t="shared" si="130"/>
        <v>0</v>
      </c>
      <c r="AP135" s="4"/>
      <c r="AQ135" s="7">
        <v>71200</v>
      </c>
      <c r="AR135" s="725">
        <v>293</v>
      </c>
      <c r="AS135" s="3">
        <v>0</v>
      </c>
      <c r="AT135" s="3">
        <v>232</v>
      </c>
      <c r="AU135" s="4">
        <f t="shared" si="105"/>
        <v>232</v>
      </c>
      <c r="AV135" s="4">
        <v>125.976</v>
      </c>
      <c r="AW135" s="7">
        <v>3023424</v>
      </c>
      <c r="AX135" s="725"/>
      <c r="AY135" s="3"/>
      <c r="AZ135" s="3"/>
      <c r="BA135" s="4">
        <f t="shared" si="131"/>
        <v>0</v>
      </c>
      <c r="BB135" s="4"/>
      <c r="BC135" s="7"/>
      <c r="BD135" s="725"/>
      <c r="BE135" s="3"/>
      <c r="BF135" s="3"/>
      <c r="BG135" s="4">
        <f t="shared" si="132"/>
        <v>0</v>
      </c>
      <c r="BH135" s="4"/>
      <c r="BI135" s="7"/>
      <c r="BJ135" s="6"/>
      <c r="BK135" s="5"/>
      <c r="BL135" s="5"/>
      <c r="BM135" s="4">
        <f t="shared" si="133"/>
        <v>0</v>
      </c>
      <c r="BN135" s="4"/>
      <c r="BO135" s="7"/>
      <c r="BP135" s="725"/>
      <c r="BQ135" s="3"/>
      <c r="BR135" s="3"/>
      <c r="BS135" s="4">
        <f t="shared" si="134"/>
        <v>0</v>
      </c>
      <c r="BT135" s="4"/>
      <c r="BU135" s="7"/>
      <c r="BV135" s="725"/>
      <c r="BW135" s="3"/>
      <c r="BX135" s="3"/>
      <c r="BY135" s="4">
        <f t="shared" si="135"/>
        <v>0</v>
      </c>
      <c r="BZ135" s="4"/>
      <c r="CA135" s="7"/>
      <c r="CB135" s="725"/>
      <c r="CC135" s="3"/>
      <c r="CD135" s="3"/>
      <c r="CE135" s="4">
        <f t="shared" si="136"/>
        <v>0</v>
      </c>
      <c r="CF135" s="4"/>
      <c r="CG135" s="7"/>
      <c r="CH135" s="725"/>
      <c r="CI135" s="3"/>
      <c r="CJ135" s="3"/>
      <c r="CK135" s="4">
        <f t="shared" si="137"/>
        <v>0</v>
      </c>
      <c r="CL135" s="4"/>
      <c r="CM135" s="7"/>
      <c r="CN135" s="725"/>
      <c r="CO135" s="3"/>
      <c r="CP135" s="3"/>
      <c r="CQ135" s="4">
        <f t="shared" si="138"/>
        <v>0</v>
      </c>
      <c r="CR135" s="4"/>
      <c r="CS135" s="7"/>
    </row>
    <row r="136" spans="1:97" ht="16.5" x14ac:dyDescent="0.3">
      <c r="A136" s="709" t="s">
        <v>453</v>
      </c>
      <c r="B136" s="725"/>
      <c r="C136" s="3">
        <v>0</v>
      </c>
      <c r="D136" s="3">
        <v>0</v>
      </c>
      <c r="E136" s="4">
        <f t="shared" si="125"/>
        <v>0</v>
      </c>
      <c r="G136" s="7">
        <v>2200</v>
      </c>
      <c r="H136" s="725">
        <v>10</v>
      </c>
      <c r="I136" s="3"/>
      <c r="J136" s="3">
        <v>10</v>
      </c>
      <c r="K136" s="4">
        <f t="shared" si="126"/>
        <v>10</v>
      </c>
      <c r="L136" s="4">
        <v>6.8250000000000002</v>
      </c>
      <c r="M136" s="7">
        <v>163800</v>
      </c>
      <c r="N136" s="725"/>
      <c r="O136" s="3"/>
      <c r="P136" s="3"/>
      <c r="Q136" s="4">
        <f t="shared" si="127"/>
        <v>0</v>
      </c>
      <c r="R136" s="4"/>
      <c r="S136" s="7"/>
      <c r="T136" s="725">
        <v>0</v>
      </c>
      <c r="U136" s="3">
        <v>0</v>
      </c>
      <c r="V136" s="3">
        <v>227</v>
      </c>
      <c r="W136" s="4">
        <f t="shared" si="128"/>
        <v>227</v>
      </c>
      <c r="X136" s="4">
        <v>208.38600000000002</v>
      </c>
      <c r="Y136" s="7">
        <v>3542562.0000000005</v>
      </c>
      <c r="Z136" s="725"/>
      <c r="AA136" s="3"/>
      <c r="AB136" s="3"/>
      <c r="AC136" s="4">
        <f t="shared" si="129"/>
        <v>0</v>
      </c>
      <c r="AD136" s="4"/>
      <c r="AE136" s="7"/>
      <c r="AF136" s="725">
        <v>4</v>
      </c>
      <c r="AG136" s="3">
        <v>3</v>
      </c>
      <c r="AH136" s="3">
        <v>5</v>
      </c>
      <c r="AI136" s="4">
        <f t="shared" si="117"/>
        <v>8</v>
      </c>
      <c r="AJ136" s="4">
        <v>14.7</v>
      </c>
      <c r="AK136" s="7">
        <v>249900.00000000003</v>
      </c>
      <c r="AL136" s="725">
        <v>9</v>
      </c>
      <c r="AM136" s="3"/>
      <c r="AN136" s="3"/>
      <c r="AO136" s="4">
        <f t="shared" si="130"/>
        <v>0</v>
      </c>
      <c r="AP136" s="4"/>
      <c r="AQ136" s="7">
        <v>66620</v>
      </c>
      <c r="AR136" s="725">
        <v>438</v>
      </c>
      <c r="AS136" s="3">
        <v>0</v>
      </c>
      <c r="AT136" s="3">
        <v>446</v>
      </c>
      <c r="AU136" s="4">
        <f t="shared" si="105"/>
        <v>446</v>
      </c>
      <c r="AV136" s="4">
        <v>201.14599999999999</v>
      </c>
      <c r="AW136" s="7">
        <v>4827504</v>
      </c>
      <c r="AX136" s="725"/>
      <c r="AY136" s="3"/>
      <c r="AZ136" s="3"/>
      <c r="BA136" s="4">
        <f t="shared" si="131"/>
        <v>0</v>
      </c>
      <c r="BB136" s="4"/>
      <c r="BC136" s="7"/>
      <c r="BD136" s="725"/>
      <c r="BE136" s="3"/>
      <c r="BF136" s="3"/>
      <c r="BG136" s="4">
        <f t="shared" si="132"/>
        <v>0</v>
      </c>
      <c r="BH136" s="4"/>
      <c r="BI136" s="7"/>
      <c r="BJ136" s="6"/>
      <c r="BK136" s="5"/>
      <c r="BL136" s="5"/>
      <c r="BM136" s="4">
        <f t="shared" si="133"/>
        <v>0</v>
      </c>
      <c r="BN136" s="4"/>
      <c r="BO136" s="7"/>
      <c r="BP136" s="725"/>
      <c r="BQ136" s="3"/>
      <c r="BR136" s="3"/>
      <c r="BS136" s="4">
        <f t="shared" si="134"/>
        <v>0</v>
      </c>
      <c r="BT136" s="4"/>
      <c r="BU136" s="7"/>
      <c r="BV136" s="725">
        <v>30</v>
      </c>
      <c r="BW136" s="3">
        <v>1</v>
      </c>
      <c r="BX136" s="3">
        <v>31</v>
      </c>
      <c r="BY136" s="4">
        <f t="shared" si="135"/>
        <v>32</v>
      </c>
      <c r="BZ136" s="4">
        <v>106.66000000000001</v>
      </c>
      <c r="CA136" s="7">
        <v>1599900</v>
      </c>
      <c r="CB136" s="725"/>
      <c r="CC136" s="3"/>
      <c r="CD136" s="3"/>
      <c r="CE136" s="4">
        <f t="shared" si="136"/>
        <v>0</v>
      </c>
      <c r="CF136" s="4"/>
      <c r="CG136" s="7"/>
      <c r="CH136" s="725">
        <v>30</v>
      </c>
      <c r="CI136" s="3">
        <v>1</v>
      </c>
      <c r="CJ136" s="3">
        <v>31</v>
      </c>
      <c r="CK136" s="4">
        <f t="shared" si="137"/>
        <v>32</v>
      </c>
      <c r="CL136" s="4">
        <v>106.66000000000001</v>
      </c>
      <c r="CM136" s="7">
        <v>1599900</v>
      </c>
      <c r="CN136" s="725">
        <v>8</v>
      </c>
      <c r="CO136" s="3">
        <v>0</v>
      </c>
      <c r="CP136" s="3">
        <v>11</v>
      </c>
      <c r="CQ136" s="4">
        <f t="shared" si="138"/>
        <v>11</v>
      </c>
      <c r="CR136" s="4">
        <v>0</v>
      </c>
      <c r="CS136" s="7">
        <v>64046.400000000009</v>
      </c>
    </row>
    <row r="137" spans="1:97" ht="16.5" x14ac:dyDescent="0.3">
      <c r="A137" s="709" t="s">
        <v>454</v>
      </c>
      <c r="B137" s="725"/>
      <c r="C137" s="3">
        <v>0</v>
      </c>
      <c r="D137" s="3">
        <v>10</v>
      </c>
      <c r="E137" s="4">
        <f t="shared" si="125"/>
        <v>10</v>
      </c>
      <c r="F137" s="4">
        <v>13.01</v>
      </c>
      <c r="G137" s="7">
        <v>325250</v>
      </c>
      <c r="H137" s="725">
        <v>83</v>
      </c>
      <c r="I137" s="3">
        <v>0</v>
      </c>
      <c r="J137" s="3">
        <v>60</v>
      </c>
      <c r="K137" s="4">
        <f t="shared" si="126"/>
        <v>60</v>
      </c>
      <c r="L137" s="4">
        <v>38.114999999999995</v>
      </c>
      <c r="M137" s="7">
        <v>914760</v>
      </c>
      <c r="N137" s="725"/>
      <c r="O137" s="3"/>
      <c r="P137" s="3"/>
      <c r="Q137" s="4">
        <f t="shared" si="127"/>
        <v>0</v>
      </c>
      <c r="R137" s="4"/>
      <c r="S137" s="7"/>
      <c r="T137" s="725">
        <v>0</v>
      </c>
      <c r="U137" s="3">
        <v>0</v>
      </c>
      <c r="V137" s="3">
        <v>121</v>
      </c>
      <c r="W137" s="4">
        <f t="shared" si="128"/>
        <v>121</v>
      </c>
      <c r="X137" s="4">
        <v>156.03</v>
      </c>
      <c r="Y137" s="7">
        <v>2652510</v>
      </c>
      <c r="Z137" s="725"/>
      <c r="AA137" s="3"/>
      <c r="AB137" s="3"/>
      <c r="AC137" s="4">
        <f t="shared" si="129"/>
        <v>0</v>
      </c>
      <c r="AD137" s="4"/>
      <c r="AE137" s="7"/>
      <c r="AF137" s="725">
        <v>45</v>
      </c>
      <c r="AG137" s="3">
        <v>0</v>
      </c>
      <c r="AH137" s="3">
        <v>37.53</v>
      </c>
      <c r="AI137" s="4">
        <f t="shared" si="117"/>
        <v>37.53</v>
      </c>
      <c r="AJ137" s="4">
        <v>16.137899999999998</v>
      </c>
      <c r="AK137" s="7">
        <v>274344.3</v>
      </c>
      <c r="AL137" s="725">
        <v>21</v>
      </c>
      <c r="AM137" s="3">
        <v>0.62</v>
      </c>
      <c r="AN137" s="3"/>
      <c r="AO137" s="4">
        <f t="shared" si="130"/>
        <v>0.62</v>
      </c>
      <c r="AP137" s="4"/>
      <c r="AQ137" s="7">
        <v>79656.84</v>
      </c>
      <c r="AR137" s="725">
        <v>134</v>
      </c>
      <c r="AS137" s="3">
        <v>0</v>
      </c>
      <c r="AT137" s="3">
        <v>102.75</v>
      </c>
      <c r="AU137" s="4">
        <f t="shared" si="105"/>
        <v>102.75</v>
      </c>
      <c r="AV137" s="4">
        <v>73.363499999999988</v>
      </c>
      <c r="AW137" s="7">
        <v>1834087.4999999995</v>
      </c>
      <c r="AX137" s="725"/>
      <c r="AY137" s="3"/>
      <c r="AZ137" s="3"/>
      <c r="BA137" s="4">
        <f t="shared" si="131"/>
        <v>0</v>
      </c>
      <c r="BB137" s="4"/>
      <c r="BC137" s="7"/>
      <c r="BD137" s="725"/>
      <c r="BE137" s="3"/>
      <c r="BF137" s="3"/>
      <c r="BG137" s="4">
        <f t="shared" si="132"/>
        <v>0</v>
      </c>
      <c r="BH137" s="4"/>
      <c r="BI137" s="7"/>
      <c r="BJ137" s="6"/>
      <c r="BK137" s="5"/>
      <c r="BL137" s="5"/>
      <c r="BM137" s="4">
        <f t="shared" si="133"/>
        <v>0</v>
      </c>
      <c r="BN137" s="4"/>
      <c r="BO137" s="7"/>
      <c r="BP137" s="725"/>
      <c r="BQ137" s="3"/>
      <c r="BR137" s="3"/>
      <c r="BS137" s="4">
        <f t="shared" si="134"/>
        <v>0</v>
      </c>
      <c r="BT137" s="4"/>
      <c r="BU137" s="7"/>
      <c r="BV137" s="725"/>
      <c r="BW137" s="3"/>
      <c r="BX137" s="3"/>
      <c r="BY137" s="4">
        <f t="shared" si="135"/>
        <v>0</v>
      </c>
      <c r="BZ137" s="4"/>
      <c r="CA137" s="7"/>
      <c r="CB137" s="725"/>
      <c r="CC137" s="3"/>
      <c r="CD137" s="3"/>
      <c r="CE137" s="4">
        <f t="shared" si="136"/>
        <v>0</v>
      </c>
      <c r="CF137" s="4"/>
      <c r="CG137" s="7"/>
      <c r="CH137" s="725"/>
      <c r="CI137" s="3"/>
      <c r="CJ137" s="3"/>
      <c r="CK137" s="4">
        <f t="shared" si="137"/>
        <v>0</v>
      </c>
      <c r="CL137" s="4"/>
      <c r="CM137" s="7"/>
      <c r="CN137" s="725">
        <v>28</v>
      </c>
      <c r="CO137" s="3">
        <v>0</v>
      </c>
      <c r="CP137" s="3">
        <v>25.01</v>
      </c>
      <c r="CQ137" s="4">
        <f t="shared" si="138"/>
        <v>25.01</v>
      </c>
      <c r="CR137" s="4">
        <v>5.6833</v>
      </c>
      <c r="CS137" s="7">
        <v>102716.59999999999</v>
      </c>
    </row>
    <row r="138" spans="1:97" ht="16.5" x14ac:dyDescent="0.3">
      <c r="A138" s="709" t="s">
        <v>455</v>
      </c>
      <c r="B138" s="725"/>
      <c r="C138" s="3"/>
      <c r="D138" s="3"/>
      <c r="E138" s="4">
        <f t="shared" si="125"/>
        <v>0</v>
      </c>
      <c r="G138" s="7"/>
      <c r="H138" s="725">
        <v>53</v>
      </c>
      <c r="I138" s="3"/>
      <c r="J138" s="3">
        <v>76.7</v>
      </c>
      <c r="K138" s="4">
        <f t="shared" si="126"/>
        <v>76.7</v>
      </c>
      <c r="L138" s="4">
        <v>51.772500000000001</v>
      </c>
      <c r="M138" s="7">
        <v>1242540</v>
      </c>
      <c r="N138" s="725"/>
      <c r="O138" s="3"/>
      <c r="P138" s="3"/>
      <c r="Q138" s="4">
        <f t="shared" si="127"/>
        <v>0</v>
      </c>
      <c r="R138" s="4"/>
      <c r="S138" s="7"/>
      <c r="T138" s="725">
        <v>0</v>
      </c>
      <c r="U138" s="3">
        <v>0</v>
      </c>
      <c r="V138" s="3">
        <v>161</v>
      </c>
      <c r="W138" s="4">
        <f t="shared" si="128"/>
        <v>161</v>
      </c>
      <c r="X138" s="4">
        <v>111.33</v>
      </c>
      <c r="Y138" s="7">
        <v>1892635.5</v>
      </c>
      <c r="Z138" s="725"/>
      <c r="AA138" s="3"/>
      <c r="AB138" s="3"/>
      <c r="AC138" s="4">
        <f t="shared" si="129"/>
        <v>0</v>
      </c>
      <c r="AD138" s="4"/>
      <c r="AE138" s="7"/>
      <c r="AF138" s="725">
        <v>106</v>
      </c>
      <c r="AG138" s="3">
        <v>0</v>
      </c>
      <c r="AH138" s="3">
        <v>46.98</v>
      </c>
      <c r="AI138" s="4">
        <f t="shared" si="117"/>
        <v>46.98</v>
      </c>
      <c r="AJ138" s="4">
        <v>31.711499999999997</v>
      </c>
      <c r="AK138" s="7">
        <v>554047.49999999988</v>
      </c>
      <c r="AL138" s="725">
        <v>3</v>
      </c>
      <c r="AM138" s="3"/>
      <c r="AN138" s="3"/>
      <c r="AO138" s="4">
        <f t="shared" si="130"/>
        <v>0</v>
      </c>
      <c r="AP138" s="4"/>
      <c r="AQ138" s="7">
        <v>32040</v>
      </c>
      <c r="AR138" s="725">
        <v>451</v>
      </c>
      <c r="AS138" s="3">
        <v>0</v>
      </c>
      <c r="AT138" s="3">
        <v>569</v>
      </c>
      <c r="AU138" s="4">
        <f t="shared" si="105"/>
        <v>569</v>
      </c>
      <c r="AV138" s="4">
        <v>298.72500000000002</v>
      </c>
      <c r="AW138" s="7">
        <v>7169400.0000000009</v>
      </c>
      <c r="AX138" s="725"/>
      <c r="AY138" s="3"/>
      <c r="AZ138" s="3"/>
      <c r="BA138" s="4">
        <f t="shared" si="131"/>
        <v>0</v>
      </c>
      <c r="BB138" s="4"/>
      <c r="BC138" s="7"/>
      <c r="BD138" s="725"/>
      <c r="BE138" s="3"/>
      <c r="BF138" s="3"/>
      <c r="BG138" s="4">
        <f t="shared" si="132"/>
        <v>0</v>
      </c>
      <c r="BH138" s="4"/>
      <c r="BI138" s="7"/>
      <c r="BJ138" s="6"/>
      <c r="BK138" s="5"/>
      <c r="BL138" s="5"/>
      <c r="BM138" s="4">
        <f t="shared" si="133"/>
        <v>0</v>
      </c>
      <c r="BN138" s="4"/>
      <c r="BO138" s="7"/>
      <c r="BP138" s="725"/>
      <c r="BQ138" s="3"/>
      <c r="BR138" s="3"/>
      <c r="BS138" s="4">
        <f t="shared" si="134"/>
        <v>0</v>
      </c>
      <c r="BT138" s="4"/>
      <c r="BU138" s="7"/>
      <c r="BV138" s="725">
        <v>46</v>
      </c>
      <c r="BW138" s="3">
        <v>0</v>
      </c>
      <c r="BX138" s="3">
        <v>0</v>
      </c>
      <c r="BY138" s="4">
        <f t="shared" si="135"/>
        <v>0</v>
      </c>
      <c r="BZ138" s="4">
        <v>0</v>
      </c>
      <c r="CA138" s="7">
        <v>381723</v>
      </c>
      <c r="CB138" s="725">
        <v>46</v>
      </c>
      <c r="CC138" s="3">
        <v>0</v>
      </c>
      <c r="CD138" s="3">
        <v>0</v>
      </c>
      <c r="CE138" s="4">
        <f t="shared" si="136"/>
        <v>0</v>
      </c>
      <c r="CF138" s="4">
        <v>0</v>
      </c>
      <c r="CG138" s="7">
        <v>381723</v>
      </c>
      <c r="CH138" s="725">
        <v>46</v>
      </c>
      <c r="CI138" s="3">
        <v>0</v>
      </c>
      <c r="CJ138" s="3">
        <v>0</v>
      </c>
      <c r="CK138" s="4">
        <f t="shared" si="137"/>
        <v>0</v>
      </c>
      <c r="CL138" s="4">
        <v>0</v>
      </c>
      <c r="CM138" s="7">
        <v>381723</v>
      </c>
      <c r="CN138" s="725">
        <v>25</v>
      </c>
      <c r="CO138" s="3">
        <v>0</v>
      </c>
      <c r="CP138" s="3">
        <v>21.4</v>
      </c>
      <c r="CQ138" s="4">
        <f t="shared" si="138"/>
        <v>21.4</v>
      </c>
      <c r="CR138" s="4">
        <v>4.8150000000000004</v>
      </c>
      <c r="CS138" s="7">
        <v>87660.000000000015</v>
      </c>
    </row>
    <row r="139" spans="1:97" ht="16.5" x14ac:dyDescent="0.3">
      <c r="A139" s="709" t="s">
        <v>456</v>
      </c>
      <c r="B139" s="725"/>
      <c r="C139" s="3">
        <v>0</v>
      </c>
      <c r="D139" s="3">
        <v>0</v>
      </c>
      <c r="E139" s="4">
        <f t="shared" si="125"/>
        <v>0</v>
      </c>
      <c r="G139" s="7">
        <v>712800</v>
      </c>
      <c r="H139" s="725">
        <v>400</v>
      </c>
      <c r="I139" s="3"/>
      <c r="J139" s="3">
        <v>435</v>
      </c>
      <c r="K139" s="4">
        <f t="shared" si="126"/>
        <v>435</v>
      </c>
      <c r="L139" s="4">
        <v>273.39749999999998</v>
      </c>
      <c r="M139" s="7">
        <v>6561539.9999999991</v>
      </c>
      <c r="N139" s="725"/>
      <c r="O139" s="3"/>
      <c r="P139" s="3"/>
      <c r="Q139" s="4">
        <f t="shared" si="127"/>
        <v>0</v>
      </c>
      <c r="R139" s="4"/>
      <c r="S139" s="7"/>
      <c r="T139" s="725">
        <v>0</v>
      </c>
      <c r="U139" s="3">
        <v>0</v>
      </c>
      <c r="V139" s="3">
        <v>523.70000000000005</v>
      </c>
      <c r="W139" s="4">
        <f t="shared" si="128"/>
        <v>523.70000000000005</v>
      </c>
      <c r="X139" s="4">
        <v>474.80999999999995</v>
      </c>
      <c r="Y139" s="7">
        <v>8071770</v>
      </c>
      <c r="Z139" s="725"/>
      <c r="AA139" s="3"/>
      <c r="AB139" s="3"/>
      <c r="AC139" s="4">
        <f t="shared" si="129"/>
        <v>0</v>
      </c>
      <c r="AD139" s="4"/>
      <c r="AE139" s="7"/>
      <c r="AF139" s="725">
        <v>280</v>
      </c>
      <c r="AG139" s="3">
        <v>0</v>
      </c>
      <c r="AH139" s="3">
        <v>251.2</v>
      </c>
      <c r="AI139" s="4">
        <f t="shared" si="117"/>
        <v>251.2</v>
      </c>
      <c r="AJ139" s="4">
        <v>127.60000000000001</v>
      </c>
      <c r="AK139" s="7">
        <v>2169200.0000000005</v>
      </c>
      <c r="AL139" s="725">
        <v>283</v>
      </c>
      <c r="AM139" s="3"/>
      <c r="AN139" s="3"/>
      <c r="AO139" s="4">
        <f t="shared" si="130"/>
        <v>0</v>
      </c>
      <c r="AP139" s="4"/>
      <c r="AQ139" s="7">
        <v>1312300</v>
      </c>
      <c r="AR139" s="725">
        <v>1151</v>
      </c>
      <c r="AS139" s="3">
        <v>0</v>
      </c>
      <c r="AT139" s="3">
        <v>1392</v>
      </c>
      <c r="AU139" s="4">
        <f t="shared" si="105"/>
        <v>1392</v>
      </c>
      <c r="AV139" s="4">
        <v>642.44949999999994</v>
      </c>
      <c r="AW139" s="7">
        <v>15418788</v>
      </c>
      <c r="AX139" s="725"/>
      <c r="AY139" s="3"/>
      <c r="AZ139" s="3"/>
      <c r="BA139" s="4">
        <f t="shared" si="131"/>
        <v>0</v>
      </c>
      <c r="BB139" s="4"/>
      <c r="BC139" s="7"/>
      <c r="BD139" s="725"/>
      <c r="BE139" s="3"/>
      <c r="BF139" s="3"/>
      <c r="BG139" s="4">
        <f t="shared" si="132"/>
        <v>0</v>
      </c>
      <c r="BH139" s="4"/>
      <c r="BI139" s="7"/>
      <c r="BJ139" s="8"/>
      <c r="BK139" s="3"/>
      <c r="BL139" s="3"/>
      <c r="BM139" s="4">
        <f t="shared" si="133"/>
        <v>0</v>
      </c>
      <c r="BN139" s="4"/>
      <c r="BO139" s="7"/>
      <c r="BP139" s="725"/>
      <c r="BQ139" s="3"/>
      <c r="BR139" s="3"/>
      <c r="BS139" s="4">
        <f t="shared" si="134"/>
        <v>0</v>
      </c>
      <c r="BT139" s="4"/>
      <c r="BU139" s="7"/>
      <c r="BV139" s="725"/>
      <c r="BW139" s="3"/>
      <c r="BX139" s="3"/>
      <c r="BY139" s="4">
        <f t="shared" si="135"/>
        <v>0</v>
      </c>
      <c r="BZ139" s="4"/>
      <c r="CA139" s="7"/>
      <c r="CB139" s="725"/>
      <c r="CC139" s="3"/>
      <c r="CD139" s="3"/>
      <c r="CE139" s="4">
        <f t="shared" si="136"/>
        <v>0</v>
      </c>
      <c r="CF139" s="4"/>
      <c r="CG139" s="7"/>
      <c r="CH139" s="725"/>
      <c r="CI139" s="3"/>
      <c r="CJ139" s="3"/>
      <c r="CK139" s="4">
        <f t="shared" si="137"/>
        <v>0</v>
      </c>
      <c r="CL139" s="4"/>
      <c r="CM139" s="7"/>
      <c r="CN139" s="725">
        <v>36</v>
      </c>
      <c r="CO139" s="3">
        <v>0</v>
      </c>
      <c r="CP139" s="3">
        <v>21.6</v>
      </c>
      <c r="CQ139" s="4">
        <f t="shared" si="138"/>
        <v>21.6</v>
      </c>
      <c r="CR139" s="4">
        <v>3.6799999999999997</v>
      </c>
      <c r="CS139" s="7">
        <v>155533.59999999998</v>
      </c>
    </row>
    <row r="140" spans="1:97" ht="16.5" x14ac:dyDescent="0.3">
      <c r="A140" s="709" t="s">
        <v>457</v>
      </c>
      <c r="B140" s="725"/>
      <c r="C140" s="3"/>
      <c r="D140" s="3"/>
      <c r="E140" s="4">
        <f t="shared" si="125"/>
        <v>0</v>
      </c>
      <c r="G140" s="7"/>
      <c r="H140" s="725"/>
      <c r="I140" s="3"/>
      <c r="J140" s="3"/>
      <c r="K140" s="4">
        <f>SUM(I140:J140)</f>
        <v>0</v>
      </c>
      <c r="L140" s="4"/>
      <c r="M140" s="7"/>
      <c r="N140" s="725"/>
      <c r="O140" s="3"/>
      <c r="P140" s="3"/>
      <c r="Q140" s="4">
        <f t="shared" si="127"/>
        <v>0</v>
      </c>
      <c r="R140" s="4"/>
      <c r="S140" s="7"/>
      <c r="T140" s="725">
        <v>0</v>
      </c>
      <c r="U140" s="3">
        <v>260</v>
      </c>
      <c r="V140" s="3">
        <v>500</v>
      </c>
      <c r="W140" s="4">
        <f t="shared" si="128"/>
        <v>760</v>
      </c>
      <c r="X140" s="4">
        <v>1432.25</v>
      </c>
      <c r="Y140" s="7">
        <v>24348250</v>
      </c>
      <c r="Z140" s="725"/>
      <c r="AA140" s="3"/>
      <c r="AB140" s="3"/>
      <c r="AC140" s="4">
        <f t="shared" si="129"/>
        <v>0</v>
      </c>
      <c r="AD140" s="4"/>
      <c r="AE140" s="7"/>
      <c r="AF140" s="725"/>
      <c r="AG140" s="3"/>
      <c r="AH140" s="3"/>
      <c r="AI140" s="4">
        <f t="shared" si="117"/>
        <v>0</v>
      </c>
      <c r="AJ140" s="4"/>
      <c r="AK140" s="7"/>
      <c r="AL140" s="725"/>
      <c r="AM140" s="3"/>
      <c r="AN140" s="3"/>
      <c r="AO140" s="4">
        <f t="shared" si="130"/>
        <v>0</v>
      </c>
      <c r="AP140" s="4"/>
      <c r="AQ140" s="7"/>
      <c r="AR140" s="725">
        <v>320</v>
      </c>
      <c r="AS140" s="3">
        <v>0</v>
      </c>
      <c r="AT140" s="3">
        <v>348</v>
      </c>
      <c r="AU140" s="4">
        <f t="shared" si="105"/>
        <v>348</v>
      </c>
      <c r="AV140" s="4">
        <v>165.99599999999998</v>
      </c>
      <c r="AW140" s="7">
        <v>3983903.9999999995</v>
      </c>
      <c r="AX140" s="725"/>
      <c r="AY140" s="3"/>
      <c r="AZ140" s="3"/>
      <c r="BA140" s="4">
        <f t="shared" si="131"/>
        <v>0</v>
      </c>
      <c r="BB140" s="4"/>
      <c r="BC140" s="7"/>
      <c r="BD140" s="725"/>
      <c r="BE140" s="3"/>
      <c r="BF140" s="3"/>
      <c r="BG140" s="4">
        <f t="shared" si="132"/>
        <v>0</v>
      </c>
      <c r="BH140" s="4"/>
      <c r="BI140" s="7"/>
      <c r="BJ140" s="8"/>
      <c r="BK140" s="3"/>
      <c r="BL140" s="3"/>
      <c r="BM140" s="4">
        <f t="shared" si="133"/>
        <v>0</v>
      </c>
      <c r="BN140" s="4"/>
      <c r="BO140" s="7"/>
      <c r="BP140" s="725"/>
      <c r="BQ140" s="3"/>
      <c r="BR140" s="3"/>
      <c r="BS140" s="4">
        <f t="shared" si="134"/>
        <v>0</v>
      </c>
      <c r="BT140" s="4"/>
      <c r="BU140" s="7"/>
      <c r="BV140" s="725"/>
      <c r="BW140" s="3"/>
      <c r="BX140" s="3"/>
      <c r="BY140" s="4">
        <f t="shared" si="135"/>
        <v>0</v>
      </c>
      <c r="BZ140" s="4"/>
      <c r="CA140" s="7"/>
      <c r="CB140" s="725"/>
      <c r="CC140" s="3"/>
      <c r="CD140" s="3"/>
      <c r="CE140" s="4">
        <f t="shared" si="136"/>
        <v>0</v>
      </c>
      <c r="CF140" s="4"/>
      <c r="CG140" s="7"/>
      <c r="CH140" s="725"/>
      <c r="CI140" s="3"/>
      <c r="CJ140" s="3"/>
      <c r="CK140" s="4">
        <f t="shared" si="137"/>
        <v>0</v>
      </c>
      <c r="CL140" s="4"/>
      <c r="CM140" s="7"/>
      <c r="CN140" s="725">
        <v>180</v>
      </c>
      <c r="CO140" s="3">
        <v>0</v>
      </c>
      <c r="CP140" s="3">
        <v>152</v>
      </c>
      <c r="CQ140" s="4">
        <f t="shared" si="138"/>
        <v>152</v>
      </c>
      <c r="CR140" s="4">
        <v>34.96</v>
      </c>
      <c r="CS140" s="7">
        <v>489440</v>
      </c>
    </row>
    <row r="141" spans="1:97" ht="16.5" x14ac:dyDescent="0.3">
      <c r="A141" s="709" t="s">
        <v>458</v>
      </c>
      <c r="B141" s="725"/>
      <c r="C141" s="3"/>
      <c r="D141" s="3"/>
      <c r="E141" s="4">
        <f t="shared" si="125"/>
        <v>0</v>
      </c>
      <c r="G141" s="7"/>
      <c r="H141" s="725">
        <v>495</v>
      </c>
      <c r="I141" s="3"/>
      <c r="J141" s="3">
        <v>360</v>
      </c>
      <c r="K141" s="4">
        <f>SUM(I141:J141)</f>
        <v>360</v>
      </c>
      <c r="L141" s="4">
        <v>232.73999999999998</v>
      </c>
      <c r="M141" s="7">
        <v>5585759.9999999991</v>
      </c>
      <c r="N141" s="725"/>
      <c r="O141" s="3"/>
      <c r="P141" s="3"/>
      <c r="Q141" s="4">
        <f t="shared" si="127"/>
        <v>0</v>
      </c>
      <c r="R141" s="4"/>
      <c r="S141" s="7"/>
      <c r="T141" s="725">
        <v>0</v>
      </c>
      <c r="U141" s="3">
        <v>0</v>
      </c>
      <c r="V141" s="3">
        <v>795.7</v>
      </c>
      <c r="W141" s="4">
        <f t="shared" si="128"/>
        <v>795.7</v>
      </c>
      <c r="X141" s="4">
        <v>512.80994999999984</v>
      </c>
      <c r="Y141" s="7">
        <v>8717769.1499999985</v>
      </c>
      <c r="Z141" s="725"/>
      <c r="AA141" s="3"/>
      <c r="AB141" s="3"/>
      <c r="AC141" s="4">
        <f t="shared" si="129"/>
        <v>0</v>
      </c>
      <c r="AD141" s="4"/>
      <c r="AE141" s="7"/>
      <c r="AF141" s="725"/>
      <c r="AG141" s="3"/>
      <c r="AH141" s="3"/>
      <c r="AI141" s="4">
        <f t="shared" si="117"/>
        <v>0</v>
      </c>
      <c r="AJ141" s="4"/>
      <c r="AK141" s="7"/>
      <c r="AL141" s="725">
        <v>71</v>
      </c>
      <c r="AM141" s="3"/>
      <c r="AN141" s="3"/>
      <c r="AO141" s="4">
        <f t="shared" si="130"/>
        <v>0</v>
      </c>
      <c r="AP141" s="4"/>
      <c r="AQ141" s="7">
        <v>288980</v>
      </c>
      <c r="AR141" s="725">
        <v>702</v>
      </c>
      <c r="AS141" s="3">
        <v>0</v>
      </c>
      <c r="AT141" s="3">
        <v>694</v>
      </c>
      <c r="AU141" s="4">
        <f t="shared" si="105"/>
        <v>694</v>
      </c>
      <c r="AV141" s="4">
        <v>308.13600000000002</v>
      </c>
      <c r="AW141" s="7">
        <v>7395264.0000000009</v>
      </c>
      <c r="AX141" s="725"/>
      <c r="AY141" s="3"/>
      <c r="AZ141" s="3"/>
      <c r="BA141" s="4">
        <f t="shared" si="131"/>
        <v>0</v>
      </c>
      <c r="BB141" s="4"/>
      <c r="BC141" s="7"/>
      <c r="BD141" s="725"/>
      <c r="BE141" s="3"/>
      <c r="BF141" s="3"/>
      <c r="BG141" s="4">
        <f t="shared" si="132"/>
        <v>0</v>
      </c>
      <c r="BH141" s="4"/>
      <c r="BI141" s="7"/>
      <c r="BJ141" s="8"/>
      <c r="BK141" s="3"/>
      <c r="BL141" s="3"/>
      <c r="BM141" s="4">
        <f t="shared" si="133"/>
        <v>0</v>
      </c>
      <c r="BN141" s="4"/>
      <c r="BO141" s="7"/>
      <c r="BP141" s="725"/>
      <c r="BQ141" s="3"/>
      <c r="BR141" s="3"/>
      <c r="BS141" s="4">
        <f t="shared" si="134"/>
        <v>0</v>
      </c>
      <c r="BT141" s="4"/>
      <c r="BU141" s="7"/>
      <c r="BV141" s="725"/>
      <c r="BW141" s="3"/>
      <c r="BX141" s="3"/>
      <c r="BY141" s="4">
        <f t="shared" si="135"/>
        <v>0</v>
      </c>
      <c r="BZ141" s="4"/>
      <c r="CA141" s="7"/>
      <c r="CB141" s="725"/>
      <c r="CC141" s="3"/>
      <c r="CD141" s="3"/>
      <c r="CE141" s="4">
        <f t="shared" si="136"/>
        <v>0</v>
      </c>
      <c r="CF141" s="4"/>
      <c r="CG141" s="7"/>
      <c r="CH141" s="725"/>
      <c r="CI141" s="3"/>
      <c r="CJ141" s="3"/>
      <c r="CK141" s="4">
        <f t="shared" si="137"/>
        <v>0</v>
      </c>
      <c r="CL141" s="4"/>
      <c r="CM141" s="7"/>
      <c r="CN141" s="725"/>
      <c r="CO141" s="3"/>
      <c r="CP141" s="3"/>
      <c r="CQ141" s="4">
        <f t="shared" si="138"/>
        <v>0</v>
      </c>
      <c r="CR141" s="4"/>
      <c r="CS141" s="7"/>
    </row>
    <row r="142" spans="1:97" ht="16.5" x14ac:dyDescent="0.3">
      <c r="A142" s="709" t="s">
        <v>459</v>
      </c>
      <c r="B142" s="725"/>
      <c r="C142" s="3"/>
      <c r="D142" s="3"/>
      <c r="E142" s="4">
        <f t="shared" si="125"/>
        <v>0</v>
      </c>
      <c r="G142" s="7"/>
      <c r="H142" s="725">
        <v>759</v>
      </c>
      <c r="I142" s="3">
        <v>0</v>
      </c>
      <c r="J142" s="3">
        <v>600.9</v>
      </c>
      <c r="K142" s="4">
        <f>SUM(I142:J142)</f>
        <v>600.9</v>
      </c>
      <c r="L142" s="4">
        <v>48</v>
      </c>
      <c r="M142" s="7">
        <v>0</v>
      </c>
      <c r="N142" s="725"/>
      <c r="O142" s="3"/>
      <c r="P142" s="3"/>
      <c r="Q142" s="4">
        <f t="shared" si="127"/>
        <v>0</v>
      </c>
      <c r="R142" s="4"/>
      <c r="S142" s="7"/>
      <c r="T142" s="725">
        <v>0</v>
      </c>
      <c r="U142" s="3">
        <v>0</v>
      </c>
      <c r="V142" s="3">
        <v>1780.7200000000003</v>
      </c>
      <c r="W142" s="4">
        <f t="shared" si="128"/>
        <v>1780.7200000000003</v>
      </c>
      <c r="X142" s="4">
        <v>4397.4445999999998</v>
      </c>
      <c r="Y142" s="7">
        <v>76794249.320000008</v>
      </c>
      <c r="Z142" s="725"/>
      <c r="AA142" s="3"/>
      <c r="AB142" s="3"/>
      <c r="AC142" s="4">
        <f t="shared" si="129"/>
        <v>0</v>
      </c>
      <c r="AD142" s="4"/>
      <c r="AE142" s="7"/>
      <c r="AF142" s="725">
        <v>58</v>
      </c>
      <c r="AG142" s="3">
        <v>3.5</v>
      </c>
      <c r="AH142" s="3">
        <v>56</v>
      </c>
      <c r="AI142" s="4">
        <f t="shared" si="117"/>
        <v>59.5</v>
      </c>
      <c r="AJ142" s="4">
        <v>32.590000000000003</v>
      </c>
      <c r="AK142" s="7">
        <v>674765.8</v>
      </c>
      <c r="AL142" s="725">
        <v>244</v>
      </c>
      <c r="AM142" s="3">
        <v>4.4000000000000004</v>
      </c>
      <c r="AN142" s="3">
        <v>1.2</v>
      </c>
      <c r="AO142" s="4">
        <f t="shared" si="130"/>
        <v>5.6000000000000005</v>
      </c>
      <c r="AP142" s="4"/>
      <c r="AQ142" s="7">
        <v>1396535.8399999999</v>
      </c>
      <c r="AR142" s="725">
        <v>1423</v>
      </c>
      <c r="AS142" s="3">
        <v>0</v>
      </c>
      <c r="AT142" s="3">
        <v>1565</v>
      </c>
      <c r="AU142" s="4">
        <f t="shared" si="105"/>
        <v>1565</v>
      </c>
      <c r="AV142" s="4">
        <v>732.42000000000007</v>
      </c>
      <c r="AW142" s="7">
        <v>17578080</v>
      </c>
      <c r="AX142" s="725"/>
      <c r="AY142" s="3"/>
      <c r="AZ142" s="3"/>
      <c r="BA142" s="4">
        <f t="shared" si="131"/>
        <v>0</v>
      </c>
      <c r="BB142" s="4"/>
      <c r="BC142" s="7"/>
      <c r="BD142" s="725"/>
      <c r="BE142" s="3"/>
      <c r="BF142" s="3"/>
      <c r="BG142" s="4">
        <f t="shared" si="132"/>
        <v>0</v>
      </c>
      <c r="BH142" s="4"/>
      <c r="BI142" s="7"/>
      <c r="BJ142" s="8"/>
      <c r="BK142" s="3"/>
      <c r="BL142" s="3"/>
      <c r="BM142" s="4">
        <f t="shared" si="133"/>
        <v>0</v>
      </c>
      <c r="BN142" s="4"/>
      <c r="BO142" s="7"/>
      <c r="BP142" s="725"/>
      <c r="BQ142" s="3"/>
      <c r="BR142" s="3"/>
      <c r="BS142" s="4">
        <f t="shared" si="134"/>
        <v>0</v>
      </c>
      <c r="BT142" s="4"/>
      <c r="BU142" s="7"/>
      <c r="BV142" s="725">
        <v>66</v>
      </c>
      <c r="BW142" s="3">
        <v>0</v>
      </c>
      <c r="BX142" s="3">
        <v>14.2</v>
      </c>
      <c r="BY142" s="4">
        <f t="shared" si="135"/>
        <v>14.2</v>
      </c>
      <c r="BZ142" s="4">
        <v>25.936170000000001</v>
      </c>
      <c r="CA142" s="7">
        <v>1008804.2050000001</v>
      </c>
      <c r="CB142" s="725"/>
      <c r="CC142" s="3"/>
      <c r="CD142" s="3"/>
      <c r="CE142" s="4">
        <f t="shared" si="136"/>
        <v>0</v>
      </c>
      <c r="CF142" s="4"/>
      <c r="CG142" s="7"/>
      <c r="CH142" s="725">
        <v>66</v>
      </c>
      <c r="CI142" s="3">
        <v>0</v>
      </c>
      <c r="CJ142" s="3">
        <v>14.2</v>
      </c>
      <c r="CK142" s="4">
        <f t="shared" si="137"/>
        <v>14.2</v>
      </c>
      <c r="CL142" s="4">
        <v>25.936170000000001</v>
      </c>
      <c r="CM142" s="7">
        <v>1008804.2050000001</v>
      </c>
      <c r="CN142" s="725">
        <v>68</v>
      </c>
      <c r="CO142" s="3">
        <v>3.2</v>
      </c>
      <c r="CP142" s="3">
        <v>37.200000000000003</v>
      </c>
      <c r="CQ142" s="4">
        <f t="shared" si="138"/>
        <v>40.400000000000006</v>
      </c>
      <c r="CR142" s="4">
        <v>9.5077500000000015</v>
      </c>
      <c r="CS142" s="7">
        <v>597567.16800000006</v>
      </c>
    </row>
  </sheetData>
  <mergeCells count="16">
    <mergeCell ref="BV8:CA8"/>
    <mergeCell ref="CB8:CG8"/>
    <mergeCell ref="CH8:CM8"/>
    <mergeCell ref="CN8:CS8"/>
    <mergeCell ref="B8:G8"/>
    <mergeCell ref="H8:M8"/>
    <mergeCell ref="N8:S8"/>
    <mergeCell ref="T8:Y8"/>
    <mergeCell ref="Z8:AE8"/>
    <mergeCell ref="BJ8:BO8"/>
    <mergeCell ref="BP8:BU8"/>
    <mergeCell ref="AF8:AK8"/>
    <mergeCell ref="AL8:AQ8"/>
    <mergeCell ref="AR8:AW8"/>
    <mergeCell ref="AX8:BC8"/>
    <mergeCell ref="BD8:BI8"/>
  </mergeCells>
  <phoneticPr fontId="5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4" customWidth="1"/>
    <col min="2" max="2" width="16.42578125" style="14" customWidth="1"/>
    <col min="3" max="3" width="15.28515625" style="22" customWidth="1"/>
    <col min="4" max="4" width="14.85546875" style="22" customWidth="1"/>
    <col min="5" max="5" width="20.85546875" style="15" customWidth="1"/>
    <col min="6" max="6" width="11.85546875" style="18" customWidth="1"/>
    <col min="7" max="7" width="12" style="18" customWidth="1"/>
    <col min="8" max="8" width="11" style="18" customWidth="1"/>
    <col min="9" max="9" width="11" style="14" bestFit="1" customWidth="1"/>
    <col min="10" max="10" width="12" style="21" customWidth="1"/>
    <col min="11" max="11" width="9.28515625" style="20" customWidth="1"/>
    <col min="12" max="12" width="14.85546875" style="19" customWidth="1"/>
    <col min="13" max="13" width="19.28515625" style="16" customWidth="1"/>
    <col min="14" max="14" width="11.42578125" style="18" customWidth="1"/>
    <col min="15" max="15" width="7.7109375" style="17" customWidth="1"/>
    <col min="16" max="16" width="18.140625" style="16" customWidth="1"/>
    <col min="17" max="17" width="15.42578125" style="16" customWidth="1"/>
    <col min="18" max="18" width="34.42578125" style="14" customWidth="1"/>
    <col min="19" max="19" width="18" style="14" customWidth="1"/>
    <col min="20" max="20" width="22.7109375" style="15" customWidth="1"/>
    <col min="21" max="21" width="29.28515625" style="14" customWidth="1"/>
    <col min="22" max="16384" width="11.42578125" style="14"/>
  </cols>
  <sheetData>
    <row r="1" spans="1:21" ht="36" customHeight="1" x14ac:dyDescent="0.25">
      <c r="A1" s="691" t="s">
        <v>187</v>
      </c>
      <c r="B1" s="691"/>
      <c r="C1" s="691"/>
      <c r="D1" s="691"/>
      <c r="E1" s="691"/>
      <c r="F1" s="691"/>
      <c r="G1" s="691"/>
      <c r="H1" s="691"/>
      <c r="I1" s="691"/>
      <c r="J1" s="691"/>
      <c r="K1" s="221"/>
      <c r="L1" s="691"/>
      <c r="M1" s="691"/>
      <c r="N1" s="692"/>
      <c r="O1" s="691"/>
      <c r="P1" s="691"/>
      <c r="Q1" s="691"/>
      <c r="R1" s="691"/>
    </row>
    <row r="2" spans="1:21" ht="18.75" customHeight="1" x14ac:dyDescent="0.25">
      <c r="A2" s="690" t="s">
        <v>323</v>
      </c>
      <c r="B2" s="221"/>
      <c r="C2" s="221"/>
      <c r="D2" s="221"/>
      <c r="E2" s="221"/>
      <c r="F2" s="221"/>
      <c r="G2" s="221"/>
      <c r="H2" s="221"/>
      <c r="I2" s="221"/>
      <c r="J2" s="221"/>
      <c r="K2" s="221"/>
      <c r="L2" s="221"/>
      <c r="M2" s="221"/>
      <c r="N2" s="279"/>
      <c r="O2" s="221"/>
      <c r="P2" s="221"/>
      <c r="Q2" s="221"/>
      <c r="R2" s="221"/>
    </row>
    <row r="3" spans="1:21" ht="18.75" customHeight="1" x14ac:dyDescent="0.25">
      <c r="A3" s="690" t="s">
        <v>322</v>
      </c>
      <c r="B3" s="221"/>
      <c r="C3" s="221"/>
      <c r="D3" s="221"/>
      <c r="E3" s="221"/>
      <c r="F3" s="221"/>
      <c r="G3" s="221"/>
      <c r="H3" s="221"/>
      <c r="I3" s="221"/>
      <c r="J3" s="221"/>
      <c r="K3" s="221"/>
      <c r="L3" s="221"/>
      <c r="M3" s="221"/>
      <c r="N3" s="279"/>
      <c r="O3" s="221"/>
      <c r="P3" s="221"/>
      <c r="Q3" s="221"/>
      <c r="R3" s="221"/>
    </row>
    <row r="4" spans="1:21" ht="18.75" customHeight="1" thickBot="1" x14ac:dyDescent="0.3">
      <c r="A4" s="186"/>
      <c r="B4" s="186"/>
      <c r="C4" s="222"/>
      <c r="D4" s="222"/>
      <c r="E4" s="194"/>
      <c r="F4" s="219"/>
      <c r="G4" s="219"/>
      <c r="H4" s="219"/>
      <c r="I4" s="221"/>
      <c r="J4" s="220"/>
      <c r="K4" s="186"/>
      <c r="L4" s="186"/>
      <c r="M4" s="219"/>
      <c r="N4" s="689"/>
      <c r="O4" s="186"/>
      <c r="P4" s="218"/>
      <c r="Q4" s="218"/>
      <c r="R4" s="186"/>
    </row>
    <row r="5" spans="1:21" ht="21" customHeight="1" x14ac:dyDescent="0.25">
      <c r="A5" s="217" t="s">
        <v>184</v>
      </c>
      <c r="B5" s="216"/>
      <c r="C5" s="215"/>
      <c r="D5" s="215"/>
      <c r="E5" s="214"/>
      <c r="F5" s="208"/>
      <c r="G5" s="208"/>
      <c r="H5" s="213" t="s">
        <v>183</v>
      </c>
      <c r="I5" s="212"/>
      <c r="J5" s="211"/>
      <c r="K5" s="207"/>
      <c r="L5" s="210"/>
      <c r="M5" s="209"/>
      <c r="N5" s="688"/>
      <c r="O5" s="207"/>
      <c r="P5" s="206"/>
      <c r="Q5" s="206"/>
      <c r="R5" s="205"/>
      <c r="T5" s="204"/>
    </row>
    <row r="6" spans="1:21" ht="18.75" customHeight="1" x14ac:dyDescent="0.25">
      <c r="A6" s="197"/>
      <c r="B6" s="196"/>
      <c r="C6" s="195"/>
      <c r="D6" s="195"/>
      <c r="E6" s="194"/>
      <c r="F6" s="193"/>
      <c r="G6" s="193"/>
      <c r="H6" s="203" t="s">
        <v>182</v>
      </c>
      <c r="I6" s="202"/>
      <c r="J6" s="201" t="s">
        <v>181</v>
      </c>
      <c r="K6" s="186"/>
      <c r="L6" s="186"/>
      <c r="M6" s="200"/>
      <c r="N6" s="687"/>
      <c r="O6" s="198"/>
      <c r="P6" s="185"/>
      <c r="Q6" s="185"/>
      <c r="R6" s="184"/>
    </row>
    <row r="7" spans="1:21" ht="18.75" customHeight="1" x14ac:dyDescent="0.25">
      <c r="A7" s="197"/>
      <c r="B7" s="196"/>
      <c r="C7" s="195"/>
      <c r="D7" s="195"/>
      <c r="E7" s="194"/>
      <c r="F7" s="193"/>
      <c r="G7" s="193"/>
      <c r="H7" s="191" t="s">
        <v>180</v>
      </c>
      <c r="I7" s="190"/>
      <c r="J7" s="189"/>
      <c r="K7" s="186" t="s">
        <v>179</v>
      </c>
      <c r="L7" s="186"/>
      <c r="M7" s="188"/>
      <c r="N7" s="187"/>
      <c r="O7" s="186"/>
      <c r="P7" s="185"/>
      <c r="Q7" s="185"/>
      <c r="R7" s="184"/>
    </row>
    <row r="8" spans="1:21" ht="18.75" customHeight="1" x14ac:dyDescent="0.25">
      <c r="A8" s="197"/>
      <c r="B8" s="196"/>
      <c r="C8" s="195"/>
      <c r="D8" s="195"/>
      <c r="E8" s="194"/>
      <c r="F8" s="193"/>
      <c r="G8" s="192"/>
      <c r="H8" s="191" t="s">
        <v>178</v>
      </c>
      <c r="I8" s="190"/>
      <c r="J8" s="189"/>
      <c r="K8" s="186" t="s">
        <v>177</v>
      </c>
      <c r="L8" s="186"/>
      <c r="M8" s="188"/>
      <c r="N8" s="187"/>
      <c r="O8" s="186"/>
      <c r="P8" s="185"/>
      <c r="Q8" s="185"/>
      <c r="R8" s="184"/>
    </row>
    <row r="9" spans="1:21" ht="18.75" customHeight="1" thickBot="1" x14ac:dyDescent="0.3">
      <c r="A9" s="183"/>
      <c r="B9" s="182"/>
      <c r="C9" s="181"/>
      <c r="D9" s="181"/>
      <c r="E9" s="180"/>
      <c r="F9" s="179"/>
      <c r="G9" s="179"/>
      <c r="H9" s="178" t="s">
        <v>176</v>
      </c>
      <c r="I9" s="177"/>
      <c r="J9" s="176"/>
      <c r="K9" s="173" t="s">
        <v>175</v>
      </c>
      <c r="L9" s="173"/>
      <c r="M9" s="175"/>
      <c r="N9" s="174"/>
      <c r="O9" s="173"/>
      <c r="P9" s="172"/>
      <c r="Q9" s="172"/>
      <c r="R9" s="171"/>
    </row>
    <row r="10" spans="1:21" ht="18.600000000000001" customHeight="1" thickBot="1" x14ac:dyDescent="0.3">
      <c r="A10" s="738" t="s">
        <v>174</v>
      </c>
      <c r="B10" s="739"/>
      <c r="C10" s="739"/>
      <c r="D10" s="739"/>
      <c r="E10" s="739"/>
      <c r="F10" s="739"/>
      <c r="G10" s="739"/>
      <c r="H10" s="739"/>
      <c r="I10" s="739"/>
      <c r="J10" s="739"/>
      <c r="K10" s="739"/>
      <c r="L10" s="739"/>
      <c r="M10" s="739"/>
      <c r="N10" s="739"/>
      <c r="O10" s="739"/>
      <c r="P10" s="739"/>
      <c r="Q10" s="739"/>
      <c r="R10" s="740"/>
      <c r="T10" s="170"/>
    </row>
    <row r="11" spans="1:21" ht="18.75" customHeight="1" x14ac:dyDescent="0.25">
      <c r="A11" s="741" t="s">
        <v>173</v>
      </c>
      <c r="B11" s="747" t="s">
        <v>172</v>
      </c>
      <c r="C11" s="744" t="s">
        <v>171</v>
      </c>
      <c r="D11" s="745" t="s">
        <v>170</v>
      </c>
      <c r="E11" s="753" t="s">
        <v>169</v>
      </c>
      <c r="F11" s="755" t="s">
        <v>168</v>
      </c>
      <c r="G11" s="756"/>
      <c r="H11" s="757"/>
      <c r="I11" s="761" t="s">
        <v>167</v>
      </c>
      <c r="J11" s="762"/>
      <c r="K11" s="765" t="s">
        <v>166</v>
      </c>
      <c r="L11" s="748" t="s">
        <v>165</v>
      </c>
      <c r="M11" s="749"/>
      <c r="N11" s="749"/>
      <c r="O11" s="749"/>
      <c r="P11" s="749"/>
      <c r="Q11" s="169"/>
      <c r="R11" s="750" t="s">
        <v>164</v>
      </c>
      <c r="T11" s="168"/>
    </row>
    <row r="12" spans="1:21" ht="15.75" customHeight="1" x14ac:dyDescent="0.25">
      <c r="A12" s="742"/>
      <c r="B12" s="747"/>
      <c r="C12" s="745"/>
      <c r="D12" s="745"/>
      <c r="E12" s="747"/>
      <c r="F12" s="758"/>
      <c r="G12" s="759"/>
      <c r="H12" s="760"/>
      <c r="I12" s="763"/>
      <c r="J12" s="764"/>
      <c r="K12" s="766"/>
      <c r="L12" s="768" t="s">
        <v>163</v>
      </c>
      <c r="M12" s="769"/>
      <c r="N12" s="768" t="s">
        <v>162</v>
      </c>
      <c r="O12" s="769"/>
      <c r="P12" s="770"/>
      <c r="Q12" s="771" t="s">
        <v>152</v>
      </c>
      <c r="R12" s="751"/>
    </row>
    <row r="13" spans="1:21" s="20" customFormat="1" ht="78.599999999999994" customHeight="1" thickBot="1" x14ac:dyDescent="0.3">
      <c r="A13" s="743"/>
      <c r="B13" s="747"/>
      <c r="C13" s="746"/>
      <c r="D13" s="745"/>
      <c r="E13" s="754"/>
      <c r="F13" s="167" t="s">
        <v>161</v>
      </c>
      <c r="G13" s="167" t="s">
        <v>160</v>
      </c>
      <c r="H13" s="167" t="s">
        <v>159</v>
      </c>
      <c r="I13" s="166" t="s">
        <v>158</v>
      </c>
      <c r="J13" s="165" t="s">
        <v>157</v>
      </c>
      <c r="K13" s="767"/>
      <c r="L13" s="164" t="s">
        <v>156</v>
      </c>
      <c r="M13" s="163" t="s">
        <v>155</v>
      </c>
      <c r="N13" s="686" t="s">
        <v>154</v>
      </c>
      <c r="O13" s="164" t="s">
        <v>153</v>
      </c>
      <c r="P13" s="163" t="s">
        <v>152</v>
      </c>
      <c r="Q13" s="772"/>
      <c r="R13" s="752"/>
    </row>
    <row r="14" spans="1:21" s="64" customFormat="1" ht="19.350000000000001" customHeight="1" x14ac:dyDescent="0.25">
      <c r="A14" s="162" t="s">
        <v>151</v>
      </c>
      <c r="B14" s="161"/>
      <c r="C14" s="160" t="s">
        <v>150</v>
      </c>
      <c r="D14" s="160"/>
      <c r="E14" s="159" t="s">
        <v>149</v>
      </c>
      <c r="F14" s="156" t="s">
        <v>148</v>
      </c>
      <c r="G14" s="156" t="s">
        <v>147</v>
      </c>
      <c r="H14" s="156" t="s">
        <v>146</v>
      </c>
      <c r="I14" s="157" t="s">
        <v>145</v>
      </c>
      <c r="J14" s="158" t="s">
        <v>144</v>
      </c>
      <c r="K14" s="157" t="s">
        <v>143</v>
      </c>
      <c r="L14" s="157" t="s">
        <v>142</v>
      </c>
      <c r="M14" s="156" t="s">
        <v>141</v>
      </c>
      <c r="N14" s="156" t="s">
        <v>140</v>
      </c>
      <c r="O14" s="157" t="s">
        <v>139</v>
      </c>
      <c r="P14" s="156" t="s">
        <v>138</v>
      </c>
      <c r="Q14" s="156" t="s">
        <v>137</v>
      </c>
      <c r="R14" s="155" t="s">
        <v>136</v>
      </c>
      <c r="S14" s="20"/>
      <c r="U14" s="65"/>
    </row>
    <row r="15" spans="1:21" s="64" customFormat="1" ht="19.350000000000001" customHeight="1" x14ac:dyDescent="0.25">
      <c r="A15" s="707" t="s">
        <v>304</v>
      </c>
      <c r="B15" s="707" t="s">
        <v>305</v>
      </c>
      <c r="C15" s="707" t="s">
        <v>306</v>
      </c>
      <c r="D15" s="707" t="s">
        <v>307</v>
      </c>
      <c r="E15" s="707" t="s">
        <v>308</v>
      </c>
      <c r="F15" s="707" t="s">
        <v>309</v>
      </c>
      <c r="G15" s="707" t="s">
        <v>310</v>
      </c>
      <c r="H15" s="707" t="s">
        <v>311</v>
      </c>
      <c r="I15" s="707" t="s">
        <v>312</v>
      </c>
      <c r="J15" s="707" t="s">
        <v>313</v>
      </c>
      <c r="K15" s="707" t="s">
        <v>314</v>
      </c>
      <c r="L15" s="707" t="s">
        <v>315</v>
      </c>
      <c r="M15" s="707" t="s">
        <v>316</v>
      </c>
      <c r="N15" s="707" t="s">
        <v>317</v>
      </c>
      <c r="O15" s="707" t="s">
        <v>318</v>
      </c>
      <c r="P15" s="707" t="s">
        <v>319</v>
      </c>
      <c r="Q15" s="707" t="s">
        <v>320</v>
      </c>
      <c r="R15" s="707" t="s">
        <v>324</v>
      </c>
      <c r="S15" s="20"/>
      <c r="U15" s="65"/>
    </row>
    <row r="16" spans="1:21" s="144" customFormat="1" ht="20.45" customHeight="1" x14ac:dyDescent="0.25">
      <c r="A16" s="152" t="s">
        <v>135</v>
      </c>
      <c r="B16" s="154"/>
      <c r="C16" s="153">
        <f>C51+C58+C64+C42+C17</f>
        <v>11589</v>
      </c>
      <c r="D16" s="153">
        <f>D51+D58+D64+D42+D17</f>
        <v>10710.58</v>
      </c>
      <c r="E16" s="152"/>
      <c r="F16" s="149">
        <f>F51+F58+F64+F42+F17</f>
        <v>3261.873</v>
      </c>
      <c r="G16" s="149">
        <f>G51+G58+G64+G42+G17</f>
        <v>5987.0969999999998</v>
      </c>
      <c r="H16" s="149">
        <f>H51+H58+H64+H42+H17</f>
        <v>9248.9700000000012</v>
      </c>
      <c r="I16" s="151"/>
      <c r="J16" s="149"/>
      <c r="K16" s="149"/>
      <c r="L16" s="150"/>
      <c r="M16" s="149">
        <f>M51+M58+M64+M42+M17</f>
        <v>145112569.89200136</v>
      </c>
      <c r="N16" s="227">
        <f>N51+N58+N64+N42+N17</f>
        <v>11.25</v>
      </c>
      <c r="O16" s="149"/>
      <c r="P16" s="149">
        <f>P51+P58+P64+P42+P17</f>
        <v>0</v>
      </c>
      <c r="Q16" s="148"/>
      <c r="R16" s="147"/>
      <c r="S16" s="146"/>
      <c r="U16" s="145"/>
    </row>
    <row r="17" spans="1:21" s="64" customFormat="1" ht="20.45" customHeight="1" x14ac:dyDescent="0.25">
      <c r="A17" s="133" t="s">
        <v>134</v>
      </c>
      <c r="B17" s="135"/>
      <c r="C17" s="134">
        <f>SUM(C18:C40)</f>
        <v>9920</v>
      </c>
      <c r="D17" s="134">
        <f>SUM(D18:D40)</f>
        <v>9140</v>
      </c>
      <c r="E17" s="133"/>
      <c r="F17" s="130">
        <f>SUM(F18:F40)</f>
        <v>2731.723</v>
      </c>
      <c r="G17" s="130">
        <f>SUM(G18:G40)</f>
        <v>5369.9070000000002</v>
      </c>
      <c r="H17" s="130">
        <f>SUM(H18:H40)</f>
        <v>8101.63</v>
      </c>
      <c r="I17" s="132"/>
      <c r="J17" s="130"/>
      <c r="K17" s="130"/>
      <c r="L17" s="131"/>
      <c r="M17" s="130">
        <f>SUM(M18:M40)</f>
        <v>135063496.29142159</v>
      </c>
      <c r="N17" s="233">
        <f>SUM(N18:N40)</f>
        <v>0</v>
      </c>
      <c r="O17" s="130"/>
      <c r="P17" s="130">
        <f>SUM(P18:P40)</f>
        <v>0</v>
      </c>
      <c r="Q17" s="129"/>
      <c r="R17" s="128"/>
      <c r="S17" s="20"/>
      <c r="U17" s="65"/>
    </row>
    <row r="18" spans="1:21" s="136" customFormat="1" ht="39.6" customHeight="1" x14ac:dyDescent="0.25">
      <c r="A18" s="33" t="s">
        <v>294</v>
      </c>
      <c r="B18" s="127"/>
      <c r="C18" s="126"/>
      <c r="D18" s="126"/>
      <c r="E18" s="682" t="s">
        <v>123</v>
      </c>
      <c r="F18" s="13">
        <f>230/10000</f>
        <v>2.3E-2</v>
      </c>
      <c r="G18" s="13">
        <f>9770/10000</f>
        <v>0.97699999999999998</v>
      </c>
      <c r="H18" s="13">
        <f>F18+G18</f>
        <v>1</v>
      </c>
      <c r="I18" s="94">
        <v>4.08</v>
      </c>
      <c r="J18" s="36">
        <v>1.3</v>
      </c>
      <c r="K18" s="27">
        <f>(I18-J18)/I18</f>
        <v>0.68137254901960786</v>
      </c>
      <c r="L18" s="26">
        <v>7470</v>
      </c>
      <c r="M18" s="25">
        <f>(F18*L18)+(G18*L18*K18)</f>
        <v>5144.5963235294121</v>
      </c>
      <c r="N18" s="237"/>
      <c r="O18" s="24"/>
      <c r="P18" s="9"/>
      <c r="Q18" s="9">
        <f>O18*1000*17</f>
        <v>0</v>
      </c>
      <c r="R18" s="23"/>
      <c r="S18" s="138"/>
      <c r="U18" s="137"/>
    </row>
    <row r="19" spans="1:21" s="136" customFormat="1" ht="25.35" customHeight="1" x14ac:dyDescent="0.25">
      <c r="A19" s="33" t="s">
        <v>7</v>
      </c>
      <c r="B19" s="127"/>
      <c r="C19" s="96">
        <v>64</v>
      </c>
      <c r="D19" s="96">
        <v>100</v>
      </c>
      <c r="E19" s="88" t="s">
        <v>120</v>
      </c>
      <c r="F19" s="38">
        <v>45.6</v>
      </c>
      <c r="G19" s="38">
        <v>8</v>
      </c>
      <c r="H19" s="37">
        <f>F19+G19</f>
        <v>53.6</v>
      </c>
      <c r="I19" s="29">
        <v>4.08</v>
      </c>
      <c r="J19" s="36">
        <v>1.3</v>
      </c>
      <c r="K19" s="79">
        <f>(I19-J19)/I19</f>
        <v>0.68137254901960786</v>
      </c>
      <c r="L19" s="92">
        <v>33464</v>
      </c>
      <c r="M19" s="91">
        <f>(F19*L19)+(G19*L19*K19)</f>
        <v>1708370.0078431375</v>
      </c>
      <c r="N19" s="249"/>
      <c r="O19" s="90"/>
      <c r="P19" s="89"/>
      <c r="Q19" s="9">
        <f>O19*1000*17</f>
        <v>0</v>
      </c>
      <c r="R19" s="23" t="s">
        <v>321</v>
      </c>
      <c r="S19" s="138"/>
      <c r="U19" s="137"/>
    </row>
    <row r="20" spans="1:21" s="701" customFormat="1" ht="25.35" customHeight="1" x14ac:dyDescent="0.25">
      <c r="A20" s="33" t="s">
        <v>26</v>
      </c>
      <c r="B20" s="694"/>
      <c r="C20" s="695">
        <v>482</v>
      </c>
      <c r="D20" s="695">
        <v>448</v>
      </c>
      <c r="E20" s="695">
        <v>0</v>
      </c>
      <c r="F20" s="695">
        <v>390.45</v>
      </c>
      <c r="G20" s="695">
        <v>13.3</v>
      </c>
      <c r="H20" s="695">
        <v>403.75</v>
      </c>
      <c r="I20" s="695">
        <v>8.16</v>
      </c>
      <c r="J20" s="695">
        <v>1.3</v>
      </c>
      <c r="K20" s="695">
        <v>1.6813725490196079</v>
      </c>
      <c r="L20" s="695">
        <v>33464</v>
      </c>
      <c r="M20" s="695">
        <v>13441070.098039215</v>
      </c>
      <c r="N20" s="704"/>
      <c r="O20" s="705"/>
      <c r="P20" s="706"/>
      <c r="Q20" s="698"/>
      <c r="R20" s="699"/>
      <c r="S20" s="700"/>
      <c r="U20" s="702"/>
    </row>
    <row r="21" spans="1:21" s="136" customFormat="1" ht="25.35" customHeight="1" x14ac:dyDescent="0.25">
      <c r="A21" s="33" t="s">
        <v>24</v>
      </c>
      <c r="B21" s="127"/>
      <c r="C21" s="96">
        <v>380</v>
      </c>
      <c r="D21" s="96">
        <v>471</v>
      </c>
      <c r="E21" s="682" t="s">
        <v>123</v>
      </c>
      <c r="F21" s="13">
        <v>320.18</v>
      </c>
      <c r="G21" s="13"/>
      <c r="H21" s="13">
        <f>F21+G21</f>
        <v>320.18</v>
      </c>
      <c r="I21" s="94">
        <v>4.08</v>
      </c>
      <c r="J21" s="36"/>
      <c r="K21" s="27">
        <f>(I21-J21)/I21</f>
        <v>1</v>
      </c>
      <c r="L21" s="26">
        <v>7470</v>
      </c>
      <c r="M21" s="25">
        <f>(F21*L21)+(G21*L21*K21)</f>
        <v>2391744.6</v>
      </c>
      <c r="N21" s="237"/>
      <c r="O21" s="24"/>
      <c r="P21" s="9"/>
      <c r="Q21" s="9">
        <f>O21*1000*17</f>
        <v>0</v>
      </c>
      <c r="R21" s="23" t="s">
        <v>321</v>
      </c>
      <c r="S21" s="138"/>
      <c r="U21" s="137"/>
    </row>
    <row r="22" spans="1:21" s="136" customFormat="1" ht="25.35" customHeight="1" x14ac:dyDescent="0.25">
      <c r="A22" s="33" t="s">
        <v>4</v>
      </c>
      <c r="B22" s="127"/>
      <c r="C22" s="96">
        <v>460</v>
      </c>
      <c r="D22" s="96">
        <v>429</v>
      </c>
      <c r="E22" s="682" t="s">
        <v>123</v>
      </c>
      <c r="F22" s="13">
        <v>429</v>
      </c>
      <c r="G22" s="13"/>
      <c r="H22" s="13">
        <f>F22+G22</f>
        <v>429</v>
      </c>
      <c r="I22" s="94">
        <v>4.08</v>
      </c>
      <c r="J22" s="36"/>
      <c r="K22" s="27">
        <f>(I22-J22)/I22</f>
        <v>1</v>
      </c>
      <c r="L22" s="26">
        <v>7470</v>
      </c>
      <c r="M22" s="25">
        <f>(F22*L22)+(G22*L22*K22)</f>
        <v>3204630</v>
      </c>
      <c r="N22" s="237"/>
      <c r="O22" s="24"/>
      <c r="P22" s="9"/>
      <c r="Q22" s="9">
        <f>O22*1000*17</f>
        <v>0</v>
      </c>
      <c r="R22" s="23" t="s">
        <v>321</v>
      </c>
      <c r="S22" s="138"/>
      <c r="U22" s="137"/>
    </row>
    <row r="23" spans="1:21" s="701" customFormat="1" ht="25.35" customHeight="1" x14ac:dyDescent="0.25">
      <c r="A23" s="33" t="s">
        <v>30</v>
      </c>
      <c r="B23" s="694"/>
      <c r="C23" s="695">
        <v>1280</v>
      </c>
      <c r="D23" s="695">
        <v>1162.5</v>
      </c>
      <c r="E23" s="695">
        <v>0</v>
      </c>
      <c r="F23" s="695">
        <v>245</v>
      </c>
      <c r="G23" s="695">
        <v>866.1</v>
      </c>
      <c r="H23" s="695">
        <v>1111.0999999999999</v>
      </c>
      <c r="I23" s="695">
        <v>8.16</v>
      </c>
      <c r="J23" s="695">
        <v>2.6</v>
      </c>
      <c r="K23" s="695">
        <v>1.3627450980392157</v>
      </c>
      <c r="L23" s="695">
        <v>40934</v>
      </c>
      <c r="M23" s="695">
        <v>14304180.473529413</v>
      </c>
      <c r="N23" s="696"/>
      <c r="O23" s="697"/>
      <c r="P23" s="698"/>
      <c r="Q23" s="698"/>
      <c r="R23" s="699"/>
      <c r="S23" s="700"/>
      <c r="U23" s="702"/>
    </row>
    <row r="24" spans="1:21" s="701" customFormat="1" ht="25.35" customHeight="1" x14ac:dyDescent="0.25">
      <c r="A24" s="33" t="s">
        <v>296</v>
      </c>
      <c r="B24" s="694"/>
      <c r="C24" s="695">
        <v>595</v>
      </c>
      <c r="D24" s="695">
        <v>511</v>
      </c>
      <c r="E24" s="695">
        <v>0</v>
      </c>
      <c r="F24" s="695">
        <v>65</v>
      </c>
      <c r="G24" s="695">
        <v>446</v>
      </c>
      <c r="H24" s="695">
        <v>511</v>
      </c>
      <c r="I24" s="695">
        <v>8.16</v>
      </c>
      <c r="J24" s="695">
        <v>2.6</v>
      </c>
      <c r="K24" s="695">
        <v>1.3627450980392157</v>
      </c>
      <c r="L24" s="695">
        <v>40934</v>
      </c>
      <c r="M24" s="695">
        <v>8841533.3725490198</v>
      </c>
      <c r="N24" s="704"/>
      <c r="O24" s="705"/>
      <c r="P24" s="706"/>
      <c r="Q24" s="698"/>
      <c r="R24" s="699"/>
      <c r="S24" s="700"/>
      <c r="U24" s="702"/>
    </row>
    <row r="25" spans="1:21" s="701" customFormat="1" ht="25.35" customHeight="1" x14ac:dyDescent="0.25">
      <c r="A25" s="33" t="s">
        <v>21</v>
      </c>
      <c r="B25" s="694"/>
      <c r="C25" s="695">
        <v>600</v>
      </c>
      <c r="D25" s="695">
        <v>500</v>
      </c>
      <c r="E25" s="695">
        <v>0</v>
      </c>
      <c r="F25" s="695">
        <v>0</v>
      </c>
      <c r="G25" s="695">
        <v>500</v>
      </c>
      <c r="H25" s="695">
        <v>500</v>
      </c>
      <c r="I25" s="695">
        <v>8.16</v>
      </c>
      <c r="J25" s="695">
        <v>2.6</v>
      </c>
      <c r="K25" s="695">
        <v>1.3627450980392157</v>
      </c>
      <c r="L25" s="695">
        <v>40934</v>
      </c>
      <c r="M25" s="695">
        <v>9098217.7450980395</v>
      </c>
      <c r="N25" s="704"/>
      <c r="O25" s="705"/>
      <c r="P25" s="706"/>
      <c r="Q25" s="698"/>
      <c r="R25" s="699"/>
      <c r="S25" s="700"/>
      <c r="U25" s="702"/>
    </row>
    <row r="26" spans="1:21" s="136" customFormat="1" ht="25.35" customHeight="1" x14ac:dyDescent="0.25">
      <c r="A26" s="33" t="s">
        <v>269</v>
      </c>
      <c r="B26" s="127"/>
      <c r="C26" s="96">
        <v>588</v>
      </c>
      <c r="D26" s="96">
        <v>490</v>
      </c>
      <c r="E26" s="682" t="s">
        <v>123</v>
      </c>
      <c r="F26" s="13"/>
      <c r="G26" s="13">
        <v>490</v>
      </c>
      <c r="H26" s="13">
        <f>F26+G26</f>
        <v>490</v>
      </c>
      <c r="I26" s="94">
        <v>4.08</v>
      </c>
      <c r="J26" s="36">
        <v>1.3</v>
      </c>
      <c r="K26" s="27">
        <f>(I26-J26)/I26</f>
        <v>0.68137254901960786</v>
      </c>
      <c r="L26" s="26">
        <v>7470</v>
      </c>
      <c r="M26" s="25">
        <f>(F26*L26)+(G26*L26*K26)</f>
        <v>2494027.9411764708</v>
      </c>
      <c r="N26" s="237"/>
      <c r="O26" s="24"/>
      <c r="P26" s="9"/>
      <c r="Q26" s="9">
        <f>O26*1000*17</f>
        <v>0</v>
      </c>
      <c r="R26" s="23" t="s">
        <v>321</v>
      </c>
      <c r="S26" s="138"/>
      <c r="U26" s="137"/>
    </row>
    <row r="27" spans="1:21" s="136" customFormat="1" ht="25.35" customHeight="1" x14ac:dyDescent="0.25">
      <c r="A27" s="33" t="s">
        <v>9</v>
      </c>
      <c r="B27" s="127"/>
      <c r="C27" s="96">
        <v>61</v>
      </c>
      <c r="D27" s="96">
        <v>51</v>
      </c>
      <c r="E27" s="682" t="s">
        <v>123</v>
      </c>
      <c r="F27" s="13"/>
      <c r="G27" s="13">
        <v>51</v>
      </c>
      <c r="H27" s="13">
        <f>F27+G27</f>
        <v>51</v>
      </c>
      <c r="I27" s="94">
        <v>4.08</v>
      </c>
      <c r="J27" s="36">
        <v>1.3</v>
      </c>
      <c r="K27" s="27">
        <f>(I27-J27)/I27</f>
        <v>0.68137254901960786</v>
      </c>
      <c r="L27" s="26">
        <v>7470</v>
      </c>
      <c r="M27" s="25">
        <f>(F27*L27)+(G27*L27*K27)</f>
        <v>259582.5</v>
      </c>
      <c r="N27" s="237"/>
      <c r="O27" s="24"/>
      <c r="P27" s="9"/>
      <c r="Q27" s="9">
        <f>O27*1000*17</f>
        <v>0</v>
      </c>
      <c r="R27" s="23" t="s">
        <v>321</v>
      </c>
      <c r="S27" s="138"/>
      <c r="U27" s="137"/>
    </row>
    <row r="28" spans="1:21" s="701" customFormat="1" ht="25.35" customHeight="1" x14ac:dyDescent="0.25">
      <c r="A28" s="693" t="s">
        <v>11</v>
      </c>
      <c r="B28" s="694"/>
      <c r="C28" s="695">
        <v>11</v>
      </c>
      <c r="D28" s="695">
        <v>12</v>
      </c>
      <c r="E28" s="695">
        <v>0</v>
      </c>
      <c r="F28" s="695">
        <v>5</v>
      </c>
      <c r="G28" s="695">
        <v>7</v>
      </c>
      <c r="H28" s="695">
        <v>12</v>
      </c>
      <c r="I28" s="695">
        <v>8.16</v>
      </c>
      <c r="J28" s="695">
        <v>1.3</v>
      </c>
      <c r="K28" s="695">
        <v>1.6813725490196079</v>
      </c>
      <c r="L28" s="695">
        <v>40934</v>
      </c>
      <c r="M28" s="695">
        <v>196960.15686274509</v>
      </c>
      <c r="N28" s="696"/>
      <c r="O28" s="697"/>
      <c r="P28" s="698"/>
      <c r="Q28" s="698"/>
      <c r="R28" s="699"/>
      <c r="S28" s="700"/>
      <c r="U28" s="702"/>
    </row>
    <row r="29" spans="1:21" s="701" customFormat="1" ht="25.35" customHeight="1" x14ac:dyDescent="0.25">
      <c r="A29" s="33" t="s">
        <v>14</v>
      </c>
      <c r="B29" s="694"/>
      <c r="C29" s="695">
        <v>65</v>
      </c>
      <c r="D29" s="695">
        <v>60</v>
      </c>
      <c r="E29" s="695">
        <v>0</v>
      </c>
      <c r="F29" s="695">
        <v>1.72</v>
      </c>
      <c r="G29" s="695">
        <v>58.28</v>
      </c>
      <c r="H29" s="695">
        <v>60</v>
      </c>
      <c r="I29" s="695">
        <v>8.16</v>
      </c>
      <c r="J29" s="695">
        <v>2.6</v>
      </c>
      <c r="K29" s="695">
        <v>1.3627450980392157</v>
      </c>
      <c r="L29" s="695">
        <v>40934</v>
      </c>
      <c r="M29" s="695">
        <v>642539.52549019619</v>
      </c>
      <c r="N29" s="704"/>
      <c r="O29" s="705"/>
      <c r="P29" s="706"/>
      <c r="Q29" s="698"/>
      <c r="R29" s="699"/>
      <c r="S29" s="700"/>
      <c r="U29" s="702"/>
    </row>
    <row r="30" spans="1:21" s="136" customFormat="1" ht="28.35" customHeight="1" x14ac:dyDescent="0.25">
      <c r="A30" s="33" t="s">
        <v>12</v>
      </c>
      <c r="B30" s="127"/>
      <c r="C30" s="96">
        <v>1300</v>
      </c>
      <c r="D30" s="96">
        <v>1200</v>
      </c>
      <c r="E30" s="88" t="s">
        <v>120</v>
      </c>
      <c r="F30" s="38"/>
      <c r="G30" s="685">
        <v>1200</v>
      </c>
      <c r="H30" s="37">
        <f>F30+G30</f>
        <v>1200</v>
      </c>
      <c r="I30" s="29">
        <v>4.08</v>
      </c>
      <c r="J30" s="36">
        <v>1.3</v>
      </c>
      <c r="K30" s="79">
        <f>(I30-J30)/I30</f>
        <v>0.68137254901960786</v>
      </c>
      <c r="L30" s="92">
        <v>33464</v>
      </c>
      <c r="M30" s="91">
        <f>(F30*L30)+(G30*L30*K30)</f>
        <v>27361741.176470589</v>
      </c>
      <c r="N30" s="249"/>
      <c r="O30" s="90"/>
      <c r="P30" s="89"/>
      <c r="Q30" s="9">
        <f>O30*1000*17</f>
        <v>0</v>
      </c>
      <c r="R30" s="23" t="s">
        <v>321</v>
      </c>
      <c r="S30" s="138"/>
      <c r="U30" s="137"/>
    </row>
    <row r="31" spans="1:21" s="136" customFormat="1" ht="25.35" customHeight="1" x14ac:dyDescent="0.25">
      <c r="A31" s="33" t="s">
        <v>13</v>
      </c>
      <c r="B31" s="127"/>
      <c r="C31" s="96">
        <v>1241</v>
      </c>
      <c r="D31" s="96">
        <v>497</v>
      </c>
      <c r="E31" s="682" t="s">
        <v>123</v>
      </c>
      <c r="F31" s="122"/>
      <c r="G31" s="13">
        <v>497</v>
      </c>
      <c r="H31" s="13">
        <f>F31+G31</f>
        <v>497</v>
      </c>
      <c r="I31" s="94">
        <v>4.08</v>
      </c>
      <c r="J31" s="36">
        <v>2.04</v>
      </c>
      <c r="K31" s="27">
        <f>(I31-J31)/I31</f>
        <v>0.5</v>
      </c>
      <c r="L31" s="26">
        <v>7470</v>
      </c>
      <c r="M31" s="25">
        <f>(F31*L31)+(G31*L31*K31)</f>
        <v>1856295</v>
      </c>
      <c r="N31" s="237"/>
      <c r="O31" s="24"/>
      <c r="P31" s="9"/>
      <c r="Q31" s="9">
        <f>O31*1000*17</f>
        <v>0</v>
      </c>
      <c r="R31" s="23" t="s">
        <v>321</v>
      </c>
      <c r="S31" s="138"/>
      <c r="U31" s="137"/>
    </row>
    <row r="32" spans="1:21" s="136" customFormat="1" ht="25.35" customHeight="1" x14ac:dyDescent="0.25">
      <c r="A32" s="33" t="s">
        <v>15</v>
      </c>
      <c r="B32" s="127"/>
      <c r="C32" s="96">
        <v>275</v>
      </c>
      <c r="D32" s="96">
        <v>247</v>
      </c>
      <c r="E32" s="682" t="s">
        <v>123</v>
      </c>
      <c r="F32" s="13"/>
      <c r="G32" s="13">
        <v>247</v>
      </c>
      <c r="H32" s="13">
        <f>F32+G32</f>
        <v>247</v>
      </c>
      <c r="I32" s="94">
        <v>4.08</v>
      </c>
      <c r="J32" s="36">
        <v>1.3</v>
      </c>
      <c r="K32" s="27">
        <f>(I32-J32)/I32</f>
        <v>0.68137254901960786</v>
      </c>
      <c r="L32" s="26">
        <v>7470</v>
      </c>
      <c r="M32" s="25">
        <f>(F32*L32)+(G32*L32*K32)</f>
        <v>1257193.6764705882</v>
      </c>
      <c r="N32" s="237"/>
      <c r="O32" s="24"/>
      <c r="P32" s="9"/>
      <c r="Q32" s="9">
        <f>O32*1000*17</f>
        <v>0</v>
      </c>
      <c r="R32" s="23" t="s">
        <v>321</v>
      </c>
      <c r="S32" s="138"/>
      <c r="U32" s="137"/>
    </row>
    <row r="33" spans="1:21" s="701" customFormat="1" ht="25.35" customHeight="1" x14ac:dyDescent="0.25">
      <c r="A33" s="33" t="s">
        <v>19</v>
      </c>
      <c r="B33" s="694"/>
      <c r="C33" s="695">
        <v>35</v>
      </c>
      <c r="D33" s="695">
        <v>28</v>
      </c>
      <c r="E33" s="695">
        <v>0</v>
      </c>
      <c r="F33" s="695">
        <v>28</v>
      </c>
      <c r="G33" s="695">
        <v>0</v>
      </c>
      <c r="H33" s="695">
        <v>28</v>
      </c>
      <c r="I33" s="695">
        <v>12.24</v>
      </c>
      <c r="J33" s="695">
        <v>0</v>
      </c>
      <c r="K33" s="695">
        <v>3</v>
      </c>
      <c r="L33" s="695">
        <v>40934</v>
      </c>
      <c r="M33" s="695">
        <v>644868</v>
      </c>
      <c r="N33" s="696"/>
      <c r="O33" s="697"/>
      <c r="P33" s="698"/>
      <c r="Q33" s="698"/>
      <c r="R33" s="699"/>
      <c r="S33" s="700"/>
      <c r="U33" s="702"/>
    </row>
    <row r="34" spans="1:21" s="701" customFormat="1" ht="25.35" customHeight="1" x14ac:dyDescent="0.25">
      <c r="A34" s="693" t="s">
        <v>25</v>
      </c>
      <c r="B34" s="694"/>
      <c r="C34" s="695">
        <v>270</v>
      </c>
      <c r="D34" s="695">
        <v>220</v>
      </c>
      <c r="E34" s="695">
        <v>0</v>
      </c>
      <c r="F34" s="695">
        <v>0</v>
      </c>
      <c r="G34" s="695">
        <v>220</v>
      </c>
      <c r="H34" s="695">
        <v>220</v>
      </c>
      <c r="I34" s="695">
        <v>8.16</v>
      </c>
      <c r="J34" s="695">
        <v>3.34</v>
      </c>
      <c r="K34" s="695">
        <v>1.1813725490196079</v>
      </c>
      <c r="L34" s="695">
        <v>40934</v>
      </c>
      <c r="M34" s="695">
        <v>1012364.5098039216</v>
      </c>
      <c r="N34" s="696"/>
      <c r="O34" s="697"/>
      <c r="P34" s="698"/>
      <c r="Q34" s="698"/>
      <c r="R34" s="699"/>
      <c r="S34" s="700"/>
      <c r="U34" s="702"/>
    </row>
    <row r="35" spans="1:21" s="136" customFormat="1" ht="25.35" customHeight="1" x14ac:dyDescent="0.25">
      <c r="A35" s="33" t="s">
        <v>18</v>
      </c>
      <c r="B35" s="127"/>
      <c r="C35" s="96">
        <v>2</v>
      </c>
      <c r="D35" s="96">
        <v>94</v>
      </c>
      <c r="E35" s="682" t="s">
        <v>123</v>
      </c>
      <c r="F35" s="13"/>
      <c r="G35" s="13">
        <v>4</v>
      </c>
      <c r="H35" s="13">
        <f>F35+G35</f>
        <v>4</v>
      </c>
      <c r="I35" s="94">
        <v>4.08</v>
      </c>
      <c r="J35" s="36">
        <v>2.04</v>
      </c>
      <c r="K35" s="27">
        <f>(I35-J35)/I35</f>
        <v>0.5</v>
      </c>
      <c r="L35" s="26">
        <v>7470</v>
      </c>
      <c r="M35" s="25">
        <f>(F35*L35)+(G35*L35*K35)</f>
        <v>14940</v>
      </c>
      <c r="N35" s="237"/>
      <c r="O35" s="24"/>
      <c r="P35" s="9"/>
      <c r="Q35" s="9">
        <f>O35*1000*17</f>
        <v>0</v>
      </c>
      <c r="R35" s="23" t="s">
        <v>321</v>
      </c>
      <c r="S35" s="138"/>
      <c r="U35" s="137"/>
    </row>
    <row r="36" spans="1:21" s="701" customFormat="1" ht="25.35" customHeight="1" x14ac:dyDescent="0.25">
      <c r="A36" s="693" t="s">
        <v>293</v>
      </c>
      <c r="B36" s="694"/>
      <c r="C36" s="695">
        <v>514</v>
      </c>
      <c r="D36" s="695">
        <v>1135</v>
      </c>
      <c r="E36" s="695">
        <v>0</v>
      </c>
      <c r="F36" s="695">
        <v>495.75</v>
      </c>
      <c r="G36" s="695">
        <v>1.25</v>
      </c>
      <c r="H36" s="695">
        <v>497</v>
      </c>
      <c r="I36" s="695">
        <v>8.16</v>
      </c>
      <c r="J36" s="695">
        <v>2.6</v>
      </c>
      <c r="K36" s="695">
        <v>1.3627450980392157</v>
      </c>
      <c r="L36" s="695">
        <v>33464</v>
      </c>
      <c r="M36" s="695">
        <v>16675775</v>
      </c>
      <c r="N36" s="696"/>
      <c r="O36" s="697"/>
      <c r="P36" s="698"/>
      <c r="Q36" s="698"/>
      <c r="R36" s="699"/>
      <c r="S36" s="700"/>
      <c r="U36" s="702"/>
    </row>
    <row r="37" spans="1:21" s="701" customFormat="1" ht="25.35" customHeight="1" x14ac:dyDescent="0.25">
      <c r="A37" s="33" t="s">
        <v>259</v>
      </c>
      <c r="B37" s="694"/>
      <c r="C37" s="695">
        <v>54</v>
      </c>
      <c r="D37" s="695">
        <v>50.5</v>
      </c>
      <c r="E37" s="695">
        <v>0</v>
      </c>
      <c r="F37" s="695">
        <v>34</v>
      </c>
      <c r="G37" s="695">
        <v>0</v>
      </c>
      <c r="H37" s="695">
        <v>34</v>
      </c>
      <c r="I37" s="695">
        <v>12.24</v>
      </c>
      <c r="J37" s="695">
        <v>0</v>
      </c>
      <c r="K37" s="695">
        <v>3</v>
      </c>
      <c r="L37" s="695">
        <v>40934</v>
      </c>
      <c r="M37" s="695">
        <v>1516540</v>
      </c>
      <c r="N37" s="696"/>
      <c r="O37" s="697"/>
      <c r="P37" s="698"/>
      <c r="Q37" s="698"/>
      <c r="R37" s="699"/>
      <c r="S37" s="700"/>
      <c r="U37" s="702"/>
    </row>
    <row r="38" spans="1:21" s="701" customFormat="1" ht="25.35" customHeight="1" x14ac:dyDescent="0.25">
      <c r="A38" s="33" t="s">
        <v>23</v>
      </c>
      <c r="B38" s="694"/>
      <c r="C38" s="695">
        <v>1165</v>
      </c>
      <c r="D38" s="695">
        <v>987</v>
      </c>
      <c r="E38" s="695">
        <v>0</v>
      </c>
      <c r="F38" s="695">
        <v>671</v>
      </c>
      <c r="G38" s="695">
        <v>314</v>
      </c>
      <c r="H38" s="695">
        <v>985</v>
      </c>
      <c r="I38" s="695">
        <v>8.16</v>
      </c>
      <c r="J38" s="695">
        <v>2.6</v>
      </c>
      <c r="K38" s="695">
        <v>1.3627450980392157</v>
      </c>
      <c r="L38" s="695">
        <v>40934</v>
      </c>
      <c r="M38" s="695">
        <v>20641864.696078431</v>
      </c>
      <c r="N38" s="696"/>
      <c r="O38" s="697"/>
      <c r="P38" s="698"/>
      <c r="Q38" s="698"/>
      <c r="R38" s="699"/>
      <c r="S38" s="700"/>
      <c r="U38" s="703"/>
    </row>
    <row r="39" spans="1:21" s="701" customFormat="1" ht="25.35" customHeight="1" x14ac:dyDescent="0.25">
      <c r="A39" s="693" t="s">
        <v>17</v>
      </c>
      <c r="B39" s="694"/>
      <c r="C39" s="695">
        <v>450</v>
      </c>
      <c r="D39" s="695">
        <v>434</v>
      </c>
      <c r="E39" s="695">
        <v>0</v>
      </c>
      <c r="F39" s="695">
        <v>0</v>
      </c>
      <c r="G39" s="695">
        <v>434</v>
      </c>
      <c r="H39" s="695">
        <v>434</v>
      </c>
      <c r="I39" s="695">
        <v>8.16</v>
      </c>
      <c r="J39" s="695">
        <v>1.3</v>
      </c>
      <c r="K39" s="695">
        <v>1.6813725490196079</v>
      </c>
      <c r="L39" s="695">
        <v>40934</v>
      </c>
      <c r="M39" s="695">
        <v>7212825.8039215691</v>
      </c>
      <c r="N39" s="696"/>
      <c r="O39" s="697"/>
      <c r="P39" s="698"/>
      <c r="Q39" s="698"/>
      <c r="R39" s="699"/>
      <c r="S39" s="700"/>
      <c r="U39" s="702"/>
    </row>
    <row r="40" spans="1:21" s="701" customFormat="1" ht="25.35" customHeight="1" x14ac:dyDescent="0.25">
      <c r="A40" s="693" t="s">
        <v>8</v>
      </c>
      <c r="B40" s="694"/>
      <c r="C40" s="695">
        <v>28</v>
      </c>
      <c r="D40" s="695">
        <v>13</v>
      </c>
      <c r="E40" s="695">
        <v>0</v>
      </c>
      <c r="F40" s="695">
        <v>1</v>
      </c>
      <c r="G40" s="695">
        <v>12</v>
      </c>
      <c r="H40" s="695">
        <v>13</v>
      </c>
      <c r="I40" s="695">
        <v>8.16</v>
      </c>
      <c r="J40" s="695">
        <v>1.3</v>
      </c>
      <c r="K40" s="695">
        <v>1.6813725490196079</v>
      </c>
      <c r="L40" s="695">
        <v>40934</v>
      </c>
      <c r="M40" s="695">
        <v>281087.4117647059</v>
      </c>
      <c r="N40" s="704"/>
      <c r="O40" s="705"/>
      <c r="P40" s="706"/>
      <c r="Q40" s="698"/>
      <c r="R40" s="699"/>
      <c r="S40" s="700"/>
      <c r="U40" s="702"/>
    </row>
    <row r="41" spans="1:21" s="136" customFormat="1" ht="15.75" x14ac:dyDescent="0.25">
      <c r="A41" s="125"/>
      <c r="B41" s="127"/>
      <c r="C41" s="683"/>
      <c r="D41" s="683"/>
      <c r="E41" s="683"/>
      <c r="F41" s="683"/>
      <c r="G41" s="683"/>
      <c r="H41" s="683"/>
      <c r="I41" s="683"/>
      <c r="J41" s="683"/>
      <c r="K41" s="683"/>
      <c r="L41" s="683"/>
      <c r="M41" s="683"/>
      <c r="N41" s="684"/>
      <c r="O41" s="683"/>
      <c r="P41" s="683"/>
      <c r="Q41" s="683"/>
      <c r="R41" s="683"/>
      <c r="S41" s="138"/>
      <c r="U41" s="137"/>
    </row>
    <row r="42" spans="1:21" s="64" customFormat="1" ht="20.45" customHeight="1" x14ac:dyDescent="0.25">
      <c r="A42" s="133" t="s">
        <v>48</v>
      </c>
      <c r="B42" s="135"/>
      <c r="C42" s="134">
        <f>SUM(C43:C49)</f>
        <v>1114</v>
      </c>
      <c r="D42" s="134">
        <f>SUM(D43:D49)</f>
        <v>745.75</v>
      </c>
      <c r="E42" s="133"/>
      <c r="F42" s="130">
        <f>SUM(F43:F49)</f>
        <v>523.15000000000009</v>
      </c>
      <c r="G42" s="130">
        <f>SUM(G43:G49)</f>
        <v>231.35000000000002</v>
      </c>
      <c r="H42" s="130">
        <f>SUM(H43:H49)</f>
        <v>754.5</v>
      </c>
      <c r="I42" s="132"/>
      <c r="J42" s="130"/>
      <c r="K42" s="130"/>
      <c r="L42" s="131"/>
      <c r="M42" s="130">
        <f>SUM(M43:M49)</f>
        <v>7877378.5417777775</v>
      </c>
      <c r="N42" s="233">
        <f>SUM(N43:N49)</f>
        <v>11.25</v>
      </c>
      <c r="O42" s="130"/>
      <c r="P42" s="130">
        <f>SUM(P43:P49)</f>
        <v>0</v>
      </c>
      <c r="Q42" s="129"/>
      <c r="R42" s="128"/>
      <c r="S42" s="20"/>
      <c r="U42" s="65"/>
    </row>
    <row r="43" spans="1:21" s="136" customFormat="1" ht="20.45" customHeight="1" x14ac:dyDescent="0.25">
      <c r="A43" s="87" t="s">
        <v>47</v>
      </c>
      <c r="B43" s="86"/>
      <c r="C43" s="85">
        <v>16</v>
      </c>
      <c r="D43" s="85">
        <v>14</v>
      </c>
      <c r="E43" s="682" t="s">
        <v>123</v>
      </c>
      <c r="F43" s="13">
        <v>14</v>
      </c>
      <c r="G43" s="13"/>
      <c r="H43" s="13">
        <f>F43+G43</f>
        <v>14</v>
      </c>
      <c r="I43" s="94">
        <v>4.5</v>
      </c>
      <c r="J43" s="36"/>
      <c r="K43" s="27">
        <f>(I43-J43)/I43</f>
        <v>1</v>
      </c>
      <c r="L43" s="26">
        <v>7470</v>
      </c>
      <c r="M43" s="25">
        <f>(F43*L43)+(G43*L43*K43)</f>
        <v>104580</v>
      </c>
      <c r="N43" s="237"/>
      <c r="O43" s="24"/>
      <c r="P43" s="9"/>
      <c r="Q43" s="9">
        <f>O43*1000*17</f>
        <v>0</v>
      </c>
      <c r="R43" s="23" t="s">
        <v>321</v>
      </c>
      <c r="S43" s="138"/>
      <c r="U43" s="137"/>
    </row>
    <row r="44" spans="1:21" s="136" customFormat="1" ht="20.45" customHeight="1" x14ac:dyDescent="0.25">
      <c r="A44" s="87" t="s">
        <v>48</v>
      </c>
      <c r="B44" s="86"/>
      <c r="C44" s="85">
        <v>1</v>
      </c>
      <c r="D44" s="85">
        <v>1</v>
      </c>
      <c r="E44" s="682" t="s">
        <v>123</v>
      </c>
      <c r="F44" s="13">
        <v>0.75</v>
      </c>
      <c r="G44" s="13"/>
      <c r="H44" s="13">
        <f>F44+G44</f>
        <v>0.75</v>
      </c>
      <c r="I44" s="94">
        <v>4.5</v>
      </c>
      <c r="J44" s="36"/>
      <c r="K44" s="27">
        <f>(I44-J44)/I44</f>
        <v>1</v>
      </c>
      <c r="L44" s="26">
        <v>7470</v>
      </c>
      <c r="M44" s="25">
        <f>(F44*L44)+(G44*L44*K44)</f>
        <v>5602.5</v>
      </c>
      <c r="N44" s="237"/>
      <c r="O44" s="24"/>
      <c r="P44" s="9"/>
      <c r="Q44" s="9">
        <f>O44*1000*17</f>
        <v>0</v>
      </c>
      <c r="R44" s="23" t="s">
        <v>321</v>
      </c>
      <c r="S44" s="138"/>
      <c r="U44" s="137"/>
    </row>
    <row r="45" spans="1:21" s="136" customFormat="1" ht="20.45" customHeight="1" x14ac:dyDescent="0.25">
      <c r="A45" s="87" t="s">
        <v>49</v>
      </c>
      <c r="B45" s="86"/>
      <c r="C45" s="85">
        <v>3</v>
      </c>
      <c r="D45" s="85">
        <v>5</v>
      </c>
      <c r="E45" s="682" t="s">
        <v>123</v>
      </c>
      <c r="F45" s="13">
        <v>5</v>
      </c>
      <c r="G45" s="13"/>
      <c r="H45" s="13">
        <f>F45+G45</f>
        <v>5</v>
      </c>
      <c r="I45" s="94">
        <v>4.5</v>
      </c>
      <c r="J45" s="36"/>
      <c r="K45" s="27">
        <f>(I45-J45)/I45</f>
        <v>1</v>
      </c>
      <c r="L45" s="26">
        <v>7470</v>
      </c>
      <c r="M45" s="25">
        <f>(F45*L45)+(G45*L45*K45)</f>
        <v>37350</v>
      </c>
      <c r="N45" s="237"/>
      <c r="O45" s="24"/>
      <c r="P45" s="9"/>
      <c r="Q45" s="9">
        <f>O45*1000*17</f>
        <v>0</v>
      </c>
      <c r="R45" s="23" t="s">
        <v>321</v>
      </c>
      <c r="S45" s="138"/>
      <c r="U45" s="137"/>
    </row>
    <row r="46" spans="1:21" s="701" customFormat="1" ht="20.45" customHeight="1" x14ac:dyDescent="0.25">
      <c r="A46" s="659" t="s">
        <v>51</v>
      </c>
      <c r="B46" s="651"/>
      <c r="C46" s="695">
        <v>75</v>
      </c>
      <c r="D46" s="695">
        <v>56</v>
      </c>
      <c r="E46" s="695">
        <v>0</v>
      </c>
      <c r="F46" s="695">
        <v>56</v>
      </c>
      <c r="G46" s="695">
        <v>17</v>
      </c>
      <c r="H46" s="695">
        <v>73</v>
      </c>
      <c r="I46" s="695">
        <v>9</v>
      </c>
      <c r="J46" s="695">
        <v>1.3</v>
      </c>
      <c r="K46" s="695">
        <v>1.7111111111111112</v>
      </c>
      <c r="L46" s="695">
        <v>7470</v>
      </c>
      <c r="M46" s="695">
        <v>1060864</v>
      </c>
      <c r="N46" s="696"/>
      <c r="O46" s="697"/>
      <c r="P46" s="698"/>
      <c r="Q46" s="698"/>
      <c r="R46" s="699"/>
      <c r="S46" s="700"/>
      <c r="U46" s="702"/>
    </row>
    <row r="47" spans="1:21" s="136" customFormat="1" ht="23.45" customHeight="1" x14ac:dyDescent="0.25">
      <c r="A47" s="87" t="s">
        <v>52</v>
      </c>
      <c r="B47" s="127"/>
      <c r="C47" s="96">
        <v>1</v>
      </c>
      <c r="D47" s="96">
        <v>2.5</v>
      </c>
      <c r="E47" s="31" t="s">
        <v>107</v>
      </c>
      <c r="F47" s="13">
        <v>2.5</v>
      </c>
      <c r="G47" s="13"/>
      <c r="H47" s="30">
        <f>F47+G47</f>
        <v>2.5</v>
      </c>
      <c r="I47" s="94">
        <v>4.5</v>
      </c>
      <c r="J47" s="28"/>
      <c r="K47" s="27">
        <f>(I47-J47)/I47</f>
        <v>1</v>
      </c>
      <c r="L47" s="26"/>
      <c r="M47" s="9">
        <f>N47*1000*O47</f>
        <v>191250</v>
      </c>
      <c r="N47" s="237">
        <f>(F47*I47)+(G47*K47*I47)</f>
        <v>11.25</v>
      </c>
      <c r="O47" s="24">
        <v>17</v>
      </c>
      <c r="Q47" s="9">
        <f>O47*1000*17</f>
        <v>289000</v>
      </c>
      <c r="R47" s="23" t="s">
        <v>321</v>
      </c>
      <c r="S47" s="138"/>
      <c r="U47" s="137"/>
    </row>
    <row r="48" spans="1:21" s="136" customFormat="1" ht="20.45" customHeight="1" x14ac:dyDescent="0.25">
      <c r="A48" s="87" t="s">
        <v>53</v>
      </c>
      <c r="B48" s="86"/>
      <c r="C48" s="85">
        <v>368</v>
      </c>
      <c r="D48" s="85">
        <v>123.25</v>
      </c>
      <c r="E48" s="682" t="s">
        <v>123</v>
      </c>
      <c r="F48" s="13">
        <v>97.86</v>
      </c>
      <c r="G48" s="13">
        <v>25.39</v>
      </c>
      <c r="H48" s="13">
        <f>F48+G48</f>
        <v>123.25</v>
      </c>
      <c r="I48" s="94">
        <v>4.5</v>
      </c>
      <c r="J48" s="36">
        <v>1.3</v>
      </c>
      <c r="K48" s="27">
        <f>(I48-J48)/I48</f>
        <v>0.71111111111111114</v>
      </c>
      <c r="L48" s="26">
        <v>7470</v>
      </c>
      <c r="M48" s="25">
        <f>(F48*L48)+(G48*L48*K48)</f>
        <v>865885.88</v>
      </c>
      <c r="N48" s="237"/>
      <c r="O48" s="24"/>
      <c r="P48" s="9"/>
      <c r="Q48" s="9">
        <f>O48*1000*17</f>
        <v>0</v>
      </c>
      <c r="R48" s="23" t="s">
        <v>321</v>
      </c>
      <c r="S48" s="138"/>
      <c r="U48" s="137"/>
    </row>
    <row r="49" spans="1:21" s="701" customFormat="1" ht="20.45" customHeight="1" x14ac:dyDescent="0.25">
      <c r="A49" s="659" t="s">
        <v>50</v>
      </c>
      <c r="B49" s="651"/>
      <c r="C49" s="695">
        <v>650</v>
      </c>
      <c r="D49" s="695">
        <v>544</v>
      </c>
      <c r="E49" s="695">
        <v>0</v>
      </c>
      <c r="F49" s="695">
        <v>347.04</v>
      </c>
      <c r="G49" s="695">
        <v>188.96</v>
      </c>
      <c r="H49" s="695">
        <v>536</v>
      </c>
      <c r="I49" s="695">
        <v>9</v>
      </c>
      <c r="J49" s="695">
        <v>2.6</v>
      </c>
      <c r="K49" s="695">
        <v>1.4222222222222223</v>
      </c>
      <c r="L49" s="695">
        <v>40934</v>
      </c>
      <c r="M49" s="695">
        <v>5611846.1617777776</v>
      </c>
      <c r="N49" s="695">
        <v>0</v>
      </c>
      <c r="O49" s="695">
        <v>0</v>
      </c>
      <c r="P49" s="695">
        <v>0</v>
      </c>
      <c r="Q49" s="698"/>
      <c r="R49" s="699"/>
      <c r="S49" s="700"/>
      <c r="U49" s="702"/>
    </row>
    <row r="50" spans="1:21" s="136" customFormat="1" ht="20.45" customHeight="1" x14ac:dyDescent="0.25">
      <c r="A50" s="125"/>
      <c r="B50" s="127"/>
      <c r="C50" s="126"/>
      <c r="D50" s="126"/>
      <c r="E50" s="125"/>
      <c r="F50" s="122"/>
      <c r="G50" s="122"/>
      <c r="H50" s="122"/>
      <c r="I50" s="124"/>
      <c r="J50" s="122"/>
      <c r="K50" s="122"/>
      <c r="L50" s="123"/>
      <c r="M50" s="122"/>
      <c r="N50" s="13"/>
      <c r="O50" s="122"/>
      <c r="P50" s="122"/>
      <c r="Q50" s="121"/>
      <c r="R50" s="120"/>
      <c r="S50" s="138"/>
      <c r="U50" s="137"/>
    </row>
    <row r="51" spans="1:21" s="64" customFormat="1" ht="20.45" customHeight="1" x14ac:dyDescent="0.25">
      <c r="A51" s="133" t="s">
        <v>131</v>
      </c>
      <c r="B51" s="135"/>
      <c r="C51" s="134">
        <f>SUM(C52:C56)</f>
        <v>244</v>
      </c>
      <c r="D51" s="134">
        <f>SUM(D52:D56)</f>
        <v>563</v>
      </c>
      <c r="E51" s="133"/>
      <c r="F51" s="130">
        <f>SUM(F52:F56)</f>
        <v>0</v>
      </c>
      <c r="G51" s="130">
        <f>SUM(G52:G56)</f>
        <v>163.01</v>
      </c>
      <c r="H51" s="130">
        <f>SUM(H52:H56)</f>
        <v>163.01</v>
      </c>
      <c r="I51" s="132"/>
      <c r="J51" s="130"/>
      <c r="K51" s="130"/>
      <c r="L51" s="131"/>
      <c r="M51" s="130">
        <f>SUM(M52:M56)</f>
        <v>1276792.4493680298</v>
      </c>
      <c r="N51" s="233">
        <f>SUM(N52:N52)</f>
        <v>0</v>
      </c>
      <c r="O51" s="130"/>
      <c r="P51" s="130">
        <f>SUM(P52:P52)</f>
        <v>0</v>
      </c>
      <c r="Q51" s="129"/>
      <c r="R51" s="128"/>
      <c r="S51" s="20"/>
      <c r="U51" s="65"/>
    </row>
    <row r="52" spans="1:21" s="64" customFormat="1" ht="19.5" customHeight="1" x14ac:dyDescent="0.25">
      <c r="A52" s="33" t="s">
        <v>126</v>
      </c>
      <c r="B52" s="127"/>
      <c r="C52" s="96">
        <v>40</v>
      </c>
      <c r="D52" s="96">
        <v>290</v>
      </c>
      <c r="E52" s="682" t="s">
        <v>123</v>
      </c>
      <c r="F52" s="122"/>
      <c r="G52" s="13">
        <v>10</v>
      </c>
      <c r="H52" s="37">
        <f>F52+G52</f>
        <v>10</v>
      </c>
      <c r="I52" s="94">
        <v>2.69</v>
      </c>
      <c r="J52" s="36">
        <v>1.88</v>
      </c>
      <c r="K52" s="27">
        <f>(I52-J52)/I52</f>
        <v>0.30111524163568776</v>
      </c>
      <c r="L52" s="26">
        <v>7470</v>
      </c>
      <c r="M52" s="25">
        <f>(F52*L52)+(G52*L52*K52)</f>
        <v>22493.308550185877</v>
      </c>
      <c r="N52" s="237"/>
      <c r="O52" s="24"/>
      <c r="P52" s="9"/>
      <c r="Q52" s="9">
        <f>O52*1000*17</f>
        <v>0</v>
      </c>
      <c r="R52" s="23" t="s">
        <v>321</v>
      </c>
      <c r="S52" s="20"/>
      <c r="U52" s="65"/>
    </row>
    <row r="53" spans="1:21" s="64" customFormat="1" ht="19.5" customHeight="1" x14ac:dyDescent="0.25">
      <c r="A53" s="33" t="s">
        <v>62</v>
      </c>
      <c r="B53" s="127"/>
      <c r="C53" s="96">
        <v>30</v>
      </c>
      <c r="D53" s="96">
        <v>150</v>
      </c>
      <c r="E53" s="88" t="s">
        <v>120</v>
      </c>
      <c r="F53" s="38"/>
      <c r="G53" s="38">
        <v>29.01</v>
      </c>
      <c r="H53" s="37">
        <f>F53+G53</f>
        <v>29.01</v>
      </c>
      <c r="I53" s="94">
        <v>2.69</v>
      </c>
      <c r="J53" s="36">
        <v>2.02</v>
      </c>
      <c r="K53" s="79">
        <f>(I53-J53)/I53</f>
        <v>0.24907063197026019</v>
      </c>
      <c r="L53" s="92">
        <v>33464</v>
      </c>
      <c r="M53" s="91">
        <f>(F53*L53)+(G53*L53*K53)</f>
        <v>241795.43821561337</v>
      </c>
      <c r="N53" s="249"/>
      <c r="O53" s="90"/>
      <c r="P53" s="89"/>
      <c r="Q53" s="9">
        <f>O53*1000*17</f>
        <v>0</v>
      </c>
      <c r="R53" s="23" t="s">
        <v>321</v>
      </c>
      <c r="S53" s="20"/>
      <c r="U53" s="65"/>
    </row>
    <row r="54" spans="1:21" s="64" customFormat="1" ht="19.5" customHeight="1" x14ac:dyDescent="0.25">
      <c r="A54" s="33" t="s">
        <v>275</v>
      </c>
      <c r="B54" s="127"/>
      <c r="C54" s="96">
        <v>12</v>
      </c>
      <c r="D54" s="96">
        <v>68</v>
      </c>
      <c r="E54" s="88" t="s">
        <v>120</v>
      </c>
      <c r="F54" s="38"/>
      <c r="G54" s="38">
        <v>15</v>
      </c>
      <c r="H54" s="37">
        <f>F54+G54</f>
        <v>15</v>
      </c>
      <c r="I54" s="94">
        <v>2.69</v>
      </c>
      <c r="J54" s="36">
        <v>1.35</v>
      </c>
      <c r="K54" s="79">
        <f>(I54-J54)/I54</f>
        <v>0.49814126394052038</v>
      </c>
      <c r="L54" s="92">
        <v>33464</v>
      </c>
      <c r="M54" s="91">
        <f>(F54*L54)+(G54*L54*K54)</f>
        <v>250046.98884758362</v>
      </c>
      <c r="N54" s="249"/>
      <c r="O54" s="90"/>
      <c r="P54" s="89"/>
      <c r="Q54" s="9">
        <f>O54*1000*17</f>
        <v>0</v>
      </c>
      <c r="R54" s="23" t="s">
        <v>321</v>
      </c>
      <c r="S54" s="20"/>
      <c r="U54" s="65"/>
    </row>
    <row r="55" spans="1:21" s="64" customFormat="1" ht="19.5" customHeight="1" x14ac:dyDescent="0.25">
      <c r="A55" s="33" t="s">
        <v>69</v>
      </c>
      <c r="B55" s="127"/>
      <c r="C55" s="96">
        <v>150</v>
      </c>
      <c r="D55" s="96">
        <v>25</v>
      </c>
      <c r="E55" s="88" t="s">
        <v>120</v>
      </c>
      <c r="F55" s="38"/>
      <c r="G55" s="38">
        <v>100</v>
      </c>
      <c r="H55" s="37">
        <f>F55+G55</f>
        <v>100</v>
      </c>
      <c r="I55" s="94">
        <v>2.69</v>
      </c>
      <c r="J55" s="36">
        <v>2.15</v>
      </c>
      <c r="K55" s="79">
        <f>(I55-J55)/I55</f>
        <v>0.20074349442379183</v>
      </c>
      <c r="L55" s="92">
        <v>33464</v>
      </c>
      <c r="M55" s="91">
        <f>(F55*L55)+(G55*L55*K55)</f>
        <v>671768.02973977698</v>
      </c>
      <c r="N55" s="249"/>
      <c r="O55" s="90"/>
      <c r="P55" s="89"/>
      <c r="Q55" s="9">
        <f>O55*1000*17</f>
        <v>0</v>
      </c>
      <c r="R55" s="23" t="s">
        <v>321</v>
      </c>
      <c r="S55" s="20"/>
      <c r="U55" s="65"/>
    </row>
    <row r="56" spans="1:21" s="64" customFormat="1" ht="19.5" customHeight="1" x14ac:dyDescent="0.25">
      <c r="A56" s="33" t="s">
        <v>70</v>
      </c>
      <c r="B56" s="127"/>
      <c r="C56" s="96">
        <v>12</v>
      </c>
      <c r="D56" s="96">
        <v>30</v>
      </c>
      <c r="E56" s="88" t="s">
        <v>120</v>
      </c>
      <c r="F56" s="38"/>
      <c r="G56" s="38">
        <v>9</v>
      </c>
      <c r="H56" s="37">
        <f>F56+G56</f>
        <v>9</v>
      </c>
      <c r="I56" s="94">
        <v>2.69</v>
      </c>
      <c r="J56" s="36">
        <v>1.88</v>
      </c>
      <c r="K56" s="79">
        <f>(I56-J56)/I56</f>
        <v>0.30111524163568776</v>
      </c>
      <c r="L56" s="92">
        <v>33464</v>
      </c>
      <c r="M56" s="91">
        <f>(F56*L56)+(G56*L56*K56)</f>
        <v>90688.684014869898</v>
      </c>
      <c r="N56" s="249"/>
      <c r="O56" s="90"/>
      <c r="P56" s="89"/>
      <c r="Q56" s="9">
        <f>O56*1000*17</f>
        <v>0</v>
      </c>
      <c r="R56" s="23" t="s">
        <v>321</v>
      </c>
      <c r="S56" s="20"/>
      <c r="U56" s="65"/>
    </row>
    <row r="57" spans="1:21" s="61" customFormat="1" ht="19.5" customHeight="1" x14ac:dyDescent="0.25">
      <c r="A57" s="87"/>
      <c r="B57" s="86"/>
      <c r="C57" s="85"/>
      <c r="D57" s="85"/>
      <c r="E57" s="84"/>
      <c r="F57" s="83"/>
      <c r="G57" s="83"/>
      <c r="H57" s="82"/>
      <c r="I57" s="81"/>
      <c r="J57" s="80"/>
      <c r="K57" s="79"/>
      <c r="L57" s="78"/>
      <c r="M57" s="77"/>
      <c r="N57" s="240"/>
      <c r="O57" s="76"/>
      <c r="P57" s="75"/>
      <c r="Q57" s="75"/>
      <c r="R57" s="74"/>
      <c r="S57" s="63"/>
      <c r="U57" s="62"/>
    </row>
    <row r="58" spans="1:21" s="64" customFormat="1" ht="20.45" customHeight="1" x14ac:dyDescent="0.25">
      <c r="A58" s="71" t="s">
        <v>121</v>
      </c>
      <c r="B58" s="73"/>
      <c r="C58" s="72">
        <f>SUM(C59:C63)</f>
        <v>311</v>
      </c>
      <c r="D58" s="72">
        <f>SUM(D59:D63)</f>
        <v>261.83000000000004</v>
      </c>
      <c r="E58" s="71"/>
      <c r="F58" s="68">
        <f>SUM(F59:F63)</f>
        <v>7</v>
      </c>
      <c r="G58" s="68">
        <f>SUM(G59:G63)</f>
        <v>222.83</v>
      </c>
      <c r="H58" s="68">
        <f>SUM(H59:H63)</f>
        <v>229.83</v>
      </c>
      <c r="I58" s="70"/>
      <c r="J58" s="68"/>
      <c r="K58" s="68"/>
      <c r="L58" s="69"/>
      <c r="M58" s="68">
        <f>SUM(M59:M63)</f>
        <v>894902.60943396227</v>
      </c>
      <c r="N58" s="247"/>
      <c r="O58" s="68"/>
      <c r="P58" s="67">
        <f>SUM(P59:P63)</f>
        <v>0</v>
      </c>
      <c r="Q58" s="67"/>
      <c r="R58" s="66"/>
      <c r="S58" s="20"/>
      <c r="U58" s="65"/>
    </row>
    <row r="59" spans="1:21" s="61" customFormat="1" ht="19.5" customHeight="1" x14ac:dyDescent="0.25">
      <c r="A59" s="33" t="s">
        <v>76</v>
      </c>
      <c r="B59" s="127"/>
      <c r="C59" s="96">
        <v>30</v>
      </c>
      <c r="D59" s="96">
        <v>10</v>
      </c>
      <c r="E59" s="682" t="s">
        <v>123</v>
      </c>
      <c r="F59" s="122"/>
      <c r="G59" s="13">
        <v>10</v>
      </c>
      <c r="H59" s="13">
        <f>F59+G59</f>
        <v>10</v>
      </c>
      <c r="I59" s="94">
        <v>2.65</v>
      </c>
      <c r="J59" s="36"/>
      <c r="K59" s="27">
        <f>(I59-J59)/I59</f>
        <v>1</v>
      </c>
      <c r="L59" s="26">
        <v>7470</v>
      </c>
      <c r="M59" s="25">
        <f>(F59*L59)+(G59*L59*K59)</f>
        <v>74700</v>
      </c>
      <c r="N59" s="237"/>
      <c r="O59" s="24"/>
      <c r="P59" s="9"/>
      <c r="Q59" s="9">
        <f>O59*1000*17</f>
        <v>0</v>
      </c>
      <c r="R59" s="23" t="s">
        <v>321</v>
      </c>
      <c r="S59" s="63"/>
      <c r="U59" s="62"/>
    </row>
    <row r="60" spans="1:21" s="136" customFormat="1" ht="21.6" customHeight="1" x14ac:dyDescent="0.25">
      <c r="A60" s="87" t="s">
        <v>251</v>
      </c>
      <c r="B60" s="127"/>
      <c r="C60" s="96">
        <v>3</v>
      </c>
      <c r="D60" s="96">
        <v>3</v>
      </c>
      <c r="E60" s="88" t="s">
        <v>120</v>
      </c>
      <c r="F60" s="38">
        <v>3</v>
      </c>
      <c r="G60" s="38"/>
      <c r="H60" s="37">
        <f>F60+G60</f>
        <v>3</v>
      </c>
      <c r="I60" s="94">
        <v>2.65</v>
      </c>
      <c r="J60" s="36"/>
      <c r="K60" s="79">
        <f>(I60-J60)/I60</f>
        <v>1</v>
      </c>
      <c r="L60" s="92">
        <v>33464</v>
      </c>
      <c r="M60" s="91">
        <f>(F60*L60)+(G60*L60*K60)</f>
        <v>100392</v>
      </c>
      <c r="N60" s="249"/>
      <c r="O60" s="90"/>
      <c r="P60" s="89"/>
      <c r="Q60" s="9">
        <f>O60*1000*17</f>
        <v>0</v>
      </c>
      <c r="R60" s="23" t="s">
        <v>321</v>
      </c>
      <c r="S60" s="138"/>
      <c r="U60" s="137"/>
    </row>
    <row r="61" spans="1:21" s="61" customFormat="1" ht="19.5" customHeight="1" x14ac:dyDescent="0.25">
      <c r="A61" s="33" t="s">
        <v>81</v>
      </c>
      <c r="B61" s="127"/>
      <c r="C61" s="96">
        <v>254</v>
      </c>
      <c r="D61" s="96">
        <v>193.83</v>
      </c>
      <c r="E61" s="682" t="s">
        <v>123</v>
      </c>
      <c r="F61" s="122"/>
      <c r="G61" s="13">
        <v>193.83</v>
      </c>
      <c r="H61" s="13">
        <f>F61+G61</f>
        <v>193.83</v>
      </c>
      <c r="I61" s="94">
        <v>2.65</v>
      </c>
      <c r="J61" s="36">
        <v>1.5</v>
      </c>
      <c r="K61" s="27">
        <f>(I61-J61)/I61</f>
        <v>0.43396226415094336</v>
      </c>
      <c r="L61" s="26">
        <v>7470</v>
      </c>
      <c r="M61" s="25">
        <f>(F61*L61)+(G61*L61*K61)</f>
        <v>628338.34528301889</v>
      </c>
      <c r="N61" s="237"/>
      <c r="O61" s="24"/>
      <c r="P61" s="9"/>
      <c r="Q61" s="9">
        <f>O61*1000*17</f>
        <v>0</v>
      </c>
      <c r="R61" s="23" t="s">
        <v>321</v>
      </c>
      <c r="S61" s="63"/>
      <c r="U61" s="62"/>
    </row>
    <row r="62" spans="1:21" s="61" customFormat="1" ht="19.5" customHeight="1" x14ac:dyDescent="0.25">
      <c r="A62" s="33" t="s">
        <v>325</v>
      </c>
      <c r="B62" s="127"/>
      <c r="C62" s="96">
        <v>24</v>
      </c>
      <c r="D62" s="96">
        <v>55</v>
      </c>
      <c r="E62" s="682" t="s">
        <v>123</v>
      </c>
      <c r="F62" s="13">
        <v>4</v>
      </c>
      <c r="G62" s="13">
        <v>19</v>
      </c>
      <c r="H62" s="13">
        <f>F62+G62</f>
        <v>23</v>
      </c>
      <c r="I62" s="94">
        <v>2.65</v>
      </c>
      <c r="J62" s="36">
        <v>1.5</v>
      </c>
      <c r="K62" s="27">
        <f>(I62-J62)/I62</f>
        <v>0.43396226415094336</v>
      </c>
      <c r="L62" s="26">
        <v>7470</v>
      </c>
      <c r="M62" s="25">
        <f>(F62*L62)+(G62*L62*K62)</f>
        <v>91472.264150943389</v>
      </c>
      <c r="N62" s="237"/>
      <c r="O62" s="24"/>
      <c r="P62" s="9"/>
      <c r="Q62" s="9">
        <f>O62*1000*17</f>
        <v>0</v>
      </c>
      <c r="R62" s="23" t="s">
        <v>321</v>
      </c>
      <c r="S62" s="63"/>
      <c r="U62" s="62"/>
    </row>
    <row r="63" spans="1:21" s="61" customFormat="1" ht="19.350000000000001" customHeight="1" x14ac:dyDescent="0.25">
      <c r="A63" s="87"/>
      <c r="B63" s="86"/>
      <c r="C63" s="85"/>
      <c r="D63" s="85"/>
      <c r="E63" s="84"/>
      <c r="F63" s="83"/>
      <c r="G63" s="83"/>
      <c r="H63" s="82"/>
      <c r="I63" s="81"/>
      <c r="J63" s="80"/>
      <c r="K63" s="79"/>
      <c r="L63" s="78"/>
      <c r="M63" s="77"/>
      <c r="N63" s="240"/>
      <c r="O63" s="76"/>
      <c r="P63" s="75"/>
      <c r="Q63" s="75"/>
      <c r="R63" s="74"/>
      <c r="S63" s="63"/>
      <c r="U63" s="62"/>
    </row>
    <row r="64" spans="1:21" s="64" customFormat="1" ht="20.45" hidden="1" customHeight="1" x14ac:dyDescent="0.25">
      <c r="A64" s="71" t="s">
        <v>115</v>
      </c>
      <c r="B64" s="73"/>
      <c r="C64" s="72">
        <f>SUM(C65:C65)</f>
        <v>0</v>
      </c>
      <c r="D64" s="72">
        <f>SUM(D65:D65)</f>
        <v>0</v>
      </c>
      <c r="E64" s="71"/>
      <c r="F64" s="68">
        <f>SUM(F65:F65)</f>
        <v>0</v>
      </c>
      <c r="G64" s="68">
        <f>SUM(G65:G65)</f>
        <v>0</v>
      </c>
      <c r="H64" s="68">
        <f>SUM(H65:H65)</f>
        <v>0</v>
      </c>
      <c r="I64" s="70"/>
      <c r="J64" s="68"/>
      <c r="K64" s="68"/>
      <c r="L64" s="69"/>
      <c r="M64" s="68">
        <f>SUM(M65:M65)</f>
        <v>0</v>
      </c>
      <c r="N64" s="244">
        <f>SUM(N65:N65)</f>
        <v>0</v>
      </c>
      <c r="O64" s="68"/>
      <c r="P64" s="68">
        <f>SUM(P65:P65)</f>
        <v>0</v>
      </c>
      <c r="Q64" s="67"/>
      <c r="R64" s="66"/>
      <c r="S64" s="20"/>
      <c r="U64" s="65"/>
    </row>
    <row r="65" spans="1:21" s="61" customFormat="1" ht="19.350000000000001" hidden="1" customHeight="1" x14ac:dyDescent="0.25">
      <c r="A65" s="33"/>
      <c r="B65" s="32" t="s">
        <v>5</v>
      </c>
      <c r="C65" s="11"/>
      <c r="D65" s="10"/>
      <c r="E65" s="31" t="s">
        <v>107</v>
      </c>
      <c r="F65" s="13"/>
      <c r="G65" s="13"/>
      <c r="H65" s="30">
        <f>F65+G65</f>
        <v>0</v>
      </c>
      <c r="I65" s="29">
        <v>2.73</v>
      </c>
      <c r="J65" s="28"/>
      <c r="K65" s="27">
        <f>(I65-J65)/I65</f>
        <v>1</v>
      </c>
      <c r="L65" s="26"/>
      <c r="M65" s="25"/>
      <c r="N65" s="237">
        <f>(F65*I65)+(G65*K65*I65)</f>
        <v>0</v>
      </c>
      <c r="O65" s="24">
        <v>17</v>
      </c>
      <c r="P65" s="9">
        <f>N65*1000*O65</f>
        <v>0</v>
      </c>
      <c r="Q65" s="9">
        <f>O65*1000*17</f>
        <v>289000</v>
      </c>
      <c r="R65" s="23"/>
      <c r="S65" s="63"/>
      <c r="U65" s="62"/>
    </row>
    <row r="66" spans="1:21" s="61" customFormat="1" ht="19.350000000000001" hidden="1" customHeight="1" x14ac:dyDescent="0.25">
      <c r="A66" s="33"/>
      <c r="B66" s="32"/>
      <c r="C66" s="11"/>
      <c r="D66" s="10"/>
      <c r="E66" s="31"/>
      <c r="F66" s="13"/>
      <c r="G66" s="13"/>
      <c r="H66" s="30"/>
      <c r="I66" s="29"/>
      <c r="J66" s="28"/>
      <c r="K66" s="27"/>
      <c r="L66" s="26"/>
      <c r="M66" s="25"/>
      <c r="N66" s="237"/>
      <c r="O66" s="24"/>
      <c r="P66" s="9"/>
      <c r="Q66" s="9"/>
      <c r="R66" s="23"/>
      <c r="S66" s="63"/>
      <c r="U66" s="62"/>
    </row>
    <row r="67" spans="1:21" s="61" customFormat="1" ht="19.350000000000001" hidden="1" customHeight="1" x14ac:dyDescent="0.25">
      <c r="A67" s="33"/>
      <c r="B67" s="32"/>
      <c r="C67" s="11"/>
      <c r="D67" s="10"/>
      <c r="E67" s="31"/>
      <c r="F67" s="13"/>
      <c r="G67" s="13"/>
      <c r="H67" s="30"/>
      <c r="I67" s="29"/>
      <c r="J67" s="28"/>
      <c r="K67" s="27"/>
      <c r="L67" s="26"/>
      <c r="M67" s="25"/>
      <c r="N67" s="237"/>
      <c r="O67" s="24"/>
      <c r="P67" s="9"/>
      <c r="Q67" s="9"/>
      <c r="R67" s="23"/>
      <c r="S67" s="63"/>
      <c r="U67" s="62"/>
    </row>
    <row r="68" spans="1:21" s="61" customFormat="1" ht="19.350000000000001" hidden="1" customHeight="1" x14ac:dyDescent="0.25">
      <c r="A68" s="33"/>
      <c r="B68" s="32"/>
      <c r="C68" s="11"/>
      <c r="D68" s="10"/>
      <c r="E68" s="31"/>
      <c r="F68" s="13"/>
      <c r="G68" s="13"/>
      <c r="H68" s="30"/>
      <c r="I68" s="29"/>
      <c r="J68" s="28"/>
      <c r="K68" s="27"/>
      <c r="L68" s="26"/>
      <c r="M68" s="25"/>
      <c r="N68" s="237"/>
      <c r="O68" s="24"/>
      <c r="P68" s="9"/>
      <c r="Q68" s="9"/>
      <c r="R68" s="23"/>
      <c r="S68" s="63"/>
      <c r="U68" s="62"/>
    </row>
    <row r="69" spans="1:21" s="61" customFormat="1" ht="19.350000000000001" hidden="1" customHeight="1" x14ac:dyDescent="0.25">
      <c r="A69" s="33"/>
      <c r="B69" s="32"/>
      <c r="C69" s="11"/>
      <c r="D69" s="10"/>
      <c r="E69" s="31"/>
      <c r="F69" s="13"/>
      <c r="G69" s="13"/>
      <c r="H69" s="30"/>
      <c r="I69" s="29"/>
      <c r="J69" s="28"/>
      <c r="K69" s="27"/>
      <c r="L69" s="26"/>
      <c r="M69" s="25"/>
      <c r="N69" s="237"/>
      <c r="O69" s="24"/>
      <c r="P69" s="9"/>
      <c r="Q69" s="9"/>
      <c r="R69" s="23"/>
      <c r="S69" s="63"/>
      <c r="U69" s="62"/>
    </row>
    <row r="70" spans="1:21" s="61" customFormat="1" ht="19.350000000000001" hidden="1" customHeight="1" x14ac:dyDescent="0.25">
      <c r="A70" s="33"/>
      <c r="B70" s="32"/>
      <c r="C70" s="11"/>
      <c r="D70" s="10"/>
      <c r="E70" s="31"/>
      <c r="F70" s="13"/>
      <c r="G70" s="13"/>
      <c r="H70" s="30"/>
      <c r="I70" s="29"/>
      <c r="J70" s="28"/>
      <c r="K70" s="27"/>
      <c r="L70" s="26"/>
      <c r="M70" s="25"/>
      <c r="N70" s="237"/>
      <c r="O70" s="24"/>
      <c r="P70" s="9"/>
      <c r="Q70" s="9"/>
      <c r="R70" s="23"/>
      <c r="S70" s="63"/>
      <c r="U70" s="62"/>
    </row>
    <row r="71" spans="1:21" s="44" customFormat="1" ht="19.5" hidden="1" customHeight="1" x14ac:dyDescent="0.25">
      <c r="A71" s="60"/>
      <c r="B71" s="60"/>
      <c r="C71" s="59"/>
      <c r="D71" s="58"/>
      <c r="E71" s="57"/>
      <c r="F71" s="56"/>
      <c r="G71" s="56"/>
      <c r="H71" s="55"/>
      <c r="I71" s="54"/>
      <c r="J71" s="53"/>
      <c r="K71" s="681"/>
      <c r="L71" s="51"/>
      <c r="M71" s="50"/>
      <c r="N71" s="250"/>
      <c r="O71" s="49"/>
      <c r="P71" s="48"/>
      <c r="Q71" s="48"/>
      <c r="R71" s="47"/>
      <c r="S71" s="46"/>
      <c r="U71" s="45"/>
    </row>
    <row r="72" spans="1:21" s="34" customFormat="1" ht="18.75" customHeight="1" x14ac:dyDescent="0.25">
      <c r="C72" s="680"/>
      <c r="D72" s="680"/>
      <c r="E72" s="35"/>
      <c r="F72" s="677"/>
      <c r="G72" s="677"/>
      <c r="H72" s="677"/>
      <c r="J72" s="679"/>
      <c r="K72" s="20"/>
      <c r="L72" s="678"/>
      <c r="M72" s="675"/>
      <c r="N72" s="677"/>
      <c r="O72" s="676"/>
      <c r="P72" s="675"/>
      <c r="Q72" s="675"/>
      <c r="T72" s="35"/>
    </row>
    <row r="73" spans="1:21" s="34" customFormat="1" ht="18.75" customHeight="1" x14ac:dyDescent="0.25">
      <c r="C73" s="680"/>
      <c r="D73" s="680"/>
      <c r="E73" s="35"/>
      <c r="F73" s="677"/>
      <c r="G73" s="677"/>
      <c r="H73" s="677"/>
      <c r="J73" s="679"/>
      <c r="K73" s="20"/>
      <c r="L73" s="678"/>
      <c r="M73" s="675"/>
      <c r="N73" s="677"/>
      <c r="O73" s="676"/>
      <c r="P73" s="675"/>
      <c r="Q73" s="675"/>
      <c r="T73" s="35"/>
    </row>
    <row r="74" spans="1:21" s="34" customFormat="1" ht="18.75" customHeight="1" x14ac:dyDescent="0.25">
      <c r="C74" s="680"/>
      <c r="D74" s="680"/>
      <c r="E74" s="35"/>
      <c r="F74" s="677"/>
      <c r="G74" s="677"/>
      <c r="H74" s="677"/>
      <c r="J74" s="679"/>
      <c r="K74" s="20"/>
      <c r="L74" s="678"/>
      <c r="M74" s="675"/>
      <c r="N74" s="677"/>
      <c r="O74" s="676"/>
      <c r="P74" s="675"/>
      <c r="Q74" s="675"/>
      <c r="T74" s="35"/>
    </row>
    <row r="75" spans="1:21" s="34" customFormat="1" ht="18.75" customHeight="1" x14ac:dyDescent="0.25">
      <c r="C75" s="680"/>
      <c r="D75" s="680"/>
      <c r="E75" s="35"/>
      <c r="F75" s="677"/>
      <c r="G75" s="677"/>
      <c r="H75" s="677"/>
      <c r="J75" s="679"/>
      <c r="K75" s="20"/>
      <c r="L75" s="678"/>
      <c r="M75" s="675"/>
      <c r="N75" s="677"/>
      <c r="O75" s="676"/>
      <c r="P75" s="675"/>
      <c r="Q75" s="675"/>
      <c r="T75" s="35"/>
    </row>
    <row r="76" spans="1:21" s="34" customFormat="1" ht="18.75" customHeight="1" x14ac:dyDescent="0.25">
      <c r="C76" s="680"/>
      <c r="D76" s="680"/>
      <c r="E76" s="35"/>
      <c r="F76" s="677"/>
      <c r="G76" s="677"/>
      <c r="H76" s="677"/>
      <c r="J76" s="679"/>
      <c r="K76" s="20"/>
      <c r="L76" s="678"/>
      <c r="M76" s="675"/>
      <c r="N76" s="677"/>
      <c r="O76" s="676"/>
      <c r="P76" s="675"/>
      <c r="Q76" s="675"/>
      <c r="T76" s="35"/>
    </row>
    <row r="77" spans="1:21" s="34" customFormat="1" ht="18.75" customHeight="1" x14ac:dyDescent="0.25">
      <c r="C77" s="680"/>
      <c r="D77" s="680"/>
      <c r="E77" s="35"/>
      <c r="F77" s="677"/>
      <c r="G77" s="677"/>
      <c r="H77" s="677"/>
      <c r="J77" s="679"/>
      <c r="K77" s="20"/>
      <c r="L77" s="678"/>
      <c r="M77" s="675"/>
      <c r="N77" s="677"/>
      <c r="O77" s="676"/>
      <c r="P77" s="675"/>
      <c r="Q77" s="675"/>
      <c r="T77" s="35"/>
    </row>
    <row r="78" spans="1:21" s="34" customFormat="1" ht="18.75" customHeight="1" x14ac:dyDescent="0.25">
      <c r="C78" s="680"/>
      <c r="D78" s="680"/>
      <c r="E78" s="35"/>
      <c r="F78" s="677"/>
      <c r="G78" s="677"/>
      <c r="H78" s="677"/>
      <c r="J78" s="679"/>
      <c r="K78" s="20"/>
      <c r="L78" s="678"/>
      <c r="M78" s="675"/>
      <c r="N78" s="677"/>
      <c r="O78" s="676"/>
      <c r="P78" s="675"/>
      <c r="Q78" s="675"/>
      <c r="T78" s="35"/>
    </row>
    <row r="79" spans="1:21" s="34" customFormat="1" ht="18.75" customHeight="1" x14ac:dyDescent="0.25">
      <c r="C79" s="680"/>
      <c r="D79" s="680"/>
      <c r="E79" s="35"/>
      <c r="F79" s="677"/>
      <c r="G79" s="677"/>
      <c r="H79" s="677"/>
      <c r="J79" s="679"/>
      <c r="K79" s="20"/>
      <c r="L79" s="678"/>
      <c r="M79" s="675"/>
      <c r="N79" s="677"/>
      <c r="O79" s="676"/>
      <c r="P79" s="675"/>
      <c r="Q79" s="675"/>
      <c r="T79" s="35"/>
    </row>
    <row r="80" spans="1:21" s="34" customFormat="1" ht="18.75" customHeight="1" x14ac:dyDescent="0.25">
      <c r="C80" s="680"/>
      <c r="D80" s="680"/>
      <c r="E80" s="35"/>
      <c r="F80" s="677"/>
      <c r="G80" s="677"/>
      <c r="H80" s="677"/>
      <c r="J80" s="679"/>
      <c r="K80" s="20"/>
      <c r="L80" s="678"/>
      <c r="M80" s="675"/>
      <c r="N80" s="677"/>
      <c r="O80" s="676"/>
      <c r="P80" s="675"/>
      <c r="Q80" s="675"/>
      <c r="T80" s="35"/>
    </row>
    <row r="81" spans="3:20" s="34" customFormat="1" ht="18.75" customHeight="1" x14ac:dyDescent="0.25">
      <c r="C81" s="680"/>
      <c r="D81" s="680"/>
      <c r="E81" s="35"/>
      <c r="F81" s="677"/>
      <c r="G81" s="677"/>
      <c r="H81" s="677"/>
      <c r="J81" s="679"/>
      <c r="K81" s="20"/>
      <c r="L81" s="678"/>
      <c r="M81" s="675"/>
      <c r="N81" s="677"/>
      <c r="O81" s="676"/>
      <c r="P81" s="675"/>
      <c r="Q81" s="675"/>
      <c r="T81" s="35"/>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6"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4" customWidth="1"/>
    <col min="2" max="2" width="16.42578125" style="14" customWidth="1"/>
    <col min="3" max="3" width="15" style="253" customWidth="1"/>
    <col min="4" max="4" width="15.85546875" style="550" customWidth="1"/>
    <col min="5" max="5" width="18.42578125" style="20" customWidth="1"/>
    <col min="6" max="6" width="15.42578125" style="16" bestFit="1" customWidth="1"/>
    <col min="7" max="7" width="13.85546875" style="16" bestFit="1" customWidth="1"/>
    <col min="8" max="8" width="15.85546875" style="16" customWidth="1"/>
    <col min="9" max="9" width="15" style="14" customWidth="1"/>
    <col min="10" max="10" width="13.42578125" style="14" customWidth="1"/>
    <col min="11" max="11" width="11.140625" style="14" customWidth="1"/>
    <col min="12" max="12" width="20" style="19" customWidth="1"/>
    <col min="13" max="13" width="22.28515625" style="16" customWidth="1"/>
    <col min="14" max="14" width="15.42578125" style="19" customWidth="1"/>
    <col min="15" max="15" width="12.140625" style="19" customWidth="1"/>
    <col min="16" max="16" width="19.7109375" style="16" customWidth="1"/>
    <col min="17" max="17" width="22.85546875" style="16" bestFit="1" customWidth="1"/>
    <col min="18" max="18" width="41.28515625" style="14" customWidth="1"/>
    <col min="19" max="19" width="18" style="14" customWidth="1"/>
    <col min="20" max="20" width="22.7109375" style="15" customWidth="1"/>
    <col min="21" max="21" width="29.28515625" style="14" customWidth="1"/>
    <col min="22" max="16384" width="11.42578125" style="14"/>
  </cols>
  <sheetData>
    <row r="1" spans="1:21" ht="17.25" customHeight="1" x14ac:dyDescent="0.25">
      <c r="A1" s="773" t="s">
        <v>303</v>
      </c>
      <c r="B1" s="773"/>
      <c r="C1" s="773"/>
      <c r="D1" s="773"/>
      <c r="E1" s="773"/>
      <c r="F1" s="773"/>
      <c r="G1" s="773"/>
      <c r="H1" s="773"/>
      <c r="I1" s="773"/>
      <c r="J1" s="773"/>
      <c r="K1" s="773"/>
      <c r="L1" s="773"/>
      <c r="M1" s="773"/>
      <c r="N1" s="773"/>
      <c r="O1" s="773"/>
      <c r="P1" s="773"/>
      <c r="Q1" s="773"/>
      <c r="R1" s="773"/>
    </row>
    <row r="2" spans="1:21" ht="18.75" hidden="1" customHeight="1" x14ac:dyDescent="0.25">
      <c r="A2" s="773" t="s">
        <v>302</v>
      </c>
      <c r="B2" s="773"/>
      <c r="C2" s="773"/>
      <c r="D2" s="773"/>
      <c r="E2" s="773"/>
      <c r="F2" s="773"/>
      <c r="G2" s="773"/>
      <c r="H2" s="773"/>
      <c r="I2" s="773"/>
      <c r="J2" s="773"/>
      <c r="K2" s="773"/>
      <c r="L2" s="773"/>
      <c r="M2" s="773"/>
      <c r="N2" s="773"/>
      <c r="O2" s="773"/>
      <c r="P2" s="773"/>
      <c r="Q2" s="773"/>
      <c r="R2" s="773"/>
    </row>
    <row r="3" spans="1:21" ht="18.75" hidden="1" customHeight="1" x14ac:dyDescent="0.25">
      <c r="A3" s="773" t="s">
        <v>301</v>
      </c>
      <c r="B3" s="773"/>
      <c r="C3" s="773"/>
      <c r="D3" s="773"/>
      <c r="E3" s="773"/>
      <c r="F3" s="773"/>
      <c r="G3" s="773"/>
      <c r="H3" s="773"/>
      <c r="I3" s="773"/>
      <c r="J3" s="773"/>
      <c r="K3" s="773"/>
      <c r="L3" s="773"/>
      <c r="M3" s="773"/>
      <c r="N3" s="773"/>
      <c r="O3" s="773"/>
      <c r="P3" s="773"/>
      <c r="Q3" s="773"/>
      <c r="R3" s="773"/>
    </row>
    <row r="4" spans="1:21" ht="18.75" hidden="1" customHeight="1" x14ac:dyDescent="0.25">
      <c r="A4" s="773" t="s">
        <v>300</v>
      </c>
      <c r="B4" s="773"/>
      <c r="C4" s="773"/>
      <c r="D4" s="773"/>
      <c r="E4" s="773"/>
      <c r="F4" s="773"/>
      <c r="G4" s="773"/>
      <c r="H4" s="773"/>
      <c r="I4" s="773"/>
      <c r="J4" s="773"/>
      <c r="K4" s="773"/>
      <c r="L4" s="773"/>
      <c r="M4" s="773"/>
      <c r="N4" s="773"/>
      <c r="O4" s="773"/>
      <c r="P4" s="773"/>
      <c r="Q4" s="773"/>
      <c r="R4" s="773"/>
    </row>
    <row r="5" spans="1:21" ht="18.75" hidden="1" customHeight="1" thickBot="1" x14ac:dyDescent="0.3">
      <c r="A5" s="186"/>
      <c r="B5" s="186"/>
      <c r="C5" s="643"/>
      <c r="D5" s="288"/>
      <c r="E5" s="186"/>
      <c r="F5" s="218"/>
      <c r="G5" s="218"/>
      <c r="H5" s="218"/>
      <c r="I5" s="221"/>
      <c r="J5" s="221"/>
      <c r="K5" s="221"/>
      <c r="L5" s="186"/>
      <c r="M5" s="219"/>
      <c r="N5" s="186"/>
      <c r="O5" s="186"/>
      <c r="P5" s="218"/>
      <c r="Q5" s="218"/>
      <c r="R5" s="186"/>
    </row>
    <row r="6" spans="1:21" ht="18.75" hidden="1" customHeight="1" x14ac:dyDescent="0.25">
      <c r="A6" s="217" t="s">
        <v>232</v>
      </c>
      <c r="B6" s="216"/>
      <c r="C6" s="648"/>
      <c r="D6" s="445"/>
      <c r="E6" s="207"/>
      <c r="F6" s="206"/>
      <c r="G6" s="206"/>
      <c r="H6" s="647" t="s">
        <v>183</v>
      </c>
      <c r="I6" s="212"/>
      <c r="J6" s="212"/>
      <c r="K6" s="212"/>
      <c r="L6" s="210"/>
      <c r="M6" s="209"/>
      <c r="N6" s="207"/>
      <c r="O6" s="207"/>
      <c r="P6" s="206"/>
      <c r="Q6" s="206"/>
      <c r="R6" s="205"/>
    </row>
    <row r="7" spans="1:21" ht="18.75" hidden="1" customHeight="1" x14ac:dyDescent="0.25">
      <c r="A7" s="197"/>
      <c r="B7" s="196"/>
      <c r="C7" s="643"/>
      <c r="D7" s="288"/>
      <c r="E7" s="186"/>
      <c r="F7" s="185"/>
      <c r="G7" s="185"/>
      <c r="H7" s="646" t="s">
        <v>182</v>
      </c>
      <c r="I7" s="202"/>
      <c r="J7" s="202" t="s">
        <v>181</v>
      </c>
      <c r="K7" s="221"/>
      <c r="L7" s="186"/>
      <c r="M7" s="200"/>
      <c r="N7" s="645"/>
      <c r="O7" s="644"/>
      <c r="P7" s="185"/>
      <c r="Q7" s="185"/>
      <c r="R7" s="184"/>
    </row>
    <row r="8" spans="1:21" ht="18.75" hidden="1" customHeight="1" x14ac:dyDescent="0.25">
      <c r="A8" s="197"/>
      <c r="B8" s="196"/>
      <c r="C8" s="643"/>
      <c r="D8" s="288"/>
      <c r="E8" s="186"/>
      <c r="F8" s="185"/>
      <c r="G8" s="185"/>
      <c r="H8" s="642"/>
      <c r="I8" s="190"/>
      <c r="J8" s="221"/>
      <c r="K8" s="221" t="s">
        <v>179</v>
      </c>
      <c r="L8" s="186"/>
      <c r="M8" s="188"/>
      <c r="N8" s="190"/>
      <c r="O8" s="186"/>
      <c r="P8" s="185"/>
      <c r="Q8" s="185"/>
      <c r="R8" s="184"/>
    </row>
    <row r="9" spans="1:21" ht="18.75" hidden="1" customHeight="1" x14ac:dyDescent="0.25">
      <c r="A9" s="197"/>
      <c r="B9" s="196"/>
      <c r="C9" s="643"/>
      <c r="D9" s="288"/>
      <c r="E9" s="186"/>
      <c r="F9" s="185"/>
      <c r="G9" s="185"/>
      <c r="H9" s="642" t="s">
        <v>299</v>
      </c>
      <c r="I9" s="190"/>
      <c r="J9" s="221"/>
      <c r="K9" s="221" t="s">
        <v>177</v>
      </c>
      <c r="L9" s="186"/>
      <c r="M9" s="188"/>
      <c r="N9" s="190"/>
      <c r="O9" s="186"/>
      <c r="P9" s="185"/>
      <c r="Q9" s="185"/>
      <c r="R9" s="184"/>
    </row>
    <row r="10" spans="1:21" ht="18.75" hidden="1" customHeight="1" thickBot="1" x14ac:dyDescent="0.3">
      <c r="A10" s="183"/>
      <c r="B10" s="182"/>
      <c r="C10" s="641"/>
      <c r="D10" s="640"/>
      <c r="E10" s="173"/>
      <c r="F10" s="172"/>
      <c r="G10" s="172"/>
      <c r="H10" s="639" t="s">
        <v>298</v>
      </c>
      <c r="I10" s="177"/>
      <c r="J10" s="638"/>
      <c r="K10" s="638" t="s">
        <v>175</v>
      </c>
      <c r="L10" s="173"/>
      <c r="M10" s="175"/>
      <c r="N10" s="177"/>
      <c r="O10" s="173"/>
      <c r="P10" s="172"/>
      <c r="Q10" s="172"/>
      <c r="R10" s="171"/>
    </row>
    <row r="11" spans="1:21" ht="18.75" customHeight="1" thickBot="1" x14ac:dyDescent="0.3">
      <c r="A11" s="738" t="s">
        <v>174</v>
      </c>
      <c r="B11" s="739"/>
      <c r="C11" s="739"/>
      <c r="D11" s="739"/>
      <c r="E11" s="739"/>
      <c r="F11" s="739"/>
      <c r="G11" s="739"/>
      <c r="H11" s="739"/>
      <c r="I11" s="739"/>
      <c r="J11" s="739"/>
      <c r="K11" s="739"/>
      <c r="L11" s="739"/>
      <c r="M11" s="739"/>
      <c r="N11" s="739"/>
      <c r="O11" s="739"/>
      <c r="P11" s="739"/>
      <c r="Q11" s="739"/>
      <c r="R11" s="740"/>
      <c r="T11" s="170"/>
    </row>
    <row r="12" spans="1:21" ht="18.75" customHeight="1" x14ac:dyDescent="0.25">
      <c r="A12" s="741" t="s">
        <v>173</v>
      </c>
      <c r="B12" s="747" t="s">
        <v>172</v>
      </c>
      <c r="C12" s="777" t="s">
        <v>171</v>
      </c>
      <c r="D12" s="776" t="s">
        <v>170</v>
      </c>
      <c r="E12" s="753" t="s">
        <v>169</v>
      </c>
      <c r="F12" s="755" t="s">
        <v>168</v>
      </c>
      <c r="G12" s="756"/>
      <c r="H12" s="757"/>
      <c r="I12" s="761" t="s">
        <v>167</v>
      </c>
      <c r="J12" s="762"/>
      <c r="K12" s="765" t="s">
        <v>166</v>
      </c>
      <c r="L12" s="748" t="s">
        <v>165</v>
      </c>
      <c r="M12" s="749"/>
      <c r="N12" s="749"/>
      <c r="O12" s="749"/>
      <c r="P12" s="749"/>
      <c r="Q12" s="780"/>
      <c r="R12" s="750" t="s">
        <v>164</v>
      </c>
      <c r="T12" s="168"/>
    </row>
    <row r="13" spans="1:21" ht="15.75" x14ac:dyDescent="0.25">
      <c r="A13" s="742"/>
      <c r="B13" s="747"/>
      <c r="C13" s="778"/>
      <c r="D13" s="776"/>
      <c r="E13" s="747"/>
      <c r="F13" s="758"/>
      <c r="G13" s="759"/>
      <c r="H13" s="760"/>
      <c r="I13" s="763"/>
      <c r="J13" s="764"/>
      <c r="K13" s="766"/>
      <c r="L13" s="775" t="s">
        <v>163</v>
      </c>
      <c r="M13" s="775"/>
      <c r="N13" s="775" t="s">
        <v>231</v>
      </c>
      <c r="O13" s="775"/>
      <c r="P13" s="775"/>
      <c r="Q13" s="781" t="s">
        <v>297</v>
      </c>
      <c r="R13" s="751"/>
    </row>
    <row r="14" spans="1:21" s="20" customFormat="1" ht="48" thickBot="1" x14ac:dyDescent="0.3">
      <c r="A14" s="743"/>
      <c r="B14" s="747"/>
      <c r="C14" s="779"/>
      <c r="D14" s="776"/>
      <c r="E14" s="754"/>
      <c r="F14" s="167" t="s">
        <v>161</v>
      </c>
      <c r="G14" s="167" t="s">
        <v>160</v>
      </c>
      <c r="H14" s="167" t="s">
        <v>159</v>
      </c>
      <c r="I14" s="166" t="s">
        <v>158</v>
      </c>
      <c r="J14" s="166" t="s">
        <v>157</v>
      </c>
      <c r="K14" s="767"/>
      <c r="L14" s="164" t="s">
        <v>156</v>
      </c>
      <c r="M14" s="163" t="s">
        <v>155</v>
      </c>
      <c r="N14" s="637" t="s">
        <v>154</v>
      </c>
      <c r="O14" s="637" t="s">
        <v>153</v>
      </c>
      <c r="P14" s="163" t="s">
        <v>152</v>
      </c>
      <c r="Q14" s="782"/>
      <c r="R14" s="752"/>
    </row>
    <row r="15" spans="1:21" s="64" customFormat="1" ht="19.5" customHeight="1" x14ac:dyDescent="0.25">
      <c r="A15" s="636" t="s">
        <v>151</v>
      </c>
      <c r="B15" s="635"/>
      <c r="C15" s="634" t="s">
        <v>150</v>
      </c>
      <c r="D15" s="429"/>
      <c r="E15" s="427" t="s">
        <v>149</v>
      </c>
      <c r="F15" s="633" t="s">
        <v>148</v>
      </c>
      <c r="G15" s="633" t="s">
        <v>147</v>
      </c>
      <c r="H15" s="633" t="s">
        <v>146</v>
      </c>
      <c r="I15" s="427" t="s">
        <v>145</v>
      </c>
      <c r="J15" s="427" t="s">
        <v>144</v>
      </c>
      <c r="K15" s="427" t="s">
        <v>143</v>
      </c>
      <c r="L15" s="427" t="s">
        <v>142</v>
      </c>
      <c r="M15" s="633" t="s">
        <v>141</v>
      </c>
      <c r="N15" s="427" t="s">
        <v>140</v>
      </c>
      <c r="O15" s="427" t="s">
        <v>139</v>
      </c>
      <c r="P15" s="633" t="s">
        <v>138</v>
      </c>
      <c r="Q15" s="632" t="s">
        <v>229</v>
      </c>
      <c r="R15" s="631" t="s">
        <v>136</v>
      </c>
      <c r="S15" s="20"/>
      <c r="U15" s="65"/>
    </row>
    <row r="16" spans="1:21" s="64" customFormat="1" ht="19.5" customHeight="1" x14ac:dyDescent="0.25">
      <c r="A16" s="673" t="s">
        <v>304</v>
      </c>
      <c r="B16" s="673" t="s">
        <v>305</v>
      </c>
      <c r="C16" s="673" t="s">
        <v>306</v>
      </c>
      <c r="D16" s="673" t="s">
        <v>307</v>
      </c>
      <c r="E16" s="673" t="s">
        <v>308</v>
      </c>
      <c r="F16" s="673" t="s">
        <v>309</v>
      </c>
      <c r="G16" s="673" t="s">
        <v>310</v>
      </c>
      <c r="H16" s="673" t="s">
        <v>311</v>
      </c>
      <c r="I16" s="673" t="s">
        <v>312</v>
      </c>
      <c r="J16" s="673" t="s">
        <v>313</v>
      </c>
      <c r="K16" s="673" t="s">
        <v>314</v>
      </c>
      <c r="L16" s="673" t="s">
        <v>315</v>
      </c>
      <c r="M16" s="673" t="s">
        <v>316</v>
      </c>
      <c r="N16" s="673" t="s">
        <v>317</v>
      </c>
      <c r="O16" s="673" t="s">
        <v>318</v>
      </c>
      <c r="P16" s="673" t="s">
        <v>319</v>
      </c>
      <c r="Q16" s="673" t="s">
        <v>320</v>
      </c>
      <c r="R16" s="674"/>
      <c r="S16" s="20"/>
      <c r="U16" s="65"/>
    </row>
    <row r="17" spans="1:21" s="551" customFormat="1" ht="26.25" customHeight="1" x14ac:dyDescent="0.25">
      <c r="A17" s="630" t="s">
        <v>135</v>
      </c>
      <c r="B17" s="630"/>
      <c r="C17" s="629" t="e">
        <f>SUM(C18,C63,C73,C94,C122,C147)</f>
        <v>#REF!</v>
      </c>
      <c r="D17" s="626"/>
      <c r="E17" s="626"/>
      <c r="F17" s="628" t="e">
        <f>SUM(F18,F63,F73,F94,F122,F147)</f>
        <v>#REF!</v>
      </c>
      <c r="G17" s="628" t="e">
        <f>SUM(G18,G63,G73,G94,G122,G147)</f>
        <v>#REF!</v>
      </c>
      <c r="H17" s="628" t="e">
        <f>SUM(H18,H63,H73,H94,H122,H147)</f>
        <v>#REF!</v>
      </c>
      <c r="I17" s="628"/>
      <c r="J17" s="628"/>
      <c r="K17" s="627"/>
      <c r="L17" s="626" t="e">
        <f>SUM(L18,L63,L73,L94,L122,L147)</f>
        <v>#REF!</v>
      </c>
      <c r="M17" s="626" t="e">
        <f>SUM(M18,M63,M73,M94,M122,M147)</f>
        <v>#REF!</v>
      </c>
      <c r="N17" s="626" t="e">
        <f>SUM(N18,N63,N73,N94,N122,N147)</f>
        <v>#REF!</v>
      </c>
      <c r="O17" s="626" t="e">
        <f>AVERAGE(O18,O63,O73,O94,O122,O147)</f>
        <v>#REF!</v>
      </c>
      <c r="P17" s="626" t="e">
        <f>SUM(P18,P63,P73,P94,P122,P147)</f>
        <v>#REF!</v>
      </c>
      <c r="Q17" s="625" t="e">
        <f>P17+M17</f>
        <v>#REF!</v>
      </c>
      <c r="R17" s="624"/>
    </row>
    <row r="18" spans="1:21" s="572" customFormat="1" ht="16.5" x14ac:dyDescent="0.25">
      <c r="A18" s="578" t="s">
        <v>227</v>
      </c>
      <c r="B18" s="578"/>
      <c r="C18" s="596" t="e">
        <f>SUM(#REF!,#REF!,#REF!,#REF!,#REF!)</f>
        <v>#REF!</v>
      </c>
      <c r="D18" s="575"/>
      <c r="E18" s="575"/>
      <c r="F18" s="577" t="e">
        <f>SUM(#REF!,#REF!,#REF!,#REF!,#REF!)</f>
        <v>#REF!</v>
      </c>
      <c r="G18" s="577" t="e">
        <f>SUM(#REF!,#REF!,#REF!,#REF!,#REF!)</f>
        <v>#REF!</v>
      </c>
      <c r="H18" s="577" t="e">
        <f>SUM(#REF!,#REF!,#REF!,#REF!,#REF!)</f>
        <v>#REF!</v>
      </c>
      <c r="I18" s="577"/>
      <c r="J18" s="577"/>
      <c r="K18" s="576"/>
      <c r="L18" s="575" t="e">
        <f>SUM(#REF!,#REF!,#REF!,#REF!,#REF!)</f>
        <v>#REF!</v>
      </c>
      <c r="M18" s="575" t="e">
        <f>SUM(#REF!,#REF!,#REF!,#REF!,#REF!)</f>
        <v>#REF!</v>
      </c>
      <c r="N18" s="575" t="e">
        <f>SUM(#REF!,#REF!,#REF!,#REF!,#REF!)</f>
        <v>#REF!</v>
      </c>
      <c r="O18" s="575" t="e">
        <f>AVERAGE(#REF!,#REF!,#REF!,#REF!,#REF!)</f>
        <v>#REF!</v>
      </c>
      <c r="P18" s="575" t="e">
        <f>SUM(#REF!,#REF!,#REF!,#REF!,#REF!)</f>
        <v>#REF!</v>
      </c>
      <c r="Q18" s="574" t="e">
        <f>P18+M18</f>
        <v>#REF!</v>
      </c>
      <c r="R18" s="573"/>
    </row>
    <row r="19" spans="1:21" s="551" customFormat="1" ht="15.75" customHeight="1" x14ac:dyDescent="0.25">
      <c r="A19" s="87" t="s">
        <v>7</v>
      </c>
      <c r="B19" s="87"/>
      <c r="C19" s="591">
        <v>614</v>
      </c>
      <c r="D19" s="83"/>
      <c r="E19" s="83" t="s">
        <v>225</v>
      </c>
      <c r="F19" s="555">
        <v>586</v>
      </c>
      <c r="G19" s="555"/>
      <c r="H19" s="553">
        <f>F19+G19</f>
        <v>586</v>
      </c>
      <c r="I19" s="555">
        <v>4.08</v>
      </c>
      <c r="J19" s="559">
        <v>0</v>
      </c>
      <c r="K19" s="558">
        <f>(I19-J19)/I19</f>
        <v>1</v>
      </c>
      <c r="L19" s="557">
        <v>7470</v>
      </c>
      <c r="M19" s="557">
        <f>(H19*L19)*K19</f>
        <v>4377420</v>
      </c>
      <c r="N19" s="554"/>
      <c r="O19" s="553"/>
      <c r="P19" s="553">
        <f>N19*1000*17</f>
        <v>0</v>
      </c>
      <c r="Q19" s="553">
        <f>M19+P19</f>
        <v>4377420</v>
      </c>
      <c r="R19" s="552"/>
    </row>
    <row r="20" spans="1:21" s="561" customFormat="1" ht="15" x14ac:dyDescent="0.25">
      <c r="A20" s="567" t="s">
        <v>264</v>
      </c>
      <c r="B20" s="567"/>
      <c r="C20" s="619">
        <v>120</v>
      </c>
      <c r="D20" s="565"/>
      <c r="E20" s="86" t="s">
        <v>225</v>
      </c>
      <c r="F20" s="555">
        <v>150</v>
      </c>
      <c r="G20" s="555"/>
      <c r="H20" s="553">
        <f>F20+G20</f>
        <v>150</v>
      </c>
      <c r="I20" s="560">
        <v>4.08</v>
      </c>
      <c r="J20" s="559">
        <v>0</v>
      </c>
      <c r="K20" s="558">
        <f>(I20-J20)/I20</f>
        <v>1</v>
      </c>
      <c r="L20" s="557">
        <v>7470</v>
      </c>
      <c r="M20" s="557">
        <f>(H20*L20)*K20</f>
        <v>1120500</v>
      </c>
      <c r="N20" s="564"/>
      <c r="O20" s="564"/>
      <c r="P20" s="553">
        <f>N20*1000*17</f>
        <v>0</v>
      </c>
      <c r="Q20" s="553">
        <f>M20+P20</f>
        <v>1120500</v>
      </c>
      <c r="R20" s="563"/>
      <c r="S20" s="620"/>
      <c r="T20" s="476"/>
      <c r="U20" s="476"/>
    </row>
    <row r="21" spans="1:21" s="561" customFormat="1" ht="15" x14ac:dyDescent="0.25">
      <c r="A21" s="567" t="s">
        <v>24</v>
      </c>
      <c r="B21" s="567"/>
      <c r="C21" s="619">
        <v>112</v>
      </c>
      <c r="D21" s="565"/>
      <c r="E21" s="86" t="s">
        <v>225</v>
      </c>
      <c r="F21" s="623">
        <v>140</v>
      </c>
      <c r="G21" s="555"/>
      <c r="H21" s="553">
        <f>F21+G21</f>
        <v>140</v>
      </c>
      <c r="I21" s="560">
        <v>4.08</v>
      </c>
      <c r="J21" s="559">
        <v>0</v>
      </c>
      <c r="K21" s="558">
        <f>(I21-J21)/I21</f>
        <v>1</v>
      </c>
      <c r="L21" s="557">
        <v>7470</v>
      </c>
      <c r="M21" s="557">
        <f>(H21*L21)*K21</f>
        <v>1045800</v>
      </c>
      <c r="N21" s="564"/>
      <c r="O21" s="564"/>
      <c r="P21" s="553">
        <f>N21*1000*17</f>
        <v>0</v>
      </c>
      <c r="Q21" s="553">
        <f>M21+P21</f>
        <v>1045800</v>
      </c>
      <c r="R21" s="563"/>
      <c r="S21" s="562"/>
      <c r="T21" s="476"/>
      <c r="U21" s="476"/>
    </row>
    <row r="22" spans="1:21" s="561" customFormat="1" ht="15" x14ac:dyDescent="0.25">
      <c r="A22" s="567" t="s">
        <v>26</v>
      </c>
      <c r="B22" s="567"/>
      <c r="C22" s="619">
        <v>600</v>
      </c>
      <c r="D22" s="565"/>
      <c r="E22" s="86" t="s">
        <v>225</v>
      </c>
      <c r="F22" s="555">
        <v>750</v>
      </c>
      <c r="G22" s="555"/>
      <c r="H22" s="553">
        <f>F22+G22</f>
        <v>750</v>
      </c>
      <c r="I22" s="560">
        <v>4.08</v>
      </c>
      <c r="J22" s="559">
        <v>0</v>
      </c>
      <c r="K22" s="558">
        <f>(I22-J22)/I22</f>
        <v>1</v>
      </c>
      <c r="L22" s="557">
        <v>7470</v>
      </c>
      <c r="M22" s="557">
        <f>(H22*L22)*K22</f>
        <v>5602500</v>
      </c>
      <c r="N22" s="564"/>
      <c r="O22" s="564"/>
      <c r="P22" s="553">
        <f>N22*1000*17</f>
        <v>0</v>
      </c>
      <c r="Q22" s="553">
        <f>M22+P22</f>
        <v>5602500</v>
      </c>
      <c r="R22" s="563"/>
      <c r="S22" s="562"/>
      <c r="T22" s="476"/>
      <c r="U22" s="476"/>
    </row>
    <row r="23" spans="1:21" s="658" customFormat="1" ht="15" x14ac:dyDescent="0.25">
      <c r="A23" s="649" t="s">
        <v>4</v>
      </c>
      <c r="B23" s="649"/>
      <c r="C23" s="650">
        <v>1217</v>
      </c>
      <c r="D23" s="650">
        <v>0</v>
      </c>
      <c r="E23" s="650">
        <v>0</v>
      </c>
      <c r="F23" s="650">
        <v>1636</v>
      </c>
      <c r="G23" s="650">
        <v>0</v>
      </c>
      <c r="H23" s="650">
        <v>1636</v>
      </c>
      <c r="I23" s="650">
        <v>8.16</v>
      </c>
      <c r="J23" s="650">
        <v>0</v>
      </c>
      <c r="K23" s="650">
        <v>2</v>
      </c>
      <c r="L23" s="650">
        <v>7470</v>
      </c>
      <c r="M23" s="650">
        <v>12041640</v>
      </c>
      <c r="N23" s="650">
        <v>97.92</v>
      </c>
      <c r="O23" s="650">
        <v>17</v>
      </c>
      <c r="P23" s="650">
        <v>1664640</v>
      </c>
      <c r="Q23" s="650">
        <v>13706280</v>
      </c>
      <c r="R23" s="656"/>
      <c r="S23" s="657"/>
      <c r="T23" s="524"/>
      <c r="U23" s="524"/>
    </row>
    <row r="24" spans="1:21" s="551" customFormat="1" ht="15.75" customHeight="1" x14ac:dyDescent="0.25">
      <c r="A24" s="87" t="s">
        <v>29</v>
      </c>
      <c r="B24" s="87"/>
      <c r="C24" s="591">
        <v>241</v>
      </c>
      <c r="D24" s="83"/>
      <c r="E24" s="86" t="s">
        <v>225</v>
      </c>
      <c r="F24" s="555">
        <v>347</v>
      </c>
      <c r="G24" s="555"/>
      <c r="H24" s="553">
        <f>F24+G24</f>
        <v>347</v>
      </c>
      <c r="I24" s="560">
        <v>4.08</v>
      </c>
      <c r="J24" s="559">
        <v>0</v>
      </c>
      <c r="K24" s="558">
        <f>(I24-J24)/I24</f>
        <v>1</v>
      </c>
      <c r="L24" s="557">
        <v>7470</v>
      </c>
      <c r="M24" s="557">
        <f>(H24*L24)*K24</f>
        <v>2592090</v>
      </c>
      <c r="N24" s="554"/>
      <c r="O24" s="553"/>
      <c r="P24" s="553">
        <f>N24*1000*17</f>
        <v>0</v>
      </c>
      <c r="Q24" s="553">
        <f>M24+P24</f>
        <v>2592090</v>
      </c>
      <c r="R24" s="552"/>
    </row>
    <row r="25" spans="1:21" s="561" customFormat="1" ht="15" x14ac:dyDescent="0.25">
      <c r="A25" s="567" t="s">
        <v>30</v>
      </c>
      <c r="B25" s="584"/>
      <c r="C25" s="619">
        <v>500</v>
      </c>
      <c r="D25" s="565"/>
      <c r="E25" s="86" t="s">
        <v>225</v>
      </c>
      <c r="F25" s="555">
        <v>342</v>
      </c>
      <c r="G25" s="555"/>
      <c r="H25" s="553">
        <f>F25+G25</f>
        <v>342</v>
      </c>
      <c r="I25" s="560">
        <v>4.08</v>
      </c>
      <c r="J25" s="559">
        <v>0</v>
      </c>
      <c r="K25" s="558">
        <f>(I25-J25)/I25</f>
        <v>1</v>
      </c>
      <c r="L25" s="557">
        <v>7470</v>
      </c>
      <c r="M25" s="557">
        <f>(H25*L25)*K25</f>
        <v>2554740</v>
      </c>
      <c r="N25" s="564"/>
      <c r="O25" s="564"/>
      <c r="P25" s="553">
        <f>N25*1000*17</f>
        <v>0</v>
      </c>
      <c r="Q25" s="553">
        <f>M25+P25</f>
        <v>2554740</v>
      </c>
      <c r="R25" s="563"/>
      <c r="S25" s="562"/>
      <c r="T25" s="476"/>
      <c r="U25" s="476"/>
    </row>
    <row r="26" spans="1:21" s="551" customFormat="1" ht="15.75" customHeight="1" x14ac:dyDescent="0.25">
      <c r="A26" s="87" t="s">
        <v>296</v>
      </c>
      <c r="B26" s="87"/>
      <c r="C26" s="591">
        <v>438</v>
      </c>
      <c r="D26" s="83"/>
      <c r="E26" s="83" t="s">
        <v>225</v>
      </c>
      <c r="F26" s="555">
        <v>391</v>
      </c>
      <c r="G26" s="555"/>
      <c r="H26" s="553">
        <f>F26+G26</f>
        <v>391</v>
      </c>
      <c r="I26" s="560">
        <v>4.08</v>
      </c>
      <c r="J26" s="559">
        <v>0</v>
      </c>
      <c r="K26" s="558">
        <f>(I26-J26)/I26</f>
        <v>1</v>
      </c>
      <c r="L26" s="557">
        <v>7470</v>
      </c>
      <c r="M26" s="557">
        <f>(H26*L26)*K26</f>
        <v>2920770</v>
      </c>
      <c r="N26" s="554"/>
      <c r="O26" s="553"/>
      <c r="P26" s="553">
        <f>N26*1000*17</f>
        <v>0</v>
      </c>
      <c r="Q26" s="553">
        <f>M26+P26</f>
        <v>2920770</v>
      </c>
      <c r="R26" s="552"/>
    </row>
    <row r="27" spans="1:21" s="551" customFormat="1" ht="15.75" hidden="1" customHeight="1" x14ac:dyDescent="0.25">
      <c r="A27" s="87" t="s">
        <v>9</v>
      </c>
      <c r="B27" s="87"/>
      <c r="C27" s="591"/>
      <c r="D27" s="83"/>
      <c r="E27" s="83"/>
      <c r="F27" s="555"/>
      <c r="G27" s="555"/>
      <c r="H27" s="553">
        <f>F27+G27</f>
        <v>0</v>
      </c>
      <c r="I27" s="555"/>
      <c r="J27" s="555"/>
      <c r="K27" s="558"/>
      <c r="L27" s="83"/>
      <c r="M27" s="557">
        <f>(H27*L27)*K27</f>
        <v>0</v>
      </c>
      <c r="N27" s="554"/>
      <c r="O27" s="553"/>
      <c r="P27" s="553">
        <f>N27*1000*17</f>
        <v>0</v>
      </c>
      <c r="Q27" s="553">
        <f>M27+P27</f>
        <v>0</v>
      </c>
      <c r="R27" s="552"/>
    </row>
    <row r="28" spans="1:21" s="664" customFormat="1" ht="15.75" customHeight="1" x14ac:dyDescent="0.25">
      <c r="A28" s="659" t="s">
        <v>11</v>
      </c>
      <c r="B28" s="659"/>
      <c r="C28" s="660">
        <v>60</v>
      </c>
      <c r="D28" s="661"/>
      <c r="E28" s="661">
        <v>60</v>
      </c>
      <c r="F28" s="652">
        <v>60</v>
      </c>
      <c r="G28" s="652">
        <v>60</v>
      </c>
      <c r="H28" s="653">
        <v>60</v>
      </c>
      <c r="I28" s="652">
        <v>60</v>
      </c>
      <c r="J28" s="652">
        <v>60</v>
      </c>
      <c r="K28" s="654">
        <v>60</v>
      </c>
      <c r="L28" s="661">
        <v>60</v>
      </c>
      <c r="M28" s="655">
        <v>60</v>
      </c>
      <c r="N28" s="662">
        <v>60</v>
      </c>
      <c r="O28" s="653">
        <v>60</v>
      </c>
      <c r="P28" s="653">
        <v>60</v>
      </c>
      <c r="Q28" s="653">
        <v>60</v>
      </c>
      <c r="R28" s="663"/>
    </row>
    <row r="29" spans="1:21" s="561" customFormat="1" ht="15" x14ac:dyDescent="0.25">
      <c r="A29" s="567" t="s">
        <v>269</v>
      </c>
      <c r="B29" s="567"/>
      <c r="C29" s="619">
        <v>470.40000000000003</v>
      </c>
      <c r="D29" s="565"/>
      <c r="E29" s="86" t="s">
        <v>225</v>
      </c>
      <c r="F29" s="555">
        <v>588</v>
      </c>
      <c r="G29" s="555"/>
      <c r="H29" s="553">
        <f>F29+G29</f>
        <v>588</v>
      </c>
      <c r="I29" s="560">
        <v>4.08</v>
      </c>
      <c r="J29" s="559">
        <v>0</v>
      </c>
      <c r="K29" s="558">
        <f>(I29-J29)/I29</f>
        <v>1</v>
      </c>
      <c r="L29" s="557">
        <v>7470</v>
      </c>
      <c r="M29" s="557">
        <f>(H29*L29)*K29</f>
        <v>4392360</v>
      </c>
      <c r="N29" s="564"/>
      <c r="O29" s="564"/>
      <c r="P29" s="553">
        <f>N29*1000*17</f>
        <v>0</v>
      </c>
      <c r="Q29" s="553">
        <f>M29+P29</f>
        <v>4392360</v>
      </c>
      <c r="R29" s="563"/>
      <c r="S29" s="562"/>
      <c r="T29" s="476"/>
      <c r="U29" s="476"/>
    </row>
    <row r="30" spans="1:21" s="561" customFormat="1" ht="15" x14ac:dyDescent="0.25">
      <c r="A30" s="567" t="s">
        <v>12</v>
      </c>
      <c r="B30" s="567"/>
      <c r="C30" s="619">
        <v>1978</v>
      </c>
      <c r="D30" s="565"/>
      <c r="E30" s="86" t="s">
        <v>225</v>
      </c>
      <c r="F30" s="555">
        <v>1742</v>
      </c>
      <c r="G30" s="555"/>
      <c r="H30" s="553">
        <f>F30+G30</f>
        <v>1742</v>
      </c>
      <c r="I30" s="560">
        <v>4.08</v>
      </c>
      <c r="J30" s="559">
        <v>0</v>
      </c>
      <c r="K30" s="558">
        <f>(I30-J30)/I30</f>
        <v>1</v>
      </c>
      <c r="L30" s="557">
        <v>7470</v>
      </c>
      <c r="M30" s="557">
        <f>(H30*L30)*K30</f>
        <v>13012740</v>
      </c>
      <c r="N30" s="564"/>
      <c r="O30" s="564"/>
      <c r="P30" s="553">
        <f>N30*1000*17</f>
        <v>0</v>
      </c>
      <c r="Q30" s="553">
        <f>M30+P30</f>
        <v>13012740</v>
      </c>
      <c r="R30" s="563"/>
      <c r="S30" s="562"/>
      <c r="T30" s="476"/>
      <c r="U30" s="476"/>
    </row>
    <row r="31" spans="1:21" s="561" customFormat="1" ht="15" x14ac:dyDescent="0.25">
      <c r="A31" s="567" t="s">
        <v>13</v>
      </c>
      <c r="B31" s="567"/>
      <c r="C31" s="619">
        <v>286.40000000000003</v>
      </c>
      <c r="D31" s="565"/>
      <c r="E31" s="86" t="s">
        <v>225</v>
      </c>
      <c r="F31" s="555">
        <v>358</v>
      </c>
      <c r="G31" s="555"/>
      <c r="H31" s="553">
        <f>F31+G31</f>
        <v>358</v>
      </c>
      <c r="I31" s="560">
        <v>4.08</v>
      </c>
      <c r="J31" s="559">
        <v>0</v>
      </c>
      <c r="K31" s="558">
        <f>(I31-J31)/I31</f>
        <v>1</v>
      </c>
      <c r="L31" s="557">
        <v>7470</v>
      </c>
      <c r="M31" s="557">
        <f>(H31*L31)*K31</f>
        <v>2674260</v>
      </c>
      <c r="N31" s="564"/>
      <c r="O31" s="564"/>
      <c r="P31" s="553">
        <f>N31*1000*17</f>
        <v>0</v>
      </c>
      <c r="Q31" s="553">
        <f>M31+P31</f>
        <v>2674260</v>
      </c>
      <c r="R31" s="563"/>
      <c r="S31" s="562"/>
      <c r="T31" s="476"/>
      <c r="U31" s="476"/>
    </row>
    <row r="32" spans="1:21" s="658" customFormat="1" ht="15" x14ac:dyDescent="0.25">
      <c r="A32" s="649" t="s">
        <v>14</v>
      </c>
      <c r="B32" s="649"/>
      <c r="C32" s="650">
        <v>864</v>
      </c>
      <c r="D32" s="650">
        <v>0</v>
      </c>
      <c r="E32" s="650">
        <v>0</v>
      </c>
      <c r="F32" s="650">
        <v>925</v>
      </c>
      <c r="G32" s="650">
        <v>231</v>
      </c>
      <c r="H32" s="650">
        <v>1156</v>
      </c>
      <c r="I32" s="650">
        <v>8.16</v>
      </c>
      <c r="J32" s="650">
        <v>1.22</v>
      </c>
      <c r="K32" s="650">
        <v>1.7009803921568629</v>
      </c>
      <c r="L32" s="650">
        <v>14940</v>
      </c>
      <c r="M32" s="650">
        <v>8119340.7352941176</v>
      </c>
      <c r="N32" s="650">
        <v>0</v>
      </c>
      <c r="O32" s="650">
        <v>0</v>
      </c>
      <c r="P32" s="650">
        <v>0</v>
      </c>
      <c r="Q32" s="650">
        <v>8119340.7352941176</v>
      </c>
      <c r="R32" s="656"/>
      <c r="S32" s="657"/>
      <c r="T32" s="524"/>
      <c r="U32" s="524"/>
    </row>
    <row r="33" spans="1:21" s="551" customFormat="1" ht="15.75" hidden="1" customHeight="1" x14ac:dyDescent="0.25">
      <c r="A33" s="87" t="s">
        <v>15</v>
      </c>
      <c r="B33" s="87"/>
      <c r="C33" s="591"/>
      <c r="D33" s="83"/>
      <c r="E33" s="83"/>
      <c r="F33" s="555"/>
      <c r="G33" s="555"/>
      <c r="H33" s="553">
        <f t="shared" ref="H33:H47" si="0">F33+G33</f>
        <v>0</v>
      </c>
      <c r="I33" s="555"/>
      <c r="J33" s="555"/>
      <c r="K33" s="558"/>
      <c r="L33" s="83"/>
      <c r="M33" s="557">
        <f t="shared" ref="M33:M38" si="1">(H33*L33)*K33</f>
        <v>0</v>
      </c>
      <c r="N33" s="554"/>
      <c r="O33" s="553"/>
      <c r="P33" s="553">
        <f t="shared" ref="P33:P38" si="2">N33*1000*17</f>
        <v>0</v>
      </c>
      <c r="Q33" s="553">
        <f t="shared" ref="Q33:Q38" si="3">M33+P33</f>
        <v>0</v>
      </c>
      <c r="R33" s="552"/>
    </row>
    <row r="34" spans="1:21" s="551" customFormat="1" ht="15.75" hidden="1" customHeight="1" x14ac:dyDescent="0.25">
      <c r="A34" s="87" t="s">
        <v>16</v>
      </c>
      <c r="B34" s="87"/>
      <c r="C34" s="591"/>
      <c r="D34" s="83"/>
      <c r="E34" s="83"/>
      <c r="F34" s="555"/>
      <c r="G34" s="555"/>
      <c r="H34" s="553">
        <f t="shared" si="0"/>
        <v>0</v>
      </c>
      <c r="I34" s="555"/>
      <c r="J34" s="555"/>
      <c r="K34" s="558"/>
      <c r="L34" s="83"/>
      <c r="M34" s="557">
        <f t="shared" si="1"/>
        <v>0</v>
      </c>
      <c r="N34" s="554"/>
      <c r="O34" s="553"/>
      <c r="P34" s="553">
        <f t="shared" si="2"/>
        <v>0</v>
      </c>
      <c r="Q34" s="553">
        <f t="shared" si="3"/>
        <v>0</v>
      </c>
      <c r="R34" s="552"/>
    </row>
    <row r="35" spans="1:21" s="561" customFormat="1" ht="15" x14ac:dyDescent="0.25">
      <c r="A35" s="567" t="s">
        <v>18</v>
      </c>
      <c r="B35" s="86"/>
      <c r="C35" s="619">
        <v>160</v>
      </c>
      <c r="D35" s="565"/>
      <c r="E35" s="86" t="s">
        <v>225</v>
      </c>
      <c r="F35" s="565">
        <v>200</v>
      </c>
      <c r="G35" s="565"/>
      <c r="H35" s="553">
        <f t="shared" si="0"/>
        <v>200</v>
      </c>
      <c r="I35" s="560">
        <v>4.08</v>
      </c>
      <c r="J35" s="559">
        <v>0</v>
      </c>
      <c r="K35" s="558">
        <f>(I35-J35)/I35</f>
        <v>1</v>
      </c>
      <c r="L35" s="557">
        <v>7470</v>
      </c>
      <c r="M35" s="557">
        <f t="shared" si="1"/>
        <v>1494000</v>
      </c>
      <c r="N35" s="564"/>
      <c r="O35" s="564"/>
      <c r="P35" s="553">
        <f t="shared" si="2"/>
        <v>0</v>
      </c>
      <c r="Q35" s="553">
        <f t="shared" si="3"/>
        <v>1494000</v>
      </c>
      <c r="R35" s="563"/>
      <c r="S35" s="562"/>
      <c r="T35" s="476"/>
      <c r="U35" s="476"/>
    </row>
    <row r="36" spans="1:21" s="551" customFormat="1" ht="15.75" customHeight="1" x14ac:dyDescent="0.25">
      <c r="A36" s="87" t="s">
        <v>20</v>
      </c>
      <c r="B36" s="87"/>
      <c r="C36" s="591">
        <v>285</v>
      </c>
      <c r="D36" s="83"/>
      <c r="E36" s="83" t="s">
        <v>225</v>
      </c>
      <c r="F36" s="555">
        <v>300</v>
      </c>
      <c r="G36" s="555"/>
      <c r="H36" s="553">
        <f t="shared" si="0"/>
        <v>300</v>
      </c>
      <c r="I36" s="589">
        <v>4.08</v>
      </c>
      <c r="J36" s="559">
        <v>0</v>
      </c>
      <c r="K36" s="558">
        <f>(I36-J36)/I36</f>
        <v>1</v>
      </c>
      <c r="L36" s="557">
        <v>7470</v>
      </c>
      <c r="M36" s="557">
        <f t="shared" si="1"/>
        <v>2241000</v>
      </c>
      <c r="N36" s="554"/>
      <c r="O36" s="553"/>
      <c r="P36" s="553">
        <f t="shared" si="2"/>
        <v>0</v>
      </c>
      <c r="Q36" s="553">
        <f t="shared" si="3"/>
        <v>2241000</v>
      </c>
      <c r="R36" s="552"/>
    </row>
    <row r="37" spans="1:21" s="551" customFormat="1" ht="15.75" customHeight="1" x14ac:dyDescent="0.25">
      <c r="A37" s="87" t="s">
        <v>21</v>
      </c>
      <c r="B37" s="87"/>
      <c r="C37" s="591">
        <v>450</v>
      </c>
      <c r="D37" s="83"/>
      <c r="E37" s="83" t="s">
        <v>225</v>
      </c>
      <c r="F37" s="555">
        <v>500</v>
      </c>
      <c r="G37" s="555"/>
      <c r="H37" s="553">
        <f t="shared" si="0"/>
        <v>500</v>
      </c>
      <c r="I37" s="589">
        <v>4.08</v>
      </c>
      <c r="J37" s="559">
        <v>0</v>
      </c>
      <c r="K37" s="558">
        <f>(I37-J37)/I37</f>
        <v>1</v>
      </c>
      <c r="L37" s="557">
        <v>7470</v>
      </c>
      <c r="M37" s="557">
        <f t="shared" si="1"/>
        <v>3735000</v>
      </c>
      <c r="N37" s="554"/>
      <c r="O37" s="553"/>
      <c r="P37" s="553">
        <f t="shared" si="2"/>
        <v>0</v>
      </c>
      <c r="Q37" s="553">
        <f t="shared" si="3"/>
        <v>3735000</v>
      </c>
      <c r="R37" s="552"/>
    </row>
    <row r="38" spans="1:21" s="551" customFormat="1" ht="15.75" customHeight="1" x14ac:dyDescent="0.25">
      <c r="A38" s="87" t="s">
        <v>25</v>
      </c>
      <c r="B38" s="87"/>
      <c r="C38" s="591">
        <v>210</v>
      </c>
      <c r="D38" s="83"/>
      <c r="E38" s="86" t="s">
        <v>225</v>
      </c>
      <c r="F38" s="555">
        <v>250</v>
      </c>
      <c r="G38" s="555"/>
      <c r="H38" s="553">
        <f t="shared" si="0"/>
        <v>250</v>
      </c>
      <c r="I38" s="589">
        <v>4.08</v>
      </c>
      <c r="J38" s="559">
        <v>0</v>
      </c>
      <c r="K38" s="558">
        <f>(I38-J38)/I38</f>
        <v>1</v>
      </c>
      <c r="L38" s="557">
        <v>7470</v>
      </c>
      <c r="M38" s="557">
        <f t="shared" si="1"/>
        <v>1867500</v>
      </c>
      <c r="N38" s="554"/>
      <c r="O38" s="553"/>
      <c r="P38" s="553">
        <f t="shared" si="2"/>
        <v>0</v>
      </c>
      <c r="Q38" s="553">
        <f t="shared" si="3"/>
        <v>1867500</v>
      </c>
      <c r="R38" s="552"/>
    </row>
    <row r="39" spans="1:21" s="561" customFormat="1" ht="15" x14ac:dyDescent="0.25">
      <c r="A39" s="567" t="s">
        <v>28</v>
      </c>
      <c r="B39" s="622"/>
      <c r="C39" s="619">
        <v>92</v>
      </c>
      <c r="D39" s="565"/>
      <c r="E39" s="86" t="s">
        <v>225</v>
      </c>
      <c r="F39" s="565">
        <v>51</v>
      </c>
      <c r="G39" s="565">
        <v>31</v>
      </c>
      <c r="H39" s="582">
        <f t="shared" si="0"/>
        <v>82</v>
      </c>
      <c r="I39" s="560">
        <v>4.08</v>
      </c>
      <c r="J39" s="559">
        <v>2.46</v>
      </c>
      <c r="K39" s="558">
        <f>(I39-J39)/I39</f>
        <v>0.3970588235294118</v>
      </c>
      <c r="L39" s="557">
        <v>7470</v>
      </c>
      <c r="M39" s="581">
        <f>SUM(H39*L39*K39)</f>
        <v>243214.4117647059</v>
      </c>
      <c r="N39" s="564"/>
      <c r="O39" s="564"/>
      <c r="P39" s="621"/>
      <c r="Q39" s="557">
        <f>SUM(M39,P39)</f>
        <v>243214.4117647059</v>
      </c>
      <c r="R39" s="563"/>
      <c r="S39" s="562"/>
      <c r="T39" s="476"/>
      <c r="U39" s="476"/>
    </row>
    <row r="40" spans="1:21" s="551" customFormat="1" ht="15.75" hidden="1" customHeight="1" x14ac:dyDescent="0.25">
      <c r="A40" s="87" t="s">
        <v>31</v>
      </c>
      <c r="B40" s="87"/>
      <c r="C40" s="591"/>
      <c r="D40" s="83"/>
      <c r="E40" s="83"/>
      <c r="F40" s="555"/>
      <c r="G40" s="555"/>
      <c r="H40" s="553">
        <f t="shared" si="0"/>
        <v>0</v>
      </c>
      <c r="I40" s="555"/>
      <c r="J40" s="555"/>
      <c r="K40" s="558"/>
      <c r="L40" s="83"/>
      <c r="M40" s="557">
        <f t="shared" ref="M40:M47" si="4">(H40*L40)*K40</f>
        <v>0</v>
      </c>
      <c r="N40" s="554"/>
      <c r="O40" s="553"/>
      <c r="P40" s="553">
        <f t="shared" ref="P40:P47" si="5">N40*1000*17</f>
        <v>0</v>
      </c>
      <c r="Q40" s="553">
        <f t="shared" ref="Q40:Q47" si="6">M40+P40</f>
        <v>0</v>
      </c>
      <c r="R40" s="552"/>
    </row>
    <row r="41" spans="1:21" s="551" customFormat="1" ht="15.75" hidden="1" customHeight="1" x14ac:dyDescent="0.25">
      <c r="A41" s="87" t="s">
        <v>262</v>
      </c>
      <c r="B41" s="87"/>
      <c r="C41" s="591"/>
      <c r="D41" s="83"/>
      <c r="E41" s="83"/>
      <c r="F41" s="555"/>
      <c r="G41" s="555"/>
      <c r="H41" s="553">
        <f t="shared" si="0"/>
        <v>0</v>
      </c>
      <c r="I41" s="555"/>
      <c r="J41" s="555"/>
      <c r="K41" s="558"/>
      <c r="L41" s="83"/>
      <c r="M41" s="557">
        <f t="shared" si="4"/>
        <v>0</v>
      </c>
      <c r="N41" s="554"/>
      <c r="O41" s="553"/>
      <c r="P41" s="553">
        <f t="shared" si="5"/>
        <v>0</v>
      </c>
      <c r="Q41" s="553">
        <f t="shared" si="6"/>
        <v>0</v>
      </c>
      <c r="R41" s="552"/>
    </row>
    <row r="42" spans="1:21" s="551" customFormat="1" ht="15.75" customHeight="1" x14ac:dyDescent="0.25">
      <c r="A42" s="87" t="s">
        <v>19</v>
      </c>
      <c r="B42" s="87"/>
      <c r="C42" s="591">
        <v>549</v>
      </c>
      <c r="D42" s="83"/>
      <c r="E42" s="83" t="s">
        <v>225</v>
      </c>
      <c r="F42" s="555">
        <v>379</v>
      </c>
      <c r="G42" s="555"/>
      <c r="H42" s="553">
        <f t="shared" si="0"/>
        <v>379</v>
      </c>
      <c r="I42" s="555">
        <v>4.08</v>
      </c>
      <c r="J42" s="559">
        <v>0</v>
      </c>
      <c r="K42" s="558">
        <f t="shared" ref="K42:K47" si="7">(I42-J42)/I42</f>
        <v>1</v>
      </c>
      <c r="L42" s="557">
        <v>7470</v>
      </c>
      <c r="M42" s="557">
        <f t="shared" si="4"/>
        <v>2831130</v>
      </c>
      <c r="N42" s="554"/>
      <c r="O42" s="553"/>
      <c r="P42" s="553">
        <f t="shared" si="5"/>
        <v>0</v>
      </c>
      <c r="Q42" s="553">
        <f t="shared" si="6"/>
        <v>2831130</v>
      </c>
      <c r="R42" s="552"/>
    </row>
    <row r="43" spans="1:21" s="551" customFormat="1" ht="15" x14ac:dyDescent="0.25">
      <c r="A43" s="584" t="s">
        <v>92</v>
      </c>
      <c r="B43" s="584"/>
      <c r="C43" s="619">
        <v>155.20000000000002</v>
      </c>
      <c r="D43" s="565"/>
      <c r="E43" s="86" t="s">
        <v>225</v>
      </c>
      <c r="F43" s="555">
        <v>194</v>
      </c>
      <c r="G43" s="555"/>
      <c r="H43" s="553">
        <f t="shared" si="0"/>
        <v>194</v>
      </c>
      <c r="I43" s="560">
        <v>4.08</v>
      </c>
      <c r="J43" s="559">
        <v>0</v>
      </c>
      <c r="K43" s="558">
        <f t="shared" si="7"/>
        <v>1</v>
      </c>
      <c r="L43" s="557">
        <v>7470</v>
      </c>
      <c r="M43" s="557">
        <f t="shared" si="4"/>
        <v>1449180</v>
      </c>
      <c r="N43" s="564"/>
      <c r="O43" s="564"/>
      <c r="P43" s="553">
        <f t="shared" si="5"/>
        <v>0</v>
      </c>
      <c r="Q43" s="553">
        <f t="shared" si="6"/>
        <v>1449180</v>
      </c>
      <c r="R43" s="563"/>
      <c r="S43" s="568"/>
      <c r="T43" s="310"/>
      <c r="U43" s="310"/>
    </row>
    <row r="44" spans="1:21" s="551" customFormat="1" ht="15.75" customHeight="1" x14ac:dyDescent="0.25">
      <c r="A44" s="87" t="s">
        <v>27</v>
      </c>
      <c r="B44" s="87"/>
      <c r="C44" s="591">
        <v>32</v>
      </c>
      <c r="D44" s="83"/>
      <c r="E44" s="83" t="s">
        <v>225</v>
      </c>
      <c r="F44" s="555">
        <v>25</v>
      </c>
      <c r="G44" s="555"/>
      <c r="H44" s="553">
        <f t="shared" si="0"/>
        <v>25</v>
      </c>
      <c r="I44" s="589">
        <v>4.08</v>
      </c>
      <c r="J44" s="559">
        <v>0</v>
      </c>
      <c r="K44" s="558">
        <f t="shared" si="7"/>
        <v>1</v>
      </c>
      <c r="L44" s="557">
        <v>7470</v>
      </c>
      <c r="M44" s="557">
        <f t="shared" si="4"/>
        <v>186750</v>
      </c>
      <c r="N44" s="554"/>
      <c r="O44" s="553"/>
      <c r="P44" s="553">
        <f t="shared" si="5"/>
        <v>0</v>
      </c>
      <c r="Q44" s="553">
        <f t="shared" si="6"/>
        <v>186750</v>
      </c>
      <c r="R44" s="552"/>
    </row>
    <row r="45" spans="1:21" s="561" customFormat="1" ht="15" x14ac:dyDescent="0.25">
      <c r="A45" s="567" t="s">
        <v>32</v>
      </c>
      <c r="B45" s="567"/>
      <c r="C45" s="619">
        <v>360</v>
      </c>
      <c r="D45" s="565"/>
      <c r="E45" s="86" t="s">
        <v>225</v>
      </c>
      <c r="F45" s="555">
        <v>450</v>
      </c>
      <c r="G45" s="555"/>
      <c r="H45" s="553">
        <f t="shared" si="0"/>
        <v>450</v>
      </c>
      <c r="I45" s="560">
        <v>4.08</v>
      </c>
      <c r="J45" s="559">
        <v>0</v>
      </c>
      <c r="K45" s="558">
        <f t="shared" si="7"/>
        <v>1</v>
      </c>
      <c r="L45" s="557">
        <v>7470</v>
      </c>
      <c r="M45" s="557">
        <f t="shared" si="4"/>
        <v>3361500</v>
      </c>
      <c r="N45" s="564"/>
      <c r="O45" s="564"/>
      <c r="P45" s="553">
        <f t="shared" si="5"/>
        <v>0</v>
      </c>
      <c r="Q45" s="553">
        <f t="shared" si="6"/>
        <v>3361500</v>
      </c>
      <c r="R45" s="563"/>
      <c r="S45" s="620"/>
      <c r="T45" s="476"/>
      <c r="U45" s="476"/>
    </row>
    <row r="46" spans="1:21" s="551" customFormat="1" ht="15.75" customHeight="1" x14ac:dyDescent="0.25">
      <c r="A46" s="87" t="s">
        <v>8</v>
      </c>
      <c r="B46" s="87"/>
      <c r="C46" s="591">
        <v>50</v>
      </c>
      <c r="D46" s="83"/>
      <c r="E46" s="83" t="s">
        <v>225</v>
      </c>
      <c r="F46" s="555">
        <v>55</v>
      </c>
      <c r="G46" s="555"/>
      <c r="H46" s="553">
        <f t="shared" si="0"/>
        <v>55</v>
      </c>
      <c r="I46" s="555">
        <v>4.08</v>
      </c>
      <c r="J46" s="559">
        <v>0</v>
      </c>
      <c r="K46" s="558">
        <f t="shared" si="7"/>
        <v>1</v>
      </c>
      <c r="L46" s="557">
        <v>7470</v>
      </c>
      <c r="M46" s="557">
        <f t="shared" si="4"/>
        <v>410850</v>
      </c>
      <c r="N46" s="554"/>
      <c r="O46" s="553"/>
      <c r="P46" s="553">
        <f t="shared" si="5"/>
        <v>0</v>
      </c>
      <c r="Q46" s="553">
        <f t="shared" si="6"/>
        <v>410850</v>
      </c>
      <c r="R46" s="552"/>
    </row>
    <row r="47" spans="1:21" s="551" customFormat="1" ht="15.75" customHeight="1" x14ac:dyDescent="0.25">
      <c r="A47" s="87" t="s">
        <v>295</v>
      </c>
      <c r="B47" s="87"/>
      <c r="C47" s="591">
        <v>47</v>
      </c>
      <c r="D47" s="83"/>
      <c r="E47" s="83" t="s">
        <v>225</v>
      </c>
      <c r="F47" s="555">
        <v>51</v>
      </c>
      <c r="G47" s="555"/>
      <c r="H47" s="553">
        <f t="shared" si="0"/>
        <v>51</v>
      </c>
      <c r="I47" s="555">
        <v>4.08</v>
      </c>
      <c r="J47" s="559">
        <v>0</v>
      </c>
      <c r="K47" s="558">
        <f t="shared" si="7"/>
        <v>1</v>
      </c>
      <c r="L47" s="557">
        <v>7470</v>
      </c>
      <c r="M47" s="557">
        <f t="shared" si="4"/>
        <v>380970</v>
      </c>
      <c r="N47" s="554"/>
      <c r="O47" s="553"/>
      <c r="P47" s="553">
        <f t="shared" si="5"/>
        <v>0</v>
      </c>
      <c r="Q47" s="553">
        <f t="shared" si="6"/>
        <v>380970</v>
      </c>
      <c r="R47" s="552"/>
    </row>
    <row r="48" spans="1:21" s="664" customFormat="1" ht="15.75" customHeight="1" x14ac:dyDescent="0.25">
      <c r="A48" s="659" t="s">
        <v>17</v>
      </c>
      <c r="B48" s="659"/>
      <c r="C48" s="660">
        <v>210</v>
      </c>
      <c r="D48" s="660">
        <v>0</v>
      </c>
      <c r="E48" s="660">
        <v>0</v>
      </c>
      <c r="F48" s="660">
        <v>100</v>
      </c>
      <c r="G48" s="660">
        <v>100</v>
      </c>
      <c r="H48" s="660">
        <v>200</v>
      </c>
      <c r="I48" s="660">
        <v>8.16</v>
      </c>
      <c r="J48" s="660">
        <v>2.0499999999999998</v>
      </c>
      <c r="K48" s="660">
        <v>1.4975490196078431</v>
      </c>
      <c r="L48" s="660">
        <v>40934</v>
      </c>
      <c r="M48" s="660">
        <v>3718069.1176470588</v>
      </c>
      <c r="N48" s="660">
        <v>0</v>
      </c>
      <c r="O48" s="660">
        <v>0</v>
      </c>
      <c r="P48" s="660">
        <v>0</v>
      </c>
      <c r="Q48" s="660">
        <v>3718069.1176470588</v>
      </c>
      <c r="R48" s="663"/>
    </row>
    <row r="49" spans="1:21" s="64" customFormat="1" ht="15.75" customHeight="1" x14ac:dyDescent="0.25">
      <c r="A49" s="87" t="s">
        <v>100</v>
      </c>
      <c r="B49" s="87"/>
      <c r="C49" s="591">
        <v>385</v>
      </c>
      <c r="D49" s="83"/>
      <c r="E49" s="83" t="s">
        <v>225</v>
      </c>
      <c r="F49" s="555">
        <v>426</v>
      </c>
      <c r="G49" s="555"/>
      <c r="H49" s="553">
        <f t="shared" ref="H49:H54" si="8">F49+G49</f>
        <v>426</v>
      </c>
      <c r="I49" s="589">
        <v>4.08</v>
      </c>
      <c r="J49" s="559">
        <v>0</v>
      </c>
      <c r="K49" s="558">
        <f>(I49-J49)/I49</f>
        <v>1</v>
      </c>
      <c r="L49" s="557">
        <v>7470</v>
      </c>
      <c r="M49" s="557">
        <f t="shared" ref="M49:M54" si="9">(H49*L49)*K49</f>
        <v>3182220</v>
      </c>
      <c r="N49" s="554"/>
      <c r="O49" s="588"/>
      <c r="P49" s="553">
        <f t="shared" ref="P49:P54" si="10">N49*1000*17</f>
        <v>0</v>
      </c>
      <c r="Q49" s="588">
        <f t="shared" ref="Q49:Q54" si="11">M49+P49</f>
        <v>3182220</v>
      </c>
      <c r="R49" s="590"/>
    </row>
    <row r="50" spans="1:21" s="551" customFormat="1" ht="15.75" hidden="1" customHeight="1" x14ac:dyDescent="0.25">
      <c r="A50" s="87" t="s">
        <v>22</v>
      </c>
      <c r="B50" s="87"/>
      <c r="C50" s="591"/>
      <c r="D50" s="83"/>
      <c r="E50" s="83"/>
      <c r="F50" s="555"/>
      <c r="G50" s="555"/>
      <c r="H50" s="553">
        <f t="shared" si="8"/>
        <v>0</v>
      </c>
      <c r="I50" s="555"/>
      <c r="J50" s="555"/>
      <c r="K50" s="558"/>
      <c r="L50" s="83"/>
      <c r="M50" s="557">
        <f t="shared" si="9"/>
        <v>0</v>
      </c>
      <c r="N50" s="554"/>
      <c r="O50" s="553"/>
      <c r="P50" s="553">
        <f t="shared" si="10"/>
        <v>0</v>
      </c>
      <c r="Q50" s="553">
        <f t="shared" si="11"/>
        <v>0</v>
      </c>
      <c r="R50" s="552"/>
    </row>
    <row r="51" spans="1:21" s="64" customFormat="1" ht="15.75" customHeight="1" x14ac:dyDescent="0.25">
      <c r="A51" s="87" t="s">
        <v>23</v>
      </c>
      <c r="B51" s="87"/>
      <c r="C51" s="591">
        <v>730</v>
      </c>
      <c r="D51" s="83"/>
      <c r="E51" s="83" t="s">
        <v>225</v>
      </c>
      <c r="F51" s="555">
        <v>1875</v>
      </c>
      <c r="G51" s="555"/>
      <c r="H51" s="553">
        <f t="shared" si="8"/>
        <v>1875</v>
      </c>
      <c r="I51" s="589">
        <v>4.08</v>
      </c>
      <c r="J51" s="559">
        <v>0</v>
      </c>
      <c r="K51" s="558">
        <f>(I51-J51)/I51</f>
        <v>1</v>
      </c>
      <c r="L51" s="557">
        <v>7470</v>
      </c>
      <c r="M51" s="557">
        <f t="shared" si="9"/>
        <v>14006250</v>
      </c>
      <c r="N51" s="554"/>
      <c r="O51" s="588"/>
      <c r="P51" s="553">
        <f t="shared" si="10"/>
        <v>0</v>
      </c>
      <c r="Q51" s="588">
        <f t="shared" si="11"/>
        <v>14006250</v>
      </c>
      <c r="R51" s="590"/>
    </row>
    <row r="52" spans="1:21" s="551" customFormat="1" ht="15.75" customHeight="1" x14ac:dyDescent="0.25">
      <c r="A52" s="87" t="s">
        <v>261</v>
      </c>
      <c r="B52" s="87"/>
      <c r="C52" s="591">
        <v>121</v>
      </c>
      <c r="D52" s="83"/>
      <c r="E52" s="86" t="s">
        <v>120</v>
      </c>
      <c r="F52" s="555">
        <v>102</v>
      </c>
      <c r="G52" s="555"/>
      <c r="H52" s="553">
        <f t="shared" si="8"/>
        <v>102</v>
      </c>
      <c r="I52" s="555">
        <v>4.08</v>
      </c>
      <c r="J52" s="559">
        <v>0</v>
      </c>
      <c r="K52" s="558">
        <f>(I52-J52)/I52</f>
        <v>1</v>
      </c>
      <c r="L52" s="557">
        <v>33464</v>
      </c>
      <c r="M52" s="557">
        <f t="shared" si="9"/>
        <v>3413328</v>
      </c>
      <c r="N52" s="554"/>
      <c r="O52" s="553"/>
      <c r="P52" s="553">
        <f t="shared" si="10"/>
        <v>0</v>
      </c>
      <c r="Q52" s="553">
        <f t="shared" si="11"/>
        <v>3413328</v>
      </c>
      <c r="R52" s="552"/>
    </row>
    <row r="53" spans="1:21" s="551" customFormat="1" ht="15.75" hidden="1" customHeight="1" x14ac:dyDescent="0.25">
      <c r="A53" s="87" t="s">
        <v>294</v>
      </c>
      <c r="B53" s="87"/>
      <c r="C53" s="591"/>
      <c r="D53" s="83"/>
      <c r="E53" s="83"/>
      <c r="F53" s="555"/>
      <c r="G53" s="555"/>
      <c r="H53" s="553">
        <f t="shared" si="8"/>
        <v>0</v>
      </c>
      <c r="I53" s="555"/>
      <c r="J53" s="555"/>
      <c r="K53" s="558"/>
      <c r="L53" s="83"/>
      <c r="M53" s="557">
        <f t="shared" si="9"/>
        <v>0</v>
      </c>
      <c r="N53" s="554"/>
      <c r="O53" s="553"/>
      <c r="P53" s="553">
        <f t="shared" si="10"/>
        <v>0</v>
      </c>
      <c r="Q53" s="553">
        <f t="shared" si="11"/>
        <v>0</v>
      </c>
      <c r="R53" s="552"/>
    </row>
    <row r="54" spans="1:21" s="551" customFormat="1" ht="15.75" hidden="1" customHeight="1" x14ac:dyDescent="0.25">
      <c r="A54" s="87" t="s">
        <v>1</v>
      </c>
      <c r="B54" s="87"/>
      <c r="C54" s="591"/>
      <c r="D54" s="83"/>
      <c r="E54" s="83"/>
      <c r="F54" s="555"/>
      <c r="G54" s="555"/>
      <c r="H54" s="553">
        <f t="shared" si="8"/>
        <v>0</v>
      </c>
      <c r="I54" s="555"/>
      <c r="J54" s="555"/>
      <c r="K54" s="558"/>
      <c r="L54" s="83"/>
      <c r="M54" s="557">
        <f t="shared" si="9"/>
        <v>0</v>
      </c>
      <c r="N54" s="554"/>
      <c r="O54" s="553"/>
      <c r="P54" s="553">
        <f t="shared" si="10"/>
        <v>0</v>
      </c>
      <c r="Q54" s="553">
        <f t="shared" si="11"/>
        <v>0</v>
      </c>
      <c r="R54" s="552"/>
    </row>
    <row r="55" spans="1:21" s="664" customFormat="1" ht="15.75" customHeight="1" x14ac:dyDescent="0.25">
      <c r="A55" s="659" t="s">
        <v>10</v>
      </c>
      <c r="B55" s="659"/>
      <c r="C55" s="660">
        <v>79</v>
      </c>
      <c r="D55" s="660">
        <v>0</v>
      </c>
      <c r="E55" s="660">
        <v>0</v>
      </c>
      <c r="F55" s="660">
        <v>85</v>
      </c>
      <c r="G55" s="660">
        <v>0</v>
      </c>
      <c r="H55" s="660">
        <v>85</v>
      </c>
      <c r="I55" s="660">
        <v>8.16</v>
      </c>
      <c r="J55" s="660">
        <v>4.0999999999999996</v>
      </c>
      <c r="K55" s="660">
        <v>0.9950980392156864</v>
      </c>
      <c r="L55" s="660">
        <v>66928</v>
      </c>
      <c r="M55" s="660">
        <v>1415248.3333333335</v>
      </c>
      <c r="N55" s="660">
        <v>0</v>
      </c>
      <c r="O55" s="660">
        <v>0</v>
      </c>
      <c r="P55" s="660">
        <v>0</v>
      </c>
      <c r="Q55" s="660">
        <v>1415248.3333333335</v>
      </c>
      <c r="R55" s="663"/>
    </row>
    <row r="56" spans="1:21" s="551" customFormat="1" ht="15.75" customHeight="1" x14ac:dyDescent="0.25">
      <c r="A56" s="87" t="s">
        <v>260</v>
      </c>
      <c r="B56" s="87"/>
      <c r="C56" s="591">
        <v>175</v>
      </c>
      <c r="D56" s="83"/>
      <c r="E56" s="83" t="s">
        <v>225</v>
      </c>
      <c r="F56" s="555">
        <v>169</v>
      </c>
      <c r="G56" s="555"/>
      <c r="H56" s="553">
        <f>F56+G56</f>
        <v>169</v>
      </c>
      <c r="I56" s="555"/>
      <c r="J56" s="555"/>
      <c r="K56" s="558"/>
      <c r="L56" s="83"/>
      <c r="M56" s="557">
        <f>(H56*L56)*K56</f>
        <v>0</v>
      </c>
      <c r="N56" s="554"/>
      <c r="O56" s="553"/>
      <c r="P56" s="553">
        <f>N56*1000*17</f>
        <v>0</v>
      </c>
      <c r="Q56" s="553">
        <f>M56+P56</f>
        <v>0</v>
      </c>
      <c r="R56" s="552"/>
    </row>
    <row r="57" spans="1:21" s="664" customFormat="1" ht="15.75" customHeight="1" x14ac:dyDescent="0.25">
      <c r="A57" s="659" t="s">
        <v>293</v>
      </c>
      <c r="B57" s="659"/>
      <c r="C57" s="660">
        <v>540</v>
      </c>
      <c r="D57" s="660">
        <v>0</v>
      </c>
      <c r="E57" s="660">
        <v>0</v>
      </c>
      <c r="F57" s="660">
        <v>487</v>
      </c>
      <c r="G57" s="660">
        <v>191</v>
      </c>
      <c r="H57" s="660">
        <v>678</v>
      </c>
      <c r="I57" s="660">
        <v>8.16</v>
      </c>
      <c r="J57" s="660">
        <v>1.22</v>
      </c>
      <c r="K57" s="660">
        <v>1.7009803921568629</v>
      </c>
      <c r="L57" s="660">
        <v>14940</v>
      </c>
      <c r="M57" s="660">
        <v>4638027.7941176472</v>
      </c>
      <c r="N57" s="660">
        <v>0</v>
      </c>
      <c r="O57" s="660">
        <v>0</v>
      </c>
      <c r="P57" s="660">
        <v>0</v>
      </c>
      <c r="Q57" s="660">
        <v>4638027.7941176472</v>
      </c>
      <c r="R57" s="663"/>
    </row>
    <row r="58" spans="1:21" s="658" customFormat="1" ht="15" x14ac:dyDescent="0.25">
      <c r="A58" s="665" t="s">
        <v>292</v>
      </c>
      <c r="B58" s="665"/>
      <c r="C58" s="650">
        <v>30</v>
      </c>
      <c r="D58" s="650">
        <v>0</v>
      </c>
      <c r="E58" s="650">
        <v>0</v>
      </c>
      <c r="F58" s="650">
        <v>23</v>
      </c>
      <c r="G58" s="650">
        <v>0</v>
      </c>
      <c r="H58" s="650">
        <v>23</v>
      </c>
      <c r="I58" s="650">
        <v>8.16</v>
      </c>
      <c r="J58" s="650">
        <v>0</v>
      </c>
      <c r="K58" s="650">
        <v>2</v>
      </c>
      <c r="L58" s="650">
        <v>40934</v>
      </c>
      <c r="M58" s="650">
        <v>639702</v>
      </c>
      <c r="N58" s="650">
        <v>0</v>
      </c>
      <c r="O58" s="650">
        <v>0</v>
      </c>
      <c r="P58" s="650">
        <v>0</v>
      </c>
      <c r="Q58" s="650">
        <v>639702</v>
      </c>
      <c r="R58" s="656"/>
      <c r="S58" s="657"/>
      <c r="T58" s="524"/>
      <c r="U58" s="524"/>
    </row>
    <row r="59" spans="1:21" s="64" customFormat="1" ht="15.75" customHeight="1" x14ac:dyDescent="0.25">
      <c r="A59" s="87" t="s">
        <v>259</v>
      </c>
      <c r="B59" s="87"/>
      <c r="C59" s="591">
        <v>738</v>
      </c>
      <c r="D59" s="83"/>
      <c r="E59" s="83" t="s">
        <v>225</v>
      </c>
      <c r="F59" s="555">
        <v>481</v>
      </c>
      <c r="G59" s="555"/>
      <c r="H59" s="553">
        <f>F59+G59</f>
        <v>481</v>
      </c>
      <c r="I59" s="555">
        <v>4.08</v>
      </c>
      <c r="J59" s="559">
        <f>I59*0</f>
        <v>0</v>
      </c>
      <c r="K59" s="558">
        <f>(I59-J59)/I59</f>
        <v>1</v>
      </c>
      <c r="L59" s="557">
        <v>7470</v>
      </c>
      <c r="M59" s="557">
        <f>(H59*L59)*K59</f>
        <v>3593070</v>
      </c>
      <c r="N59" s="554"/>
      <c r="O59" s="588"/>
      <c r="P59" s="553">
        <f>N59*1000*17</f>
        <v>0</v>
      </c>
      <c r="Q59" s="588">
        <f>M59+P59</f>
        <v>3593070</v>
      </c>
      <c r="R59" s="590"/>
    </row>
    <row r="60" spans="1:21" s="551" customFormat="1" ht="15.75" customHeight="1" x14ac:dyDescent="0.25">
      <c r="A60" s="87" t="s">
        <v>291</v>
      </c>
      <c r="B60" s="87"/>
      <c r="C60" s="591">
        <v>18</v>
      </c>
      <c r="D60" s="83"/>
      <c r="E60" s="83" t="s">
        <v>225</v>
      </c>
      <c r="F60" s="555">
        <v>15</v>
      </c>
      <c r="G60" s="555"/>
      <c r="H60" s="553">
        <f>F60+G60</f>
        <v>15</v>
      </c>
      <c r="I60" s="555">
        <v>4.08</v>
      </c>
      <c r="J60" s="559">
        <v>0</v>
      </c>
      <c r="K60" s="558">
        <f>(I60-J60)/I60</f>
        <v>1</v>
      </c>
      <c r="L60" s="557">
        <v>7470</v>
      </c>
      <c r="M60" s="557">
        <f>(H60*L60)*K60</f>
        <v>112050</v>
      </c>
      <c r="N60" s="554"/>
      <c r="O60" s="553"/>
      <c r="P60" s="553">
        <f>N60*1000*17</f>
        <v>0</v>
      </c>
      <c r="Q60" s="553">
        <f>M60+P60</f>
        <v>112050</v>
      </c>
      <c r="R60" s="552"/>
    </row>
    <row r="61" spans="1:21" s="551" customFormat="1" ht="15.75" hidden="1" customHeight="1" x14ac:dyDescent="0.25">
      <c r="A61" s="87" t="s">
        <v>290</v>
      </c>
      <c r="B61" s="87"/>
      <c r="C61" s="591"/>
      <c r="D61" s="83"/>
      <c r="E61" s="83"/>
      <c r="F61" s="555"/>
      <c r="G61" s="555"/>
      <c r="H61" s="553">
        <f>F61+G61</f>
        <v>0</v>
      </c>
      <c r="I61" s="555"/>
      <c r="J61" s="555"/>
      <c r="K61" s="558"/>
      <c r="L61" s="83"/>
      <c r="M61" s="557">
        <f>(H61*L61)*K61</f>
        <v>0</v>
      </c>
      <c r="N61" s="554"/>
      <c r="O61" s="553"/>
      <c r="P61" s="553">
        <f>N61*1000*17</f>
        <v>0</v>
      </c>
      <c r="Q61" s="553">
        <f>M61+P61</f>
        <v>0</v>
      </c>
      <c r="R61" s="552"/>
    </row>
    <row r="62" spans="1:21" s="551" customFormat="1" ht="15.75" customHeight="1" x14ac:dyDescent="0.25">
      <c r="A62" s="223"/>
      <c r="B62" s="223"/>
      <c r="C62" s="591"/>
      <c r="D62" s="83"/>
      <c r="E62" s="83"/>
      <c r="F62" s="555"/>
      <c r="G62" s="555"/>
      <c r="H62" s="555"/>
      <c r="I62" s="618"/>
      <c r="J62" s="555"/>
      <c r="K62" s="555"/>
      <c r="L62" s="83"/>
      <c r="M62" s="83"/>
      <c r="N62" s="554"/>
      <c r="O62" s="553"/>
      <c r="P62" s="553"/>
      <c r="Q62" s="553">
        <f>P62+M62</f>
        <v>0</v>
      </c>
      <c r="R62" s="552"/>
    </row>
    <row r="63" spans="1:21" s="572" customFormat="1" ht="16.5" x14ac:dyDescent="0.25">
      <c r="A63" s="578" t="s">
        <v>46</v>
      </c>
      <c r="B63" s="578"/>
      <c r="C63" s="596">
        <f>SUM(C64:C72)</f>
        <v>4768</v>
      </c>
      <c r="D63" s="575"/>
      <c r="E63" s="575"/>
      <c r="F63" s="577">
        <f>SUM(F64:F72)</f>
        <v>3652</v>
      </c>
      <c r="G63" s="577">
        <f>SUM(G64:G72)</f>
        <v>0</v>
      </c>
      <c r="H63" s="577">
        <f>SUM(H64:H72)</f>
        <v>3652</v>
      </c>
      <c r="I63" s="577"/>
      <c r="J63" s="577"/>
      <c r="K63" s="576"/>
      <c r="L63" s="575">
        <f>SUM(L64:L72)</f>
        <v>78284</v>
      </c>
      <c r="M63" s="575">
        <f>SUM(M64:M72)</f>
        <v>24140644</v>
      </c>
      <c r="N63" s="575">
        <f>SUM(N64:N72)</f>
        <v>1934.79</v>
      </c>
      <c r="O63" s="575">
        <f>AVERAGE(O64:O72)</f>
        <v>17</v>
      </c>
      <c r="P63" s="575">
        <f>SUM(P64:P72)</f>
        <v>32891430</v>
      </c>
      <c r="Q63" s="574">
        <f>P63+M63</f>
        <v>57032074</v>
      </c>
      <c r="R63" s="573"/>
    </row>
    <row r="64" spans="1:21" s="64" customFormat="1" ht="74.099999999999994" customHeight="1" x14ac:dyDescent="0.25">
      <c r="A64" s="87" t="s">
        <v>47</v>
      </c>
      <c r="B64" s="87"/>
      <c r="C64" s="617">
        <v>834</v>
      </c>
      <c r="D64" s="83"/>
      <c r="E64" s="83" t="s">
        <v>225</v>
      </c>
      <c r="F64" s="617">
        <v>744</v>
      </c>
      <c r="G64" s="555"/>
      <c r="H64" s="553">
        <f>F64+G64</f>
        <v>744</v>
      </c>
      <c r="I64" s="616">
        <v>4.51</v>
      </c>
      <c r="J64" s="615">
        <v>0</v>
      </c>
      <c r="K64" s="79">
        <f t="shared" ref="K64:K69" si="12">(I64-J64)/I64</f>
        <v>1</v>
      </c>
      <c r="L64" s="579">
        <v>7470</v>
      </c>
      <c r="M64" s="557">
        <f t="shared" ref="M64:M69" si="13">(H64*L64)*K64</f>
        <v>5557680</v>
      </c>
      <c r="N64" s="554"/>
      <c r="O64" s="588"/>
      <c r="P64" s="553">
        <f t="shared" ref="P64:P69" si="14">N64*1000*17</f>
        <v>0</v>
      </c>
      <c r="Q64" s="588">
        <f t="shared" ref="Q64:Q69" si="15">M64+P64</f>
        <v>5557680</v>
      </c>
      <c r="R64" s="87" t="s">
        <v>289</v>
      </c>
    </row>
    <row r="65" spans="1:21" s="551" customFormat="1" ht="120" x14ac:dyDescent="0.25">
      <c r="A65" s="584" t="s">
        <v>48</v>
      </c>
      <c r="B65" s="86"/>
      <c r="C65" s="612">
        <v>1093</v>
      </c>
      <c r="D65" s="611"/>
      <c r="E65" s="610" t="s">
        <v>225</v>
      </c>
      <c r="F65" s="609">
        <v>522</v>
      </c>
      <c r="G65" s="608"/>
      <c r="H65" s="582">
        <f>SUM(F65:G65)</f>
        <v>522</v>
      </c>
      <c r="I65" s="607">
        <v>4.51</v>
      </c>
      <c r="J65" s="615">
        <v>0</v>
      </c>
      <c r="K65" s="558">
        <f t="shared" si="12"/>
        <v>1</v>
      </c>
      <c r="L65" s="579">
        <v>7470</v>
      </c>
      <c r="M65" s="557">
        <f t="shared" si="13"/>
        <v>3899340</v>
      </c>
      <c r="N65" s="611"/>
      <c r="O65" s="602"/>
      <c r="P65" s="553">
        <f t="shared" si="14"/>
        <v>0</v>
      </c>
      <c r="Q65" s="553">
        <f t="shared" si="15"/>
        <v>3899340</v>
      </c>
      <c r="R65" s="563" t="s">
        <v>288</v>
      </c>
      <c r="S65" s="614"/>
      <c r="T65" s="310"/>
      <c r="U65" s="310"/>
    </row>
    <row r="66" spans="1:21" s="551" customFormat="1" ht="15.75" x14ac:dyDescent="0.25">
      <c r="A66" s="584" t="s">
        <v>49</v>
      </c>
      <c r="B66" s="86"/>
      <c r="C66" s="612">
        <v>38</v>
      </c>
      <c r="D66" s="611"/>
      <c r="E66" s="610" t="s">
        <v>225</v>
      </c>
      <c r="F66" s="609">
        <v>25</v>
      </c>
      <c r="G66" s="608"/>
      <c r="H66" s="582">
        <f>SUM(F66:G66)</f>
        <v>25</v>
      </c>
      <c r="I66" s="607">
        <v>4.51</v>
      </c>
      <c r="J66" s="559">
        <v>0</v>
      </c>
      <c r="K66" s="558">
        <f t="shared" si="12"/>
        <v>1</v>
      </c>
      <c r="L66" s="613">
        <v>7470</v>
      </c>
      <c r="M66" s="557">
        <f t="shared" si="13"/>
        <v>186750</v>
      </c>
      <c r="N66" s="603"/>
      <c r="O66" s="602"/>
      <c r="P66" s="553">
        <f t="shared" si="14"/>
        <v>0</v>
      </c>
      <c r="Q66" s="553">
        <f t="shared" si="15"/>
        <v>186750</v>
      </c>
      <c r="R66" s="606"/>
      <c r="S66" s="568"/>
      <c r="T66" s="310"/>
      <c r="U66" s="310"/>
    </row>
    <row r="67" spans="1:21" s="551" customFormat="1" ht="45" x14ac:dyDescent="0.25">
      <c r="A67" s="584" t="s">
        <v>50</v>
      </c>
      <c r="B67" s="86"/>
      <c r="C67" s="612">
        <v>900</v>
      </c>
      <c r="D67" s="611"/>
      <c r="E67" s="610" t="s">
        <v>225</v>
      </c>
      <c r="F67" s="609">
        <v>500</v>
      </c>
      <c r="G67" s="608"/>
      <c r="H67" s="582">
        <f>SUM(F67:G67)</f>
        <v>500</v>
      </c>
      <c r="I67" s="607">
        <v>4.51</v>
      </c>
      <c r="J67" s="559">
        <v>0</v>
      </c>
      <c r="K67" s="558">
        <f t="shared" si="12"/>
        <v>1</v>
      </c>
      <c r="L67" s="579">
        <v>7470</v>
      </c>
      <c r="M67" s="557">
        <f t="shared" si="13"/>
        <v>3735000</v>
      </c>
      <c r="N67" s="611"/>
      <c r="O67" s="602"/>
      <c r="P67" s="553">
        <f t="shared" si="14"/>
        <v>0</v>
      </c>
      <c r="Q67" s="553">
        <f t="shared" si="15"/>
        <v>3735000</v>
      </c>
      <c r="R67" s="563" t="s">
        <v>287</v>
      </c>
      <c r="S67" s="568"/>
      <c r="T67" s="310"/>
      <c r="U67" s="310"/>
    </row>
    <row r="68" spans="1:21" s="551" customFormat="1" ht="15.75" x14ac:dyDescent="0.25">
      <c r="A68" s="584" t="s">
        <v>51</v>
      </c>
      <c r="B68" s="86"/>
      <c r="C68" s="612">
        <v>33</v>
      </c>
      <c r="D68" s="608"/>
      <c r="E68" s="610" t="s">
        <v>225</v>
      </c>
      <c r="F68" s="609">
        <v>15</v>
      </c>
      <c r="G68" s="608"/>
      <c r="H68" s="582">
        <f>SUM(F68:G68)</f>
        <v>15</v>
      </c>
      <c r="I68" s="607">
        <v>4.51</v>
      </c>
      <c r="J68" s="559">
        <v>0</v>
      </c>
      <c r="K68" s="558">
        <f t="shared" si="12"/>
        <v>1</v>
      </c>
      <c r="L68" s="579">
        <v>7470</v>
      </c>
      <c r="M68" s="557">
        <f t="shared" si="13"/>
        <v>112050</v>
      </c>
      <c r="N68" s="611"/>
      <c r="O68" s="602"/>
      <c r="P68" s="553">
        <f t="shared" si="14"/>
        <v>0</v>
      </c>
      <c r="Q68" s="553">
        <f t="shared" si="15"/>
        <v>112050</v>
      </c>
      <c r="R68" s="606"/>
      <c r="S68" s="568"/>
      <c r="T68" s="310"/>
      <c r="U68" s="310"/>
    </row>
    <row r="69" spans="1:21" s="551" customFormat="1" ht="15.75" x14ac:dyDescent="0.25">
      <c r="A69" s="584" t="s">
        <v>52</v>
      </c>
      <c r="B69" s="86"/>
      <c r="C69" s="612">
        <v>20</v>
      </c>
      <c r="D69" s="611"/>
      <c r="E69" s="610" t="s">
        <v>120</v>
      </c>
      <c r="F69" s="609">
        <v>7</v>
      </c>
      <c r="G69" s="609"/>
      <c r="H69" s="582">
        <f>SUM(F69:G69)</f>
        <v>7</v>
      </c>
      <c r="I69" s="607">
        <v>4.51</v>
      </c>
      <c r="J69" s="559">
        <f>I69*0.5</f>
        <v>2.2549999999999999</v>
      </c>
      <c r="K69" s="558">
        <f t="shared" si="12"/>
        <v>0.5</v>
      </c>
      <c r="L69" s="557">
        <v>33464</v>
      </c>
      <c r="M69" s="557">
        <f t="shared" si="13"/>
        <v>117124</v>
      </c>
      <c r="N69" s="611"/>
      <c r="O69" s="602"/>
      <c r="P69" s="553">
        <f t="shared" si="14"/>
        <v>0</v>
      </c>
      <c r="Q69" s="553">
        <f t="shared" si="15"/>
        <v>117124</v>
      </c>
      <c r="R69" s="606"/>
      <c r="S69" s="568"/>
      <c r="T69" s="310"/>
      <c r="U69" s="310"/>
    </row>
    <row r="70" spans="1:21" s="551" customFormat="1" ht="15" x14ac:dyDescent="0.25">
      <c r="A70" s="584" t="s">
        <v>53</v>
      </c>
      <c r="B70" s="86"/>
      <c r="C70" s="612">
        <v>1850</v>
      </c>
      <c r="D70" s="612">
        <v>0</v>
      </c>
      <c r="E70" s="612">
        <v>0</v>
      </c>
      <c r="F70" s="612">
        <v>1839</v>
      </c>
      <c r="G70" s="612">
        <v>0</v>
      </c>
      <c r="H70" s="612">
        <v>1839</v>
      </c>
      <c r="I70" s="612">
        <v>9.02</v>
      </c>
      <c r="J70" s="612">
        <v>0</v>
      </c>
      <c r="K70" s="612">
        <v>2</v>
      </c>
      <c r="L70" s="612">
        <v>7470</v>
      </c>
      <c r="M70" s="612">
        <v>10532700</v>
      </c>
      <c r="N70" s="612">
        <v>1934.79</v>
      </c>
      <c r="O70" s="612">
        <v>17</v>
      </c>
      <c r="P70" s="612">
        <v>32891430</v>
      </c>
      <c r="Q70" s="612">
        <v>43424130</v>
      </c>
      <c r="R70" s="606"/>
      <c r="S70" s="568"/>
      <c r="T70" s="310"/>
      <c r="U70" s="310"/>
    </row>
    <row r="71" spans="1:21" s="551" customFormat="1" ht="15.75" hidden="1" customHeight="1" x14ac:dyDescent="0.25">
      <c r="A71" s="87" t="s">
        <v>286</v>
      </c>
      <c r="B71" s="87"/>
      <c r="C71" s="555"/>
      <c r="D71" s="83"/>
      <c r="E71" s="83"/>
      <c r="F71" s="555"/>
      <c r="G71" s="555"/>
      <c r="H71" s="553">
        <f>F71+G71</f>
        <v>0</v>
      </c>
      <c r="I71" s="555"/>
      <c r="J71" s="555"/>
      <c r="K71" s="558"/>
      <c r="L71" s="83"/>
      <c r="M71" s="557">
        <f>(H71*L71)*K71</f>
        <v>0</v>
      </c>
      <c r="N71" s="554"/>
      <c r="O71" s="553"/>
      <c r="P71" s="553">
        <f>N71*1000*17</f>
        <v>0</v>
      </c>
      <c r="Q71" s="553">
        <f>M71+P71</f>
        <v>0</v>
      </c>
      <c r="R71" s="552"/>
    </row>
    <row r="72" spans="1:21" s="597" customFormat="1" ht="15" x14ac:dyDescent="0.25">
      <c r="A72" s="140"/>
      <c r="B72" s="140"/>
      <c r="C72" s="601"/>
      <c r="D72" s="139"/>
      <c r="E72" s="139"/>
      <c r="F72" s="601"/>
      <c r="G72" s="601"/>
      <c r="H72" s="601"/>
      <c r="I72" s="556"/>
      <c r="J72" s="555"/>
      <c r="K72" s="600"/>
      <c r="L72" s="139"/>
      <c r="M72" s="139"/>
      <c r="N72" s="599"/>
      <c r="O72" s="75"/>
      <c r="P72" s="75"/>
      <c r="Q72" s="553"/>
      <c r="R72" s="598"/>
    </row>
    <row r="73" spans="1:21" s="572" customFormat="1" ht="16.5" x14ac:dyDescent="0.25">
      <c r="A73" s="578" t="s">
        <v>33</v>
      </c>
      <c r="B73" s="578"/>
      <c r="C73" s="577">
        <f>SUM(C74:C93)</f>
        <v>65</v>
      </c>
      <c r="D73" s="575"/>
      <c r="E73" s="575"/>
      <c r="F73" s="577">
        <f>SUM(F74:F93)</f>
        <v>123</v>
      </c>
      <c r="G73" s="577">
        <f>SUM(G74:G93)</f>
        <v>0</v>
      </c>
      <c r="H73" s="577">
        <f>SUM(H74:H93)</f>
        <v>123</v>
      </c>
      <c r="I73" s="577"/>
      <c r="J73" s="577">
        <f>AVERAGE(J74:J93)</f>
        <v>0</v>
      </c>
      <c r="K73" s="576"/>
      <c r="L73" s="575">
        <f>SUM(L74:L93)</f>
        <v>40934</v>
      </c>
      <c r="M73" s="575">
        <f>SUM(M74:M93)</f>
        <v>2489504</v>
      </c>
      <c r="N73" s="575">
        <f>SUM(N74:N93)</f>
        <v>6.24</v>
      </c>
      <c r="O73" s="575">
        <f>AVERAGE(O74:O93)</f>
        <v>17</v>
      </c>
      <c r="P73" s="575">
        <f>SUM(P74:P93)</f>
        <v>106080</v>
      </c>
      <c r="Q73" s="574">
        <f>P73+M73</f>
        <v>2595584</v>
      </c>
      <c r="R73" s="573"/>
    </row>
    <row r="74" spans="1:21" s="597" customFormat="1" ht="15" hidden="1" x14ac:dyDescent="0.25">
      <c r="A74" s="140" t="s">
        <v>34</v>
      </c>
      <c r="B74" s="140"/>
      <c r="C74" s="601"/>
      <c r="D74" s="139"/>
      <c r="E74" s="139"/>
      <c r="F74" s="601"/>
      <c r="G74" s="601"/>
      <c r="H74" s="553">
        <f t="shared" ref="H74:H92" si="16">F74+G74</f>
        <v>0</v>
      </c>
      <c r="I74" s="555"/>
      <c r="J74" s="555"/>
      <c r="K74" s="558"/>
      <c r="L74" s="139"/>
      <c r="M74" s="557">
        <f t="shared" ref="M74:M92" si="17">(H74*L74)*K74</f>
        <v>0</v>
      </c>
      <c r="N74" s="599"/>
      <c r="O74" s="75"/>
      <c r="P74" s="553">
        <f t="shared" ref="P74:P92" si="18">N74*1000*17</f>
        <v>0</v>
      </c>
      <c r="Q74" s="553">
        <f t="shared" ref="Q74:Q92" si="19">M74+P74</f>
        <v>0</v>
      </c>
      <c r="R74" s="598"/>
    </row>
    <row r="75" spans="1:21" s="597" customFormat="1" ht="15" hidden="1" x14ac:dyDescent="0.25">
      <c r="A75" s="140" t="s">
        <v>35</v>
      </c>
      <c r="B75" s="140"/>
      <c r="C75" s="601"/>
      <c r="D75" s="139"/>
      <c r="E75" s="139"/>
      <c r="F75" s="601"/>
      <c r="G75" s="601"/>
      <c r="H75" s="553">
        <f t="shared" si="16"/>
        <v>0</v>
      </c>
      <c r="I75" s="555"/>
      <c r="J75" s="555"/>
      <c r="K75" s="558"/>
      <c r="L75" s="139"/>
      <c r="M75" s="557">
        <f t="shared" si="17"/>
        <v>0</v>
      </c>
      <c r="N75" s="599"/>
      <c r="O75" s="75"/>
      <c r="P75" s="553">
        <f t="shared" si="18"/>
        <v>0</v>
      </c>
      <c r="Q75" s="553">
        <f t="shared" si="19"/>
        <v>0</v>
      </c>
      <c r="R75" s="598"/>
    </row>
    <row r="76" spans="1:21" s="551" customFormat="1" ht="15.75" x14ac:dyDescent="0.25">
      <c r="A76" s="584" t="s">
        <v>36</v>
      </c>
      <c r="B76" s="584"/>
      <c r="C76" s="566">
        <v>12</v>
      </c>
      <c r="D76" s="565"/>
      <c r="E76" s="86" t="s">
        <v>219</v>
      </c>
      <c r="F76" s="555">
        <v>61</v>
      </c>
      <c r="G76" s="605"/>
      <c r="H76" s="553">
        <f t="shared" si="16"/>
        <v>61</v>
      </c>
      <c r="I76" s="560">
        <v>3.12</v>
      </c>
      <c r="J76" s="559">
        <v>0</v>
      </c>
      <c r="K76" s="558">
        <f>(I76-J76)/I76</f>
        <v>1</v>
      </c>
      <c r="L76" s="604">
        <v>33464</v>
      </c>
      <c r="M76" s="557">
        <f t="shared" si="17"/>
        <v>2041304</v>
      </c>
      <c r="N76" s="564"/>
      <c r="O76" s="564"/>
      <c r="P76" s="553">
        <f t="shared" si="18"/>
        <v>0</v>
      </c>
      <c r="Q76" s="553">
        <f t="shared" si="19"/>
        <v>2041304</v>
      </c>
      <c r="R76" s="563"/>
      <c r="S76" s="568"/>
      <c r="T76" s="310"/>
      <c r="U76" s="310"/>
    </row>
    <row r="77" spans="1:21" s="597" customFormat="1" ht="15" hidden="1" x14ac:dyDescent="0.25">
      <c r="A77" s="140" t="s">
        <v>285</v>
      </c>
      <c r="B77" s="140"/>
      <c r="C77" s="601"/>
      <c r="D77" s="139"/>
      <c r="E77" s="139"/>
      <c r="F77" s="601"/>
      <c r="G77" s="601"/>
      <c r="H77" s="553">
        <f t="shared" si="16"/>
        <v>0</v>
      </c>
      <c r="I77" s="555"/>
      <c r="J77" s="555"/>
      <c r="K77" s="558"/>
      <c r="L77" s="139"/>
      <c r="M77" s="557">
        <f t="shared" si="17"/>
        <v>0</v>
      </c>
      <c r="N77" s="599"/>
      <c r="O77" s="75"/>
      <c r="P77" s="553">
        <f t="shared" si="18"/>
        <v>0</v>
      </c>
      <c r="Q77" s="553">
        <f t="shared" si="19"/>
        <v>0</v>
      </c>
      <c r="R77" s="598"/>
    </row>
    <row r="78" spans="1:21" s="597" customFormat="1" ht="15" hidden="1" x14ac:dyDescent="0.25">
      <c r="A78" s="140" t="s">
        <v>284</v>
      </c>
      <c r="B78" s="140"/>
      <c r="C78" s="601"/>
      <c r="D78" s="139"/>
      <c r="E78" s="139"/>
      <c r="F78" s="601"/>
      <c r="G78" s="601"/>
      <c r="H78" s="553">
        <f t="shared" si="16"/>
        <v>0</v>
      </c>
      <c r="I78" s="555"/>
      <c r="J78" s="555"/>
      <c r="K78" s="558"/>
      <c r="L78" s="139"/>
      <c r="M78" s="557">
        <f t="shared" si="17"/>
        <v>0</v>
      </c>
      <c r="N78" s="599"/>
      <c r="O78" s="75"/>
      <c r="P78" s="553">
        <f t="shared" si="18"/>
        <v>0</v>
      </c>
      <c r="Q78" s="553">
        <f t="shared" si="19"/>
        <v>0</v>
      </c>
      <c r="R78" s="598"/>
    </row>
    <row r="79" spans="1:21" s="597" customFormat="1" ht="15" hidden="1" x14ac:dyDescent="0.25">
      <c r="A79" s="140" t="s">
        <v>37</v>
      </c>
      <c r="B79" s="140"/>
      <c r="C79" s="601"/>
      <c r="D79" s="139"/>
      <c r="E79" s="139"/>
      <c r="F79" s="601"/>
      <c r="G79" s="601"/>
      <c r="H79" s="553">
        <f t="shared" si="16"/>
        <v>0</v>
      </c>
      <c r="I79" s="555"/>
      <c r="J79" s="555"/>
      <c r="K79" s="558"/>
      <c r="L79" s="139"/>
      <c r="M79" s="557">
        <f t="shared" si="17"/>
        <v>0</v>
      </c>
      <c r="N79" s="599"/>
      <c r="O79" s="75"/>
      <c r="P79" s="553">
        <f t="shared" si="18"/>
        <v>0</v>
      </c>
      <c r="Q79" s="553">
        <f t="shared" si="19"/>
        <v>0</v>
      </c>
      <c r="R79" s="598"/>
    </row>
    <row r="80" spans="1:21" s="597" customFormat="1" ht="15" hidden="1" x14ac:dyDescent="0.25">
      <c r="A80" s="140" t="s">
        <v>283</v>
      </c>
      <c r="B80" s="140"/>
      <c r="C80" s="601"/>
      <c r="D80" s="139"/>
      <c r="E80" s="139"/>
      <c r="F80" s="601"/>
      <c r="G80" s="601"/>
      <c r="H80" s="553">
        <f t="shared" si="16"/>
        <v>0</v>
      </c>
      <c r="I80" s="555"/>
      <c r="J80" s="555"/>
      <c r="K80" s="558"/>
      <c r="L80" s="139"/>
      <c r="M80" s="557">
        <f t="shared" si="17"/>
        <v>0</v>
      </c>
      <c r="N80" s="599"/>
      <c r="O80" s="75"/>
      <c r="P80" s="553">
        <f t="shared" si="18"/>
        <v>0</v>
      </c>
      <c r="Q80" s="553">
        <f t="shared" si="19"/>
        <v>0</v>
      </c>
      <c r="R80" s="598"/>
    </row>
    <row r="81" spans="1:21" s="597" customFormat="1" ht="15" hidden="1" x14ac:dyDescent="0.25">
      <c r="A81" s="140" t="s">
        <v>38</v>
      </c>
      <c r="B81" s="140"/>
      <c r="C81" s="601"/>
      <c r="D81" s="139"/>
      <c r="E81" s="139"/>
      <c r="F81" s="601"/>
      <c r="G81" s="601"/>
      <c r="H81" s="553">
        <f t="shared" si="16"/>
        <v>0</v>
      </c>
      <c r="I81" s="555"/>
      <c r="J81" s="555"/>
      <c r="K81" s="558"/>
      <c r="L81" s="139"/>
      <c r="M81" s="557">
        <f t="shared" si="17"/>
        <v>0</v>
      </c>
      <c r="N81" s="599"/>
      <c r="O81" s="75"/>
      <c r="P81" s="553">
        <f t="shared" si="18"/>
        <v>0</v>
      </c>
      <c r="Q81" s="553">
        <f t="shared" si="19"/>
        <v>0</v>
      </c>
      <c r="R81" s="598"/>
    </row>
    <row r="82" spans="1:21" s="597" customFormat="1" ht="15" x14ac:dyDescent="0.25">
      <c r="A82" s="140" t="s">
        <v>39</v>
      </c>
      <c r="B82" s="140"/>
      <c r="C82" s="601">
        <v>3</v>
      </c>
      <c r="D82" s="139"/>
      <c r="E82" s="139" t="s">
        <v>277</v>
      </c>
      <c r="F82" s="601">
        <v>2</v>
      </c>
      <c r="G82" s="601"/>
      <c r="H82" s="553">
        <f t="shared" si="16"/>
        <v>2</v>
      </c>
      <c r="I82" s="560">
        <v>3.12</v>
      </c>
      <c r="J82" s="559">
        <v>0</v>
      </c>
      <c r="K82" s="558">
        <f>(I82-J82)/I82</f>
        <v>1</v>
      </c>
      <c r="L82" s="139"/>
      <c r="M82" s="557">
        <f t="shared" si="17"/>
        <v>0</v>
      </c>
      <c r="N82" s="603">
        <f>H82*I82*K82</f>
        <v>6.24</v>
      </c>
      <c r="O82" s="602">
        <v>17</v>
      </c>
      <c r="P82" s="553">
        <f t="shared" si="18"/>
        <v>106080</v>
      </c>
      <c r="Q82" s="553">
        <f t="shared" si="19"/>
        <v>106080</v>
      </c>
      <c r="R82" s="598"/>
    </row>
    <row r="83" spans="1:21" s="597" customFormat="1" ht="15" hidden="1" x14ac:dyDescent="0.25">
      <c r="A83" s="140" t="s">
        <v>40</v>
      </c>
      <c r="B83" s="140"/>
      <c r="C83" s="601"/>
      <c r="D83" s="139"/>
      <c r="E83" s="139"/>
      <c r="F83" s="601"/>
      <c r="G83" s="601"/>
      <c r="H83" s="553">
        <f t="shared" si="16"/>
        <v>0</v>
      </c>
      <c r="I83" s="555"/>
      <c r="J83" s="555"/>
      <c r="K83" s="558"/>
      <c r="L83" s="139"/>
      <c r="M83" s="557">
        <f t="shared" si="17"/>
        <v>0</v>
      </c>
      <c r="N83" s="599"/>
      <c r="O83" s="75"/>
      <c r="P83" s="553">
        <f t="shared" si="18"/>
        <v>0</v>
      </c>
      <c r="Q83" s="553">
        <f t="shared" si="19"/>
        <v>0</v>
      </c>
      <c r="R83" s="598"/>
    </row>
    <row r="84" spans="1:21" s="597" customFormat="1" ht="15" hidden="1" x14ac:dyDescent="0.25">
      <c r="A84" s="140" t="s">
        <v>41</v>
      </c>
      <c r="B84" s="140"/>
      <c r="C84" s="601"/>
      <c r="D84" s="139"/>
      <c r="E84" s="139"/>
      <c r="F84" s="601"/>
      <c r="G84" s="601"/>
      <c r="H84" s="553">
        <f t="shared" si="16"/>
        <v>0</v>
      </c>
      <c r="I84" s="555"/>
      <c r="J84" s="555"/>
      <c r="K84" s="558"/>
      <c r="L84" s="139"/>
      <c r="M84" s="557">
        <f t="shared" si="17"/>
        <v>0</v>
      </c>
      <c r="N84" s="599"/>
      <c r="O84" s="75"/>
      <c r="P84" s="553">
        <f t="shared" si="18"/>
        <v>0</v>
      </c>
      <c r="Q84" s="553">
        <f t="shared" si="19"/>
        <v>0</v>
      </c>
      <c r="R84" s="598"/>
    </row>
    <row r="85" spans="1:21" s="597" customFormat="1" ht="15" hidden="1" x14ac:dyDescent="0.25">
      <c r="A85" s="140" t="s">
        <v>42</v>
      </c>
      <c r="B85" s="140"/>
      <c r="C85" s="601"/>
      <c r="D85" s="139"/>
      <c r="E85" s="139"/>
      <c r="F85" s="601"/>
      <c r="G85" s="601"/>
      <c r="H85" s="553">
        <f t="shared" si="16"/>
        <v>0</v>
      </c>
      <c r="I85" s="555"/>
      <c r="J85" s="555"/>
      <c r="K85" s="558"/>
      <c r="L85" s="139"/>
      <c r="M85" s="557">
        <f t="shared" si="17"/>
        <v>0</v>
      </c>
      <c r="N85" s="599"/>
      <c r="O85" s="75"/>
      <c r="P85" s="553">
        <f t="shared" si="18"/>
        <v>0</v>
      </c>
      <c r="Q85" s="553">
        <f t="shared" si="19"/>
        <v>0</v>
      </c>
      <c r="R85" s="598"/>
    </row>
    <row r="86" spans="1:21" s="597" customFormat="1" ht="15" hidden="1" x14ac:dyDescent="0.25">
      <c r="A86" s="140" t="s">
        <v>282</v>
      </c>
      <c r="B86" s="140"/>
      <c r="C86" s="601"/>
      <c r="D86" s="139"/>
      <c r="E86" s="139"/>
      <c r="F86" s="601"/>
      <c r="G86" s="601"/>
      <c r="H86" s="553">
        <f t="shared" si="16"/>
        <v>0</v>
      </c>
      <c r="I86" s="555"/>
      <c r="J86" s="555"/>
      <c r="K86" s="558"/>
      <c r="L86" s="139"/>
      <c r="M86" s="557">
        <f t="shared" si="17"/>
        <v>0</v>
      </c>
      <c r="N86" s="599"/>
      <c r="O86" s="75"/>
      <c r="P86" s="553">
        <f t="shared" si="18"/>
        <v>0</v>
      </c>
      <c r="Q86" s="553">
        <f t="shared" si="19"/>
        <v>0</v>
      </c>
      <c r="R86" s="598"/>
    </row>
    <row r="87" spans="1:21" s="597" customFormat="1" ht="15" hidden="1" x14ac:dyDescent="0.25">
      <c r="A87" s="140" t="s">
        <v>43</v>
      </c>
      <c r="B87" s="140"/>
      <c r="C87" s="601"/>
      <c r="D87" s="139"/>
      <c r="E87" s="139"/>
      <c r="F87" s="601"/>
      <c r="G87" s="601"/>
      <c r="H87" s="553">
        <f t="shared" si="16"/>
        <v>0</v>
      </c>
      <c r="I87" s="555"/>
      <c r="J87" s="555"/>
      <c r="K87" s="558"/>
      <c r="L87" s="139"/>
      <c r="M87" s="557">
        <f t="shared" si="17"/>
        <v>0</v>
      </c>
      <c r="N87" s="599"/>
      <c r="O87" s="75"/>
      <c r="P87" s="553">
        <f t="shared" si="18"/>
        <v>0</v>
      </c>
      <c r="Q87" s="553">
        <f t="shared" si="19"/>
        <v>0</v>
      </c>
      <c r="R87" s="598"/>
    </row>
    <row r="88" spans="1:21" s="597" customFormat="1" ht="15" hidden="1" x14ac:dyDescent="0.25">
      <c r="A88" s="140" t="s">
        <v>281</v>
      </c>
      <c r="B88" s="140"/>
      <c r="C88" s="601"/>
      <c r="D88" s="139"/>
      <c r="E88" s="139"/>
      <c r="F88" s="601"/>
      <c r="G88" s="601"/>
      <c r="H88" s="553">
        <f t="shared" si="16"/>
        <v>0</v>
      </c>
      <c r="I88" s="555"/>
      <c r="J88" s="555"/>
      <c r="K88" s="558"/>
      <c r="L88" s="139"/>
      <c r="M88" s="557">
        <f t="shared" si="17"/>
        <v>0</v>
      </c>
      <c r="N88" s="599"/>
      <c r="O88" s="75"/>
      <c r="P88" s="553">
        <f t="shared" si="18"/>
        <v>0</v>
      </c>
      <c r="Q88" s="553">
        <f t="shared" si="19"/>
        <v>0</v>
      </c>
      <c r="R88" s="598"/>
    </row>
    <row r="89" spans="1:21" s="597" customFormat="1" ht="15" hidden="1" x14ac:dyDescent="0.25">
      <c r="A89" s="140" t="s">
        <v>280</v>
      </c>
      <c r="B89" s="140"/>
      <c r="C89" s="601"/>
      <c r="D89" s="139"/>
      <c r="E89" s="139"/>
      <c r="F89" s="601"/>
      <c r="G89" s="601"/>
      <c r="H89" s="553">
        <f t="shared" si="16"/>
        <v>0</v>
      </c>
      <c r="I89" s="555"/>
      <c r="J89" s="555"/>
      <c r="K89" s="558"/>
      <c r="L89" s="139"/>
      <c r="M89" s="557">
        <f t="shared" si="17"/>
        <v>0</v>
      </c>
      <c r="N89" s="599"/>
      <c r="O89" s="75"/>
      <c r="P89" s="553">
        <f t="shared" si="18"/>
        <v>0</v>
      </c>
      <c r="Q89" s="553">
        <f t="shared" si="19"/>
        <v>0</v>
      </c>
      <c r="R89" s="598"/>
    </row>
    <row r="90" spans="1:21" s="551" customFormat="1" ht="15" x14ac:dyDescent="0.25">
      <c r="A90" s="567" t="s">
        <v>44</v>
      </c>
      <c r="B90" s="567"/>
      <c r="C90" s="566">
        <v>50</v>
      </c>
      <c r="D90" s="565"/>
      <c r="E90" s="86" t="s">
        <v>225</v>
      </c>
      <c r="F90" s="555">
        <v>60</v>
      </c>
      <c r="G90" s="555"/>
      <c r="H90" s="553">
        <f t="shared" si="16"/>
        <v>60</v>
      </c>
      <c r="I90" s="560">
        <v>3.12</v>
      </c>
      <c r="J90" s="559">
        <v>0</v>
      </c>
      <c r="K90" s="558">
        <f>(I90-J90)/I90</f>
        <v>1</v>
      </c>
      <c r="L90" s="579">
        <v>7470</v>
      </c>
      <c r="M90" s="557">
        <f t="shared" si="17"/>
        <v>448200</v>
      </c>
      <c r="N90" s="564"/>
      <c r="O90" s="564"/>
      <c r="P90" s="553">
        <f t="shared" si="18"/>
        <v>0</v>
      </c>
      <c r="Q90" s="553">
        <f t="shared" si="19"/>
        <v>448200</v>
      </c>
      <c r="R90" s="563"/>
      <c r="S90" s="568"/>
      <c r="T90" s="310"/>
      <c r="U90" s="310"/>
    </row>
    <row r="91" spans="1:21" s="597" customFormat="1" ht="15" hidden="1" x14ac:dyDescent="0.25">
      <c r="A91" s="140" t="s">
        <v>45</v>
      </c>
      <c r="B91" s="140"/>
      <c r="C91" s="601"/>
      <c r="D91" s="139"/>
      <c r="E91" s="139"/>
      <c r="F91" s="601"/>
      <c r="G91" s="601"/>
      <c r="H91" s="553">
        <f t="shared" si="16"/>
        <v>0</v>
      </c>
      <c r="I91" s="555"/>
      <c r="J91" s="555"/>
      <c r="K91" s="558"/>
      <c r="L91" s="139"/>
      <c r="M91" s="557">
        <f t="shared" si="17"/>
        <v>0</v>
      </c>
      <c r="N91" s="599"/>
      <c r="O91" s="75"/>
      <c r="P91" s="553">
        <f t="shared" si="18"/>
        <v>0</v>
      </c>
      <c r="Q91" s="553">
        <f t="shared" si="19"/>
        <v>0</v>
      </c>
      <c r="R91" s="598"/>
    </row>
    <row r="92" spans="1:21" s="597" customFormat="1" ht="15" hidden="1" x14ac:dyDescent="0.25">
      <c r="A92" s="140" t="s">
        <v>279</v>
      </c>
      <c r="B92" s="140"/>
      <c r="C92" s="601"/>
      <c r="D92" s="139"/>
      <c r="E92" s="139"/>
      <c r="F92" s="601"/>
      <c r="G92" s="601"/>
      <c r="H92" s="553">
        <f t="shared" si="16"/>
        <v>0</v>
      </c>
      <c r="I92" s="555"/>
      <c r="J92" s="555"/>
      <c r="K92" s="558"/>
      <c r="L92" s="139"/>
      <c r="M92" s="557">
        <f t="shared" si="17"/>
        <v>0</v>
      </c>
      <c r="N92" s="599"/>
      <c r="O92" s="75"/>
      <c r="P92" s="553">
        <f t="shared" si="18"/>
        <v>0</v>
      </c>
      <c r="Q92" s="553">
        <f t="shared" si="19"/>
        <v>0</v>
      </c>
      <c r="R92" s="598"/>
    </row>
    <row r="93" spans="1:21" s="597" customFormat="1" ht="15" x14ac:dyDescent="0.25">
      <c r="A93" s="140"/>
      <c r="B93" s="140"/>
      <c r="C93" s="601"/>
      <c r="D93" s="139"/>
      <c r="E93" s="139"/>
      <c r="F93" s="601"/>
      <c r="G93" s="601"/>
      <c r="H93" s="601"/>
      <c r="I93" s="556"/>
      <c r="J93" s="555"/>
      <c r="K93" s="600"/>
      <c r="L93" s="139"/>
      <c r="M93" s="139"/>
      <c r="N93" s="599"/>
      <c r="O93" s="75"/>
      <c r="P93" s="75"/>
      <c r="Q93" s="553"/>
      <c r="R93" s="598"/>
    </row>
    <row r="94" spans="1:21" s="572" customFormat="1" ht="16.5" x14ac:dyDescent="0.25">
      <c r="A94" s="578" t="s">
        <v>54</v>
      </c>
      <c r="B94" s="578"/>
      <c r="C94" s="596" t="e">
        <f>SUM(#REF!,#REF!)</f>
        <v>#REF!</v>
      </c>
      <c r="D94" s="575"/>
      <c r="E94" s="575"/>
      <c r="F94" s="577" t="e">
        <f>SUM(#REF!,#REF!)</f>
        <v>#REF!</v>
      </c>
      <c r="G94" s="577" t="e">
        <f>SUM(#REF!,#REF!)</f>
        <v>#REF!</v>
      </c>
      <c r="H94" s="577" t="e">
        <f>SUM(#REF!,#REF!)</f>
        <v>#REF!</v>
      </c>
      <c r="I94" s="577"/>
      <c r="J94" s="577"/>
      <c r="K94" s="576"/>
      <c r="L94" s="575" t="e">
        <f>SUM(#REF!,#REF!)</f>
        <v>#REF!</v>
      </c>
      <c r="M94" s="575" t="e">
        <f>SUM(#REF!,#REF!)</f>
        <v>#REF!</v>
      </c>
      <c r="N94" s="575" t="e">
        <f>SUM(#REF!,#REF!)</f>
        <v>#REF!</v>
      </c>
      <c r="O94" s="575" t="e">
        <f>AVERAGE(#REF!,#REF!)</f>
        <v>#REF!</v>
      </c>
      <c r="P94" s="575" t="e">
        <f>SUM(#REF!,#REF!)</f>
        <v>#REF!</v>
      </c>
      <c r="Q94" s="574" t="e">
        <f>P94+M94</f>
        <v>#REF!</v>
      </c>
      <c r="R94" s="573"/>
      <c r="S94" s="595"/>
    </row>
    <row r="95" spans="1:21" s="551" customFormat="1" ht="15" hidden="1" x14ac:dyDescent="0.25">
      <c r="A95" s="87" t="s">
        <v>278</v>
      </c>
      <c r="B95" s="87"/>
      <c r="C95" s="555"/>
      <c r="D95" s="83"/>
      <c r="E95" s="83"/>
      <c r="F95" s="555"/>
      <c r="G95" s="555"/>
      <c r="H95" s="553">
        <f>F95+G95</f>
        <v>0</v>
      </c>
      <c r="I95" s="555"/>
      <c r="J95" s="555"/>
      <c r="K95" s="558"/>
      <c r="L95" s="83"/>
      <c r="M95" s="557">
        <f>(H95*L95)*K95</f>
        <v>0</v>
      </c>
      <c r="N95" s="554"/>
      <c r="O95" s="553"/>
      <c r="P95" s="553">
        <f>N95*1000*17</f>
        <v>0</v>
      </c>
      <c r="Q95" s="553">
        <f>M95+P95</f>
        <v>0</v>
      </c>
      <c r="R95" s="552"/>
    </row>
    <row r="96" spans="1:21" s="664" customFormat="1" ht="15" x14ac:dyDescent="0.25">
      <c r="A96" s="659" t="s">
        <v>102</v>
      </c>
      <c r="B96" s="659"/>
      <c r="C96" s="652">
        <v>248.16</v>
      </c>
      <c r="D96" s="652">
        <v>0</v>
      </c>
      <c r="E96" s="652">
        <v>0</v>
      </c>
      <c r="F96" s="652">
        <v>1550</v>
      </c>
      <c r="G96" s="652">
        <v>0</v>
      </c>
      <c r="H96" s="652">
        <v>1550</v>
      </c>
      <c r="I96" s="652">
        <v>7.4399999999999995</v>
      </c>
      <c r="J96" s="652">
        <v>0</v>
      </c>
      <c r="K96" s="652">
        <v>3</v>
      </c>
      <c r="L96" s="652">
        <v>40934</v>
      </c>
      <c r="M96" s="652">
        <v>17819902</v>
      </c>
      <c r="N96" s="652">
        <v>2398.16</v>
      </c>
      <c r="O96" s="652">
        <v>17</v>
      </c>
      <c r="P96" s="652">
        <v>40768720</v>
      </c>
      <c r="Q96" s="652">
        <v>58588622</v>
      </c>
      <c r="R96" s="663"/>
    </row>
    <row r="97" spans="1:21" s="669" customFormat="1" ht="15" x14ac:dyDescent="0.25">
      <c r="A97" s="649" t="s">
        <v>59</v>
      </c>
      <c r="B97" s="665"/>
      <c r="C97" s="666">
        <v>101.6</v>
      </c>
      <c r="D97" s="666">
        <v>0</v>
      </c>
      <c r="E97" s="666">
        <v>0</v>
      </c>
      <c r="F97" s="666">
        <v>769</v>
      </c>
      <c r="G97" s="666">
        <v>0</v>
      </c>
      <c r="H97" s="666">
        <v>769</v>
      </c>
      <c r="I97" s="666">
        <v>4.96</v>
      </c>
      <c r="J97" s="666">
        <v>1.736</v>
      </c>
      <c r="K97" s="666">
        <v>1.3</v>
      </c>
      <c r="L97" s="666">
        <v>40934</v>
      </c>
      <c r="M97" s="666">
        <v>3284479</v>
      </c>
      <c r="N97" s="666">
        <v>0</v>
      </c>
      <c r="O97" s="666">
        <v>0</v>
      </c>
      <c r="P97" s="666">
        <v>0</v>
      </c>
      <c r="Q97" s="666">
        <v>3284479</v>
      </c>
      <c r="R97" s="656"/>
      <c r="S97" s="667"/>
      <c r="T97" s="668"/>
      <c r="U97" s="668"/>
    </row>
    <row r="98" spans="1:21" s="551" customFormat="1" ht="15" hidden="1" x14ac:dyDescent="0.25">
      <c r="A98" s="87" t="s">
        <v>128</v>
      </c>
      <c r="B98" s="87"/>
      <c r="C98" s="555"/>
      <c r="D98" s="83"/>
      <c r="E98" s="83"/>
      <c r="F98" s="555"/>
      <c r="G98" s="555"/>
      <c r="H98" s="553">
        <f>F98+G98</f>
        <v>0</v>
      </c>
      <c r="I98" s="555"/>
      <c r="J98" s="555"/>
      <c r="K98" s="558"/>
      <c r="L98" s="83"/>
      <c r="M98" s="557">
        <f>(H98*L98)*K98</f>
        <v>0</v>
      </c>
      <c r="N98" s="554"/>
      <c r="O98" s="553"/>
      <c r="P98" s="553">
        <f>N98*1000*17</f>
        <v>0</v>
      </c>
      <c r="Q98" s="553">
        <f>M98+P98</f>
        <v>0</v>
      </c>
      <c r="R98" s="552"/>
    </row>
    <row r="99" spans="1:21" s="592" customFormat="1" ht="15.75" x14ac:dyDescent="0.25">
      <c r="A99" s="567" t="s">
        <v>223</v>
      </c>
      <c r="B99" s="567"/>
      <c r="C99" s="566">
        <v>250</v>
      </c>
      <c r="D99" s="571"/>
      <c r="E99" s="86" t="s">
        <v>225</v>
      </c>
      <c r="F99" s="555">
        <v>275</v>
      </c>
      <c r="G99" s="555"/>
      <c r="H99" s="553">
        <f>F99+G99</f>
        <v>275</v>
      </c>
      <c r="I99" s="589">
        <v>2.48</v>
      </c>
      <c r="J99" s="559">
        <v>0</v>
      </c>
      <c r="K99" s="558">
        <f>(I99-J99)/I99</f>
        <v>1</v>
      </c>
      <c r="L99" s="579">
        <v>7470</v>
      </c>
      <c r="M99" s="557">
        <f>(H99*L99)*K99</f>
        <v>2054250</v>
      </c>
      <c r="N99" s="564"/>
      <c r="O99" s="564"/>
      <c r="P99" s="553"/>
      <c r="Q99" s="588">
        <f>M99+P99</f>
        <v>2054250</v>
      </c>
      <c r="R99" s="563"/>
      <c r="S99" s="594"/>
      <c r="T99" s="593"/>
      <c r="U99" s="425"/>
    </row>
    <row r="100" spans="1:21" s="672" customFormat="1" ht="15.75" x14ac:dyDescent="0.25">
      <c r="A100" s="649" t="s">
        <v>127</v>
      </c>
      <c r="B100" s="649"/>
      <c r="C100" s="666">
        <v>839</v>
      </c>
      <c r="D100" s="666">
        <v>0</v>
      </c>
      <c r="E100" s="666">
        <v>0</v>
      </c>
      <c r="F100" s="666">
        <v>799</v>
      </c>
      <c r="G100" s="666">
        <v>0</v>
      </c>
      <c r="H100" s="666">
        <v>799</v>
      </c>
      <c r="I100" s="666">
        <v>4.96</v>
      </c>
      <c r="J100" s="666">
        <v>0</v>
      </c>
      <c r="K100" s="666">
        <v>2</v>
      </c>
      <c r="L100" s="666">
        <v>33464</v>
      </c>
      <c r="M100" s="666">
        <v>26001528</v>
      </c>
      <c r="N100" s="666">
        <v>54.56</v>
      </c>
      <c r="O100" s="666">
        <v>17</v>
      </c>
      <c r="P100" s="666">
        <v>927520</v>
      </c>
      <c r="Q100" s="666">
        <v>26929048</v>
      </c>
      <c r="R100" s="656"/>
      <c r="S100" s="670"/>
      <c r="T100" s="671"/>
      <c r="U100" s="668"/>
    </row>
    <row r="101" spans="1:21" s="64" customFormat="1" ht="15.75" x14ac:dyDescent="0.25">
      <c r="A101" s="87" t="s">
        <v>129</v>
      </c>
      <c r="B101" s="87"/>
      <c r="C101" s="591">
        <v>130</v>
      </c>
      <c r="D101" s="83"/>
      <c r="E101" s="83" t="s">
        <v>225</v>
      </c>
      <c r="F101" s="555">
        <v>149</v>
      </c>
      <c r="G101" s="555"/>
      <c r="H101" s="553">
        <f t="shared" ref="H101:H120" si="20">F101+G101</f>
        <v>149</v>
      </c>
      <c r="I101" s="555">
        <v>2.48</v>
      </c>
      <c r="J101" s="559">
        <v>0</v>
      </c>
      <c r="K101" s="558">
        <f>(I101-J101)/I101</f>
        <v>1</v>
      </c>
      <c r="L101" s="579">
        <v>7470</v>
      </c>
      <c r="M101" s="557">
        <f t="shared" ref="M101:M120" si="21">(H101*L101)*K101</f>
        <v>1113030</v>
      </c>
      <c r="N101" s="554"/>
      <c r="O101" s="588"/>
      <c r="P101" s="553">
        <f t="shared" ref="P101:P116" si="22">N101*1000*17</f>
        <v>0</v>
      </c>
      <c r="Q101" s="588">
        <f t="shared" ref="Q101:Q120" si="23">M101+P101</f>
        <v>1113030</v>
      </c>
      <c r="R101" s="590"/>
    </row>
    <row r="102" spans="1:21" s="64" customFormat="1" ht="15.75" x14ac:dyDescent="0.25">
      <c r="A102" s="87" t="s">
        <v>270</v>
      </c>
      <c r="B102" s="87"/>
      <c r="C102" s="591">
        <v>64</v>
      </c>
      <c r="D102" s="83"/>
      <c r="E102" s="83" t="s">
        <v>225</v>
      </c>
      <c r="F102" s="555">
        <v>54</v>
      </c>
      <c r="G102" s="555"/>
      <c r="H102" s="553">
        <f t="shared" si="20"/>
        <v>54</v>
      </c>
      <c r="I102" s="555">
        <v>2.48</v>
      </c>
      <c r="J102" s="559">
        <v>0</v>
      </c>
      <c r="K102" s="558">
        <f>(I102-J102)/I102</f>
        <v>1</v>
      </c>
      <c r="L102" s="579">
        <v>7470</v>
      </c>
      <c r="M102" s="557">
        <f t="shared" si="21"/>
        <v>403380</v>
      </c>
      <c r="N102" s="554"/>
      <c r="O102" s="588"/>
      <c r="P102" s="553">
        <f t="shared" si="22"/>
        <v>0</v>
      </c>
      <c r="Q102" s="588">
        <f t="shared" si="23"/>
        <v>403380</v>
      </c>
      <c r="R102" s="590"/>
    </row>
    <row r="103" spans="1:21" s="551" customFormat="1" ht="15" hidden="1" x14ac:dyDescent="0.25">
      <c r="A103" s="87" t="s">
        <v>257</v>
      </c>
      <c r="B103" s="87"/>
      <c r="C103" s="555"/>
      <c r="D103" s="83"/>
      <c r="E103" s="83"/>
      <c r="F103" s="555"/>
      <c r="G103" s="555"/>
      <c r="H103" s="553">
        <f t="shared" si="20"/>
        <v>0</v>
      </c>
      <c r="I103" s="555"/>
      <c r="J103" s="555"/>
      <c r="K103" s="558"/>
      <c r="L103" s="83"/>
      <c r="M103" s="557">
        <f t="shared" si="21"/>
        <v>0</v>
      </c>
      <c r="N103" s="554"/>
      <c r="O103" s="553"/>
      <c r="P103" s="553">
        <f t="shared" si="22"/>
        <v>0</v>
      </c>
      <c r="Q103" s="553">
        <f t="shared" si="23"/>
        <v>0</v>
      </c>
      <c r="R103" s="552"/>
    </row>
    <row r="104" spans="1:21" s="64" customFormat="1" ht="15.75" x14ac:dyDescent="0.25">
      <c r="A104" s="87" t="s">
        <v>68</v>
      </c>
      <c r="B104" s="87"/>
      <c r="C104" s="555"/>
      <c r="D104" s="83"/>
      <c r="E104" s="83" t="s">
        <v>225</v>
      </c>
      <c r="F104" s="555">
        <v>271</v>
      </c>
      <c r="G104" s="555"/>
      <c r="H104" s="553">
        <f t="shared" si="20"/>
        <v>271</v>
      </c>
      <c r="I104" s="555">
        <v>2.48</v>
      </c>
      <c r="J104" s="559">
        <v>0</v>
      </c>
      <c r="K104" s="558">
        <f>(I104-J104)/I104</f>
        <v>1</v>
      </c>
      <c r="L104" s="579">
        <v>7470</v>
      </c>
      <c r="M104" s="557">
        <f t="shared" si="21"/>
        <v>2024370</v>
      </c>
      <c r="N104" s="554"/>
      <c r="O104" s="588"/>
      <c r="P104" s="553">
        <f t="shared" si="22"/>
        <v>0</v>
      </c>
      <c r="Q104" s="588">
        <f t="shared" si="23"/>
        <v>2024370</v>
      </c>
      <c r="R104" s="590"/>
    </row>
    <row r="105" spans="1:21" s="64" customFormat="1" ht="15.75" x14ac:dyDescent="0.25">
      <c r="A105" s="87" t="s">
        <v>55</v>
      </c>
      <c r="B105" s="87"/>
      <c r="C105" s="591">
        <v>1492</v>
      </c>
      <c r="D105" s="83"/>
      <c r="E105" s="83" t="s">
        <v>225</v>
      </c>
      <c r="F105" s="555">
        <v>1145</v>
      </c>
      <c r="G105" s="555"/>
      <c r="H105" s="553">
        <f t="shared" si="20"/>
        <v>1145</v>
      </c>
      <c r="I105" s="555">
        <v>2.48</v>
      </c>
      <c r="J105" s="559">
        <v>0</v>
      </c>
      <c r="K105" s="558">
        <f>(I105-J105)/I105</f>
        <v>1</v>
      </c>
      <c r="L105" s="579">
        <v>7470</v>
      </c>
      <c r="M105" s="557">
        <f t="shared" si="21"/>
        <v>8553150</v>
      </c>
      <c r="N105" s="554"/>
      <c r="O105" s="588"/>
      <c r="P105" s="553">
        <f t="shared" si="22"/>
        <v>0</v>
      </c>
      <c r="Q105" s="588">
        <f t="shared" si="23"/>
        <v>8553150</v>
      </c>
      <c r="R105" s="590"/>
    </row>
    <row r="106" spans="1:21" s="551" customFormat="1" ht="15" hidden="1" x14ac:dyDescent="0.25">
      <c r="A106" s="87" t="s">
        <v>56</v>
      </c>
      <c r="B106" s="87"/>
      <c r="C106" s="555"/>
      <c r="D106" s="83"/>
      <c r="E106" s="83"/>
      <c r="F106" s="555"/>
      <c r="G106" s="555"/>
      <c r="H106" s="553">
        <f t="shared" si="20"/>
        <v>0</v>
      </c>
      <c r="I106" s="555"/>
      <c r="J106" s="555"/>
      <c r="K106" s="558"/>
      <c r="L106" s="83"/>
      <c r="M106" s="557">
        <f t="shared" si="21"/>
        <v>0</v>
      </c>
      <c r="N106" s="554"/>
      <c r="O106" s="553"/>
      <c r="P106" s="553">
        <f t="shared" si="22"/>
        <v>0</v>
      </c>
      <c r="Q106" s="553">
        <f t="shared" si="23"/>
        <v>0</v>
      </c>
      <c r="R106" s="552"/>
    </row>
    <row r="107" spans="1:21" s="551" customFormat="1" ht="15" hidden="1" x14ac:dyDescent="0.25">
      <c r="A107" s="87" t="s">
        <v>57</v>
      </c>
      <c r="B107" s="87"/>
      <c r="C107" s="555"/>
      <c r="D107" s="83"/>
      <c r="E107" s="83"/>
      <c r="F107" s="555"/>
      <c r="G107" s="555"/>
      <c r="H107" s="553">
        <f t="shared" si="20"/>
        <v>0</v>
      </c>
      <c r="I107" s="555"/>
      <c r="J107" s="555"/>
      <c r="K107" s="558"/>
      <c r="L107" s="83"/>
      <c r="M107" s="557">
        <f t="shared" si="21"/>
        <v>0</v>
      </c>
      <c r="N107" s="554"/>
      <c r="O107" s="553"/>
      <c r="P107" s="553">
        <f t="shared" si="22"/>
        <v>0</v>
      </c>
      <c r="Q107" s="553">
        <f t="shared" si="23"/>
        <v>0</v>
      </c>
      <c r="R107" s="552"/>
    </row>
    <row r="108" spans="1:21" s="551" customFormat="1" ht="15" hidden="1" x14ac:dyDescent="0.25">
      <c r="A108" s="87" t="s">
        <v>58</v>
      </c>
      <c r="B108" s="87"/>
      <c r="C108" s="555"/>
      <c r="D108" s="83"/>
      <c r="E108" s="83"/>
      <c r="F108" s="555"/>
      <c r="G108" s="555"/>
      <c r="H108" s="553">
        <f t="shared" si="20"/>
        <v>0</v>
      </c>
      <c r="I108" s="555"/>
      <c r="J108" s="555"/>
      <c r="K108" s="558"/>
      <c r="L108" s="83"/>
      <c r="M108" s="557">
        <f t="shared" si="21"/>
        <v>0</v>
      </c>
      <c r="N108" s="554"/>
      <c r="O108" s="553"/>
      <c r="P108" s="553">
        <f t="shared" si="22"/>
        <v>0</v>
      </c>
      <c r="Q108" s="553">
        <f t="shared" si="23"/>
        <v>0</v>
      </c>
      <c r="R108" s="552"/>
    </row>
    <row r="109" spans="1:21" s="551" customFormat="1" ht="15" x14ac:dyDescent="0.25">
      <c r="A109" s="87" t="s">
        <v>60</v>
      </c>
      <c r="B109" s="87"/>
      <c r="C109" s="555">
        <v>35</v>
      </c>
      <c r="D109" s="83"/>
      <c r="E109" s="83" t="s">
        <v>225</v>
      </c>
      <c r="F109" s="555">
        <v>65</v>
      </c>
      <c r="G109" s="555"/>
      <c r="H109" s="553">
        <f t="shared" si="20"/>
        <v>65</v>
      </c>
      <c r="I109" s="555">
        <v>2.48</v>
      </c>
      <c r="J109" s="559">
        <v>0</v>
      </c>
      <c r="K109" s="558">
        <f>(I109-J109)/I109</f>
        <v>1</v>
      </c>
      <c r="L109" s="579">
        <v>7470</v>
      </c>
      <c r="M109" s="557">
        <f t="shared" si="21"/>
        <v>485550</v>
      </c>
      <c r="N109" s="554"/>
      <c r="O109" s="553"/>
      <c r="P109" s="553">
        <f t="shared" si="22"/>
        <v>0</v>
      </c>
      <c r="Q109" s="553">
        <f t="shared" si="23"/>
        <v>485550</v>
      </c>
      <c r="R109" s="552"/>
    </row>
    <row r="110" spans="1:21" s="551" customFormat="1" ht="15" hidden="1" x14ac:dyDescent="0.25">
      <c r="A110" s="87" t="s">
        <v>61</v>
      </c>
      <c r="B110" s="87"/>
      <c r="C110" s="555"/>
      <c r="D110" s="83"/>
      <c r="E110" s="83"/>
      <c r="F110" s="555"/>
      <c r="G110" s="555"/>
      <c r="H110" s="553">
        <f t="shared" si="20"/>
        <v>0</v>
      </c>
      <c r="I110" s="555"/>
      <c r="J110" s="555"/>
      <c r="K110" s="558"/>
      <c r="L110" s="83"/>
      <c r="M110" s="557">
        <f t="shared" si="21"/>
        <v>0</v>
      </c>
      <c r="N110" s="554"/>
      <c r="O110" s="553"/>
      <c r="P110" s="553">
        <f t="shared" si="22"/>
        <v>0</v>
      </c>
      <c r="Q110" s="553">
        <f t="shared" si="23"/>
        <v>0</v>
      </c>
      <c r="R110" s="552"/>
    </row>
    <row r="111" spans="1:21" s="551" customFormat="1" ht="15" x14ac:dyDescent="0.25">
      <c r="A111" s="87" t="s">
        <v>62</v>
      </c>
      <c r="B111" s="87"/>
      <c r="C111" s="591">
        <v>34</v>
      </c>
      <c r="D111" s="83"/>
      <c r="E111" s="83" t="s">
        <v>276</v>
      </c>
      <c r="F111" s="555">
        <v>21</v>
      </c>
      <c r="G111" s="555"/>
      <c r="H111" s="553">
        <f t="shared" si="20"/>
        <v>21</v>
      </c>
      <c r="I111" s="555">
        <v>2.48</v>
      </c>
      <c r="J111" s="559">
        <v>0</v>
      </c>
      <c r="K111" s="558">
        <f>(I111-J111)/I111</f>
        <v>1</v>
      </c>
      <c r="L111" s="579">
        <v>7470</v>
      </c>
      <c r="M111" s="557">
        <f t="shared" si="21"/>
        <v>156870</v>
      </c>
      <c r="N111" s="554"/>
      <c r="O111" s="553"/>
      <c r="P111" s="553">
        <f t="shared" si="22"/>
        <v>0</v>
      </c>
      <c r="Q111" s="553">
        <f t="shared" si="23"/>
        <v>156870</v>
      </c>
      <c r="R111" s="552"/>
    </row>
    <row r="112" spans="1:21" s="551" customFormat="1" ht="15" x14ac:dyDescent="0.25">
      <c r="A112" s="87" t="s">
        <v>63</v>
      </c>
      <c r="B112" s="87"/>
      <c r="C112" s="591">
        <v>358</v>
      </c>
      <c r="D112" s="83"/>
      <c r="E112" s="83" t="s">
        <v>225</v>
      </c>
      <c r="F112" s="555">
        <v>447</v>
      </c>
      <c r="G112" s="555"/>
      <c r="H112" s="553">
        <f t="shared" si="20"/>
        <v>447</v>
      </c>
      <c r="I112" s="555">
        <v>2.48</v>
      </c>
      <c r="J112" s="559">
        <v>0</v>
      </c>
      <c r="K112" s="558">
        <f>(I112-J112)/I112</f>
        <v>1</v>
      </c>
      <c r="L112" s="579">
        <v>7470</v>
      </c>
      <c r="M112" s="557">
        <f t="shared" si="21"/>
        <v>3339090</v>
      </c>
      <c r="N112" s="554"/>
      <c r="O112" s="553"/>
      <c r="P112" s="553">
        <f t="shared" si="22"/>
        <v>0</v>
      </c>
      <c r="Q112" s="553">
        <f t="shared" si="23"/>
        <v>3339090</v>
      </c>
      <c r="R112" s="552"/>
    </row>
    <row r="113" spans="1:21" s="551" customFormat="1" ht="15" x14ac:dyDescent="0.25">
      <c r="A113" s="87" t="s">
        <v>64</v>
      </c>
      <c r="B113" s="87"/>
      <c r="C113" s="591">
        <v>84</v>
      </c>
      <c r="D113" s="83"/>
      <c r="E113" s="83" t="s">
        <v>225</v>
      </c>
      <c r="F113" s="555">
        <v>105</v>
      </c>
      <c r="G113" s="555"/>
      <c r="H113" s="553">
        <f t="shared" si="20"/>
        <v>105</v>
      </c>
      <c r="I113" s="555">
        <v>2.48</v>
      </c>
      <c r="J113" s="559">
        <v>0</v>
      </c>
      <c r="K113" s="558">
        <f>(I113-J113)/I113</f>
        <v>1</v>
      </c>
      <c r="L113" s="579">
        <v>7470</v>
      </c>
      <c r="M113" s="557">
        <f t="shared" si="21"/>
        <v>784350</v>
      </c>
      <c r="N113" s="554"/>
      <c r="O113" s="553"/>
      <c r="P113" s="553">
        <f t="shared" si="22"/>
        <v>0</v>
      </c>
      <c r="Q113" s="553">
        <f t="shared" si="23"/>
        <v>784350</v>
      </c>
      <c r="R113" s="552"/>
    </row>
    <row r="114" spans="1:21" s="64" customFormat="1" ht="15.75" x14ac:dyDescent="0.25">
      <c r="A114" s="87" t="s">
        <v>126</v>
      </c>
      <c r="B114" s="87"/>
      <c r="C114" s="591">
        <v>623</v>
      </c>
      <c r="D114" s="83"/>
      <c r="E114" s="83" t="s">
        <v>225</v>
      </c>
      <c r="F114" s="555">
        <v>654</v>
      </c>
      <c r="G114" s="555"/>
      <c r="H114" s="553">
        <f t="shared" si="20"/>
        <v>654</v>
      </c>
      <c r="I114" s="555">
        <v>2.48</v>
      </c>
      <c r="J114" s="559">
        <v>0</v>
      </c>
      <c r="K114" s="558">
        <f>(I114-J114)/I114</f>
        <v>1</v>
      </c>
      <c r="L114" s="579">
        <v>7470</v>
      </c>
      <c r="M114" s="557">
        <f t="shared" si="21"/>
        <v>4885380</v>
      </c>
      <c r="N114" s="554"/>
      <c r="O114" s="588"/>
      <c r="P114" s="553">
        <f t="shared" si="22"/>
        <v>0</v>
      </c>
      <c r="Q114" s="588">
        <f t="shared" si="23"/>
        <v>4885380</v>
      </c>
      <c r="R114" s="590"/>
    </row>
    <row r="115" spans="1:21" s="551" customFormat="1" ht="15" hidden="1" x14ac:dyDescent="0.25">
      <c r="A115" s="87" t="s">
        <v>65</v>
      </c>
      <c r="B115" s="87"/>
      <c r="C115" s="555"/>
      <c r="D115" s="83"/>
      <c r="E115" s="83"/>
      <c r="F115" s="555"/>
      <c r="G115" s="555"/>
      <c r="H115" s="553">
        <f t="shared" si="20"/>
        <v>0</v>
      </c>
      <c r="I115" s="555"/>
      <c r="J115" s="555"/>
      <c r="K115" s="558"/>
      <c r="L115" s="83"/>
      <c r="M115" s="557">
        <f t="shared" si="21"/>
        <v>0</v>
      </c>
      <c r="N115" s="554"/>
      <c r="O115" s="553"/>
      <c r="P115" s="553">
        <f t="shared" si="22"/>
        <v>0</v>
      </c>
      <c r="Q115" s="553">
        <f t="shared" si="23"/>
        <v>0</v>
      </c>
      <c r="R115" s="552"/>
    </row>
    <row r="116" spans="1:21" s="551" customFormat="1" ht="15" hidden="1" x14ac:dyDescent="0.25">
      <c r="A116" s="87" t="s">
        <v>66</v>
      </c>
      <c r="B116" s="87"/>
      <c r="C116" s="555"/>
      <c r="D116" s="83"/>
      <c r="E116" s="83"/>
      <c r="F116" s="555"/>
      <c r="G116" s="555"/>
      <c r="H116" s="553">
        <f t="shared" si="20"/>
        <v>0</v>
      </c>
      <c r="I116" s="555"/>
      <c r="J116" s="555"/>
      <c r="K116" s="558"/>
      <c r="L116" s="83"/>
      <c r="M116" s="557">
        <f t="shared" si="21"/>
        <v>0</v>
      </c>
      <c r="N116" s="554"/>
      <c r="O116" s="553"/>
      <c r="P116" s="553">
        <f t="shared" si="22"/>
        <v>0</v>
      </c>
      <c r="Q116" s="553">
        <f t="shared" si="23"/>
        <v>0</v>
      </c>
      <c r="R116" s="552"/>
    </row>
    <row r="117" spans="1:21" s="64" customFormat="1" ht="15.75" x14ac:dyDescent="0.25">
      <c r="A117" s="567" t="s">
        <v>67</v>
      </c>
      <c r="B117" s="567"/>
      <c r="C117" s="566">
        <v>1190</v>
      </c>
      <c r="D117" s="565"/>
      <c r="E117" s="86" t="s">
        <v>225</v>
      </c>
      <c r="F117" s="555">
        <v>1260</v>
      </c>
      <c r="G117" s="555"/>
      <c r="H117" s="553">
        <f t="shared" si="20"/>
        <v>1260</v>
      </c>
      <c r="I117" s="589">
        <v>2.48</v>
      </c>
      <c r="J117" s="559">
        <v>0</v>
      </c>
      <c r="K117" s="558">
        <f>(I117-J117)/I117</f>
        <v>1</v>
      </c>
      <c r="L117" s="579">
        <v>7470</v>
      </c>
      <c r="M117" s="557">
        <f t="shared" si="21"/>
        <v>9412200</v>
      </c>
      <c r="N117" s="564"/>
      <c r="O117" s="564"/>
      <c r="P117" s="553"/>
      <c r="Q117" s="588">
        <f t="shared" si="23"/>
        <v>9412200</v>
      </c>
      <c r="R117" s="563"/>
      <c r="S117" s="20"/>
      <c r="T117" s="587"/>
      <c r="U117" s="310"/>
    </row>
    <row r="118" spans="1:21" s="551" customFormat="1" ht="15" hidden="1" x14ac:dyDescent="0.25">
      <c r="A118" s="87" t="s">
        <v>275</v>
      </c>
      <c r="B118" s="87"/>
      <c r="C118" s="555"/>
      <c r="D118" s="83"/>
      <c r="E118" s="83"/>
      <c r="F118" s="555"/>
      <c r="G118" s="555"/>
      <c r="H118" s="553">
        <f t="shared" si="20"/>
        <v>0</v>
      </c>
      <c r="I118" s="555"/>
      <c r="J118" s="555"/>
      <c r="K118" s="558"/>
      <c r="L118" s="83"/>
      <c r="M118" s="557">
        <f t="shared" si="21"/>
        <v>0</v>
      </c>
      <c r="N118" s="554"/>
      <c r="O118" s="553"/>
      <c r="P118" s="553">
        <f>N118*1000*17</f>
        <v>0</v>
      </c>
      <c r="Q118" s="553">
        <f t="shared" si="23"/>
        <v>0</v>
      </c>
      <c r="R118" s="552"/>
    </row>
    <row r="119" spans="1:21" s="551" customFormat="1" ht="15" hidden="1" x14ac:dyDescent="0.25">
      <c r="A119" s="87" t="s">
        <v>69</v>
      </c>
      <c r="B119" s="87"/>
      <c r="C119" s="555"/>
      <c r="D119" s="83"/>
      <c r="E119" s="83"/>
      <c r="F119" s="555"/>
      <c r="G119" s="555"/>
      <c r="H119" s="553">
        <f t="shared" si="20"/>
        <v>0</v>
      </c>
      <c r="I119" s="555"/>
      <c r="J119" s="555"/>
      <c r="K119" s="558"/>
      <c r="L119" s="83"/>
      <c r="M119" s="557">
        <f t="shared" si="21"/>
        <v>0</v>
      </c>
      <c r="N119" s="554"/>
      <c r="O119" s="553"/>
      <c r="P119" s="553">
        <f>N119*1000*17</f>
        <v>0</v>
      </c>
      <c r="Q119" s="553">
        <f t="shared" si="23"/>
        <v>0</v>
      </c>
      <c r="R119" s="552"/>
    </row>
    <row r="120" spans="1:21" s="551" customFormat="1" ht="15" hidden="1" x14ac:dyDescent="0.25">
      <c r="A120" s="87" t="s">
        <v>70</v>
      </c>
      <c r="B120" s="87"/>
      <c r="C120" s="555"/>
      <c r="D120" s="83"/>
      <c r="E120" s="83"/>
      <c r="F120" s="555"/>
      <c r="G120" s="555"/>
      <c r="H120" s="553">
        <f t="shared" si="20"/>
        <v>0</v>
      </c>
      <c r="I120" s="555"/>
      <c r="J120" s="555"/>
      <c r="K120" s="558"/>
      <c r="L120" s="83"/>
      <c r="M120" s="557">
        <f t="shared" si="21"/>
        <v>0</v>
      </c>
      <c r="N120" s="554"/>
      <c r="O120" s="553"/>
      <c r="P120" s="553">
        <f>N120*1000*17</f>
        <v>0</v>
      </c>
      <c r="Q120" s="553">
        <f t="shared" si="23"/>
        <v>0</v>
      </c>
      <c r="R120" s="552"/>
    </row>
    <row r="121" spans="1:21" s="551" customFormat="1" ht="15" x14ac:dyDescent="0.25">
      <c r="A121" s="87"/>
      <c r="B121" s="87"/>
      <c r="C121" s="555"/>
      <c r="D121" s="83"/>
      <c r="E121" s="83"/>
      <c r="F121" s="555"/>
      <c r="G121" s="555"/>
      <c r="H121" s="555"/>
      <c r="I121" s="556"/>
      <c r="J121" s="555"/>
      <c r="K121" s="553"/>
      <c r="L121" s="83"/>
      <c r="M121" s="83"/>
      <c r="N121" s="554"/>
      <c r="O121" s="553"/>
      <c r="P121" s="553"/>
      <c r="Q121" s="553"/>
      <c r="R121" s="552"/>
    </row>
    <row r="122" spans="1:21" s="572" customFormat="1" ht="16.5" x14ac:dyDescent="0.25">
      <c r="A122" s="578" t="s">
        <v>71</v>
      </c>
      <c r="B122" s="578"/>
      <c r="C122" s="577">
        <f>SUM(C123:C146)</f>
        <v>6783.5</v>
      </c>
      <c r="D122" s="575"/>
      <c r="E122" s="575"/>
      <c r="F122" s="577">
        <f>SUM(F123:F146)</f>
        <v>6800.5</v>
      </c>
      <c r="G122" s="577">
        <f>SUM(G123:G146)</f>
        <v>3178</v>
      </c>
      <c r="H122" s="577">
        <f>SUM(H123:H146)</f>
        <v>9978.5</v>
      </c>
      <c r="I122" s="577"/>
      <c r="J122" s="577"/>
      <c r="K122" s="576"/>
      <c r="L122" s="575">
        <f>SUM(L123:L146)</f>
        <v>256960</v>
      </c>
      <c r="M122" s="575">
        <f>SUM(M123:M146)</f>
        <v>218505432.52293578</v>
      </c>
      <c r="N122" s="575">
        <f>SUM(N123:N146)</f>
        <v>0</v>
      </c>
      <c r="O122" s="575">
        <f>AVERAGE(O123:O146)</f>
        <v>0</v>
      </c>
      <c r="P122" s="575">
        <f>SUM(P123:P146)</f>
        <v>0</v>
      </c>
      <c r="Q122" s="574">
        <f>P122+M122</f>
        <v>218505432.52293578</v>
      </c>
      <c r="R122" s="573"/>
    </row>
    <row r="123" spans="1:21" s="65" customFormat="1" ht="15" x14ac:dyDescent="0.25">
      <c r="A123" s="567" t="s">
        <v>105</v>
      </c>
      <c r="B123" s="567"/>
      <c r="C123" s="566">
        <v>438</v>
      </c>
      <c r="D123" s="583"/>
      <c r="E123" s="86" t="s">
        <v>225</v>
      </c>
      <c r="F123" s="555">
        <v>808</v>
      </c>
      <c r="G123" s="555"/>
      <c r="H123" s="553">
        <f>SUM(F123:G123)</f>
        <v>808</v>
      </c>
      <c r="I123" s="560">
        <v>2.1800000000000002</v>
      </c>
      <c r="J123" s="559">
        <v>0</v>
      </c>
      <c r="K123" s="558">
        <f>(I123-J123)/I123</f>
        <v>1</v>
      </c>
      <c r="L123" s="579">
        <v>7470</v>
      </c>
      <c r="M123" s="557">
        <f>(H123*L123)*K123</f>
        <v>6035760</v>
      </c>
      <c r="N123" s="564"/>
      <c r="O123" s="564"/>
      <c r="P123" s="553">
        <f>N123*1000*17</f>
        <v>0</v>
      </c>
      <c r="Q123" s="553">
        <f>M123+P123</f>
        <v>6035760</v>
      </c>
      <c r="R123" s="563"/>
      <c r="S123" s="570"/>
      <c r="T123" s="425"/>
      <c r="U123" s="425"/>
    </row>
    <row r="124" spans="1:21" s="551" customFormat="1" ht="15" x14ac:dyDescent="0.25">
      <c r="A124" s="567" t="s">
        <v>255</v>
      </c>
      <c r="B124" s="567"/>
      <c r="C124" s="566">
        <v>399</v>
      </c>
      <c r="D124" s="585"/>
      <c r="E124" s="86" t="s">
        <v>225</v>
      </c>
      <c r="F124" s="555">
        <v>570</v>
      </c>
      <c r="G124" s="555"/>
      <c r="H124" s="553">
        <f>SUM(F124:G124)</f>
        <v>570</v>
      </c>
      <c r="I124" s="560">
        <v>2.1800000000000002</v>
      </c>
      <c r="J124" s="559">
        <v>0</v>
      </c>
      <c r="K124" s="558">
        <f>(I124-J124)/I124</f>
        <v>1</v>
      </c>
      <c r="L124" s="579">
        <v>7470</v>
      </c>
      <c r="M124" s="557">
        <f>(H124*L124)*K124</f>
        <v>4257900</v>
      </c>
      <c r="N124" s="564"/>
      <c r="O124" s="564"/>
      <c r="P124" s="553">
        <f>N124*1000*17</f>
        <v>0</v>
      </c>
      <c r="Q124" s="553">
        <f>M124+P124</f>
        <v>4257900</v>
      </c>
      <c r="R124" s="563"/>
      <c r="S124" s="568"/>
      <c r="T124" s="310"/>
      <c r="U124" s="310"/>
    </row>
    <row r="125" spans="1:21" s="551" customFormat="1" ht="15" hidden="1" x14ac:dyDescent="0.25">
      <c r="A125" s="563" t="s">
        <v>72</v>
      </c>
      <c r="B125" s="86"/>
      <c r="C125" s="566"/>
      <c r="D125" s="580"/>
      <c r="E125" s="86"/>
      <c r="F125" s="565"/>
      <c r="G125" s="565"/>
      <c r="H125" s="553">
        <f>F125+G125</f>
        <v>0</v>
      </c>
      <c r="I125" s="560"/>
      <c r="J125" s="586"/>
      <c r="K125" s="558"/>
      <c r="L125" s="557"/>
      <c r="M125" s="557">
        <f>(H125*L125)*K125</f>
        <v>0</v>
      </c>
      <c r="N125" s="564"/>
      <c r="O125" s="564"/>
      <c r="P125" s="553">
        <f>N125*1000*17</f>
        <v>0</v>
      </c>
      <c r="Q125" s="553">
        <f>M125+P125</f>
        <v>0</v>
      </c>
      <c r="R125" s="563"/>
      <c r="S125" s="568"/>
      <c r="T125" s="310"/>
      <c r="U125" s="310"/>
    </row>
    <row r="126" spans="1:21" s="551" customFormat="1" ht="15" x14ac:dyDescent="0.25">
      <c r="A126" s="563" t="s">
        <v>73</v>
      </c>
      <c r="B126" s="86"/>
      <c r="C126" s="566">
        <v>200</v>
      </c>
      <c r="D126" s="580"/>
      <c r="E126" s="86" t="s">
        <v>120</v>
      </c>
      <c r="F126" s="565">
        <v>120</v>
      </c>
      <c r="G126" s="565"/>
      <c r="H126" s="553">
        <f>F126+G126</f>
        <v>120</v>
      </c>
      <c r="I126" s="560"/>
      <c r="J126" s="586"/>
      <c r="K126" s="558"/>
      <c r="L126" s="557"/>
      <c r="M126" s="557">
        <f>(H126*L126)*K126</f>
        <v>0</v>
      </c>
      <c r="N126" s="564"/>
      <c r="O126" s="564"/>
      <c r="P126" s="553">
        <f>N126*1000*17</f>
        <v>0</v>
      </c>
      <c r="Q126" s="553">
        <f>M126+P126</f>
        <v>0</v>
      </c>
      <c r="R126" s="563"/>
      <c r="S126" s="568"/>
      <c r="T126" s="310"/>
      <c r="U126" s="310"/>
    </row>
    <row r="127" spans="1:21" s="551" customFormat="1" ht="15" x14ac:dyDescent="0.25">
      <c r="A127" s="563" t="s">
        <v>103</v>
      </c>
      <c r="B127" s="86"/>
      <c r="C127" s="566">
        <v>350</v>
      </c>
      <c r="D127" s="580"/>
      <c r="E127" s="86" t="s">
        <v>120</v>
      </c>
      <c r="F127" s="565">
        <v>247</v>
      </c>
      <c r="G127" s="565"/>
      <c r="H127" s="553">
        <f>F127+G127</f>
        <v>247</v>
      </c>
      <c r="I127" s="560">
        <v>2.1800000000000002</v>
      </c>
      <c r="J127" s="559">
        <v>0</v>
      </c>
      <c r="K127" s="558">
        <f>(I127-J127)/I127</f>
        <v>1</v>
      </c>
      <c r="L127" s="557">
        <v>33464</v>
      </c>
      <c r="M127" s="557">
        <f>(H127*L127)*K127</f>
        <v>8265608</v>
      </c>
      <c r="N127" s="564"/>
      <c r="O127" s="564"/>
      <c r="P127" s="553">
        <f>N127*1000*17</f>
        <v>0</v>
      </c>
      <c r="Q127" s="553">
        <f>M127+P127</f>
        <v>8265608</v>
      </c>
      <c r="R127" s="563"/>
      <c r="S127" s="568"/>
      <c r="T127" s="310"/>
      <c r="U127" s="310"/>
    </row>
    <row r="128" spans="1:21" s="551" customFormat="1" ht="15" x14ac:dyDescent="0.25">
      <c r="A128" s="563" t="s">
        <v>74</v>
      </c>
      <c r="B128" s="86"/>
      <c r="C128" s="566">
        <v>3129</v>
      </c>
      <c r="D128" s="566">
        <v>0</v>
      </c>
      <c r="E128" s="566">
        <v>0</v>
      </c>
      <c r="F128" s="566">
        <v>3265</v>
      </c>
      <c r="G128" s="566">
        <v>3123</v>
      </c>
      <c r="H128" s="566">
        <v>6388</v>
      </c>
      <c r="I128" s="566">
        <v>4.3600000000000003</v>
      </c>
      <c r="J128" s="566">
        <v>0.65</v>
      </c>
      <c r="K128" s="566">
        <v>1.7018348623853212</v>
      </c>
      <c r="L128" s="566">
        <v>66928</v>
      </c>
      <c r="M128" s="566">
        <v>182607368.33027524</v>
      </c>
      <c r="N128" s="566">
        <v>0</v>
      </c>
      <c r="O128" s="566">
        <v>0</v>
      </c>
      <c r="P128" s="566">
        <v>0</v>
      </c>
      <c r="Q128" s="566">
        <v>182607368.33027524</v>
      </c>
      <c r="R128" s="563"/>
      <c r="S128" s="568"/>
      <c r="T128" s="310"/>
      <c r="U128" s="310"/>
    </row>
    <row r="129" spans="1:21" s="551" customFormat="1" ht="15" x14ac:dyDescent="0.25">
      <c r="A129" s="87" t="s">
        <v>274</v>
      </c>
      <c r="B129" s="87"/>
      <c r="C129" s="555"/>
      <c r="D129" s="83"/>
      <c r="E129" s="86" t="s">
        <v>225</v>
      </c>
      <c r="F129" s="555">
        <v>26</v>
      </c>
      <c r="G129" s="555"/>
      <c r="H129" s="553">
        <f t="shared" ref="H129:H138" si="24">F129+G129</f>
        <v>26</v>
      </c>
      <c r="I129" s="560">
        <v>2.1800000000000002</v>
      </c>
      <c r="J129" s="559">
        <v>0</v>
      </c>
      <c r="K129" s="558">
        <f>(I129-J129)/I129</f>
        <v>1</v>
      </c>
      <c r="L129" s="579">
        <v>7470</v>
      </c>
      <c r="M129" s="557">
        <f t="shared" ref="M129:M138" si="25">(H129*L129)*K129</f>
        <v>194220</v>
      </c>
      <c r="N129" s="554"/>
      <c r="O129" s="553"/>
      <c r="P129" s="553">
        <f t="shared" ref="P129:P138" si="26">N129*1000*17</f>
        <v>0</v>
      </c>
      <c r="Q129" s="553">
        <f t="shared" ref="Q129:Q138" si="27">M129+P129</f>
        <v>194220</v>
      </c>
      <c r="R129" s="552"/>
    </row>
    <row r="130" spans="1:21" s="551" customFormat="1" ht="15" hidden="1" x14ac:dyDescent="0.25">
      <c r="A130" s="87" t="s">
        <v>75</v>
      </c>
      <c r="B130" s="87"/>
      <c r="C130" s="555"/>
      <c r="D130" s="83"/>
      <c r="E130" s="83"/>
      <c r="F130" s="555"/>
      <c r="G130" s="555"/>
      <c r="H130" s="553">
        <f t="shared" si="24"/>
        <v>0</v>
      </c>
      <c r="I130" s="555"/>
      <c r="J130" s="555"/>
      <c r="K130" s="558"/>
      <c r="L130" s="83"/>
      <c r="M130" s="557">
        <f t="shared" si="25"/>
        <v>0</v>
      </c>
      <c r="N130" s="554"/>
      <c r="O130" s="553"/>
      <c r="P130" s="553">
        <f t="shared" si="26"/>
        <v>0</v>
      </c>
      <c r="Q130" s="553">
        <f t="shared" si="27"/>
        <v>0</v>
      </c>
      <c r="R130" s="552"/>
    </row>
    <row r="131" spans="1:21" s="551" customFormat="1" ht="15" hidden="1" x14ac:dyDescent="0.25">
      <c r="A131" s="87" t="s">
        <v>76</v>
      </c>
      <c r="B131" s="87"/>
      <c r="C131" s="555"/>
      <c r="D131" s="83"/>
      <c r="E131" s="83"/>
      <c r="F131" s="555"/>
      <c r="G131" s="555"/>
      <c r="H131" s="553">
        <f t="shared" si="24"/>
        <v>0</v>
      </c>
      <c r="I131" s="555"/>
      <c r="J131" s="555"/>
      <c r="K131" s="558"/>
      <c r="L131" s="83"/>
      <c r="M131" s="557">
        <f t="shared" si="25"/>
        <v>0</v>
      </c>
      <c r="N131" s="554"/>
      <c r="O131" s="553"/>
      <c r="P131" s="553">
        <f t="shared" si="26"/>
        <v>0</v>
      </c>
      <c r="Q131" s="553">
        <f t="shared" si="27"/>
        <v>0</v>
      </c>
      <c r="R131" s="552"/>
    </row>
    <row r="132" spans="1:21" s="551" customFormat="1" ht="15" hidden="1" x14ac:dyDescent="0.25">
      <c r="A132" s="87" t="s">
        <v>253</v>
      </c>
      <c r="B132" s="87"/>
      <c r="C132" s="555"/>
      <c r="D132" s="83"/>
      <c r="E132" s="83"/>
      <c r="F132" s="555"/>
      <c r="G132" s="555"/>
      <c r="H132" s="553">
        <f t="shared" si="24"/>
        <v>0</v>
      </c>
      <c r="I132" s="555"/>
      <c r="J132" s="555"/>
      <c r="K132" s="558"/>
      <c r="L132" s="83"/>
      <c r="M132" s="557">
        <f t="shared" si="25"/>
        <v>0</v>
      </c>
      <c r="N132" s="554"/>
      <c r="O132" s="553"/>
      <c r="P132" s="553">
        <f t="shared" si="26"/>
        <v>0</v>
      </c>
      <c r="Q132" s="553">
        <f t="shared" si="27"/>
        <v>0</v>
      </c>
      <c r="R132" s="552"/>
    </row>
    <row r="133" spans="1:21" s="551" customFormat="1" ht="15" x14ac:dyDescent="0.25">
      <c r="A133" s="563" t="s">
        <v>104</v>
      </c>
      <c r="B133" s="86"/>
      <c r="C133" s="566">
        <v>410</v>
      </c>
      <c r="D133" s="580"/>
      <c r="E133" s="86" t="s">
        <v>225</v>
      </c>
      <c r="F133" s="565">
        <f>623*0.5</f>
        <v>311.5</v>
      </c>
      <c r="G133" s="565"/>
      <c r="H133" s="553">
        <f t="shared" si="24"/>
        <v>311.5</v>
      </c>
      <c r="I133" s="560">
        <v>2.1800000000000002</v>
      </c>
      <c r="J133" s="559">
        <v>0</v>
      </c>
      <c r="K133" s="558">
        <f>(I133-J133)/I133</f>
        <v>1</v>
      </c>
      <c r="L133" s="579">
        <v>7470</v>
      </c>
      <c r="M133" s="557">
        <f t="shared" si="25"/>
        <v>2326905</v>
      </c>
      <c r="N133" s="564"/>
      <c r="O133" s="564"/>
      <c r="P133" s="553">
        <f t="shared" si="26"/>
        <v>0</v>
      </c>
      <c r="Q133" s="553">
        <f t="shared" si="27"/>
        <v>2326905</v>
      </c>
      <c r="R133" s="563"/>
      <c r="S133" s="568"/>
      <c r="T133" s="310"/>
      <c r="U133" s="310"/>
    </row>
    <row r="134" spans="1:21" s="551" customFormat="1" ht="15" hidden="1" x14ac:dyDescent="0.25">
      <c r="A134" s="87" t="s">
        <v>77</v>
      </c>
      <c r="B134" s="87"/>
      <c r="C134" s="555"/>
      <c r="D134" s="83"/>
      <c r="E134" s="83"/>
      <c r="F134" s="555"/>
      <c r="G134" s="555"/>
      <c r="H134" s="553">
        <f t="shared" si="24"/>
        <v>0</v>
      </c>
      <c r="I134" s="555"/>
      <c r="J134" s="555"/>
      <c r="K134" s="558"/>
      <c r="L134" s="83"/>
      <c r="M134" s="557">
        <f t="shared" si="25"/>
        <v>0</v>
      </c>
      <c r="N134" s="554"/>
      <c r="O134" s="553"/>
      <c r="P134" s="553">
        <f t="shared" si="26"/>
        <v>0</v>
      </c>
      <c r="Q134" s="553">
        <f t="shared" si="27"/>
        <v>0</v>
      </c>
      <c r="R134" s="552"/>
    </row>
    <row r="135" spans="1:21" s="551" customFormat="1" ht="15" hidden="1" x14ac:dyDescent="0.25">
      <c r="A135" s="87" t="s">
        <v>78</v>
      </c>
      <c r="B135" s="87"/>
      <c r="C135" s="555"/>
      <c r="D135" s="83"/>
      <c r="E135" s="83"/>
      <c r="F135" s="555"/>
      <c r="G135" s="555"/>
      <c r="H135" s="553">
        <f t="shared" si="24"/>
        <v>0</v>
      </c>
      <c r="I135" s="555"/>
      <c r="J135" s="555"/>
      <c r="K135" s="558"/>
      <c r="L135" s="83"/>
      <c r="M135" s="557">
        <f t="shared" si="25"/>
        <v>0</v>
      </c>
      <c r="N135" s="554"/>
      <c r="O135" s="553"/>
      <c r="P135" s="553">
        <f t="shared" si="26"/>
        <v>0</v>
      </c>
      <c r="Q135" s="553">
        <f t="shared" si="27"/>
        <v>0</v>
      </c>
      <c r="R135" s="552"/>
    </row>
    <row r="136" spans="1:21" s="551" customFormat="1" ht="15" x14ac:dyDescent="0.25">
      <c r="A136" s="563" t="s">
        <v>79</v>
      </c>
      <c r="B136" s="86"/>
      <c r="C136" s="566">
        <v>150</v>
      </c>
      <c r="D136" s="580"/>
      <c r="E136" s="86" t="s">
        <v>120</v>
      </c>
      <c r="F136" s="565">
        <v>110</v>
      </c>
      <c r="G136" s="565"/>
      <c r="H136" s="553">
        <f t="shared" si="24"/>
        <v>110</v>
      </c>
      <c r="I136" s="560">
        <v>2.1800000000000002</v>
      </c>
      <c r="J136" s="559">
        <v>0</v>
      </c>
      <c r="K136" s="558">
        <f>(I136-J136)/I136</f>
        <v>1</v>
      </c>
      <c r="L136" s="557">
        <v>33464</v>
      </c>
      <c r="M136" s="557">
        <f t="shared" si="25"/>
        <v>3681040</v>
      </c>
      <c r="N136" s="564"/>
      <c r="O136" s="564"/>
      <c r="P136" s="553">
        <f t="shared" si="26"/>
        <v>0</v>
      </c>
      <c r="Q136" s="553">
        <f t="shared" si="27"/>
        <v>3681040</v>
      </c>
      <c r="R136" s="563"/>
      <c r="S136" s="568"/>
      <c r="T136" s="310"/>
      <c r="U136" s="310"/>
    </row>
    <row r="137" spans="1:21" s="551" customFormat="1" ht="15" x14ac:dyDescent="0.25">
      <c r="A137" s="563" t="s">
        <v>252</v>
      </c>
      <c r="B137" s="86"/>
      <c r="C137" s="566">
        <v>235</v>
      </c>
      <c r="D137" s="580"/>
      <c r="E137" s="86" t="s">
        <v>225</v>
      </c>
      <c r="F137" s="565">
        <v>185</v>
      </c>
      <c r="G137" s="565"/>
      <c r="H137" s="553">
        <f t="shared" si="24"/>
        <v>185</v>
      </c>
      <c r="I137" s="560">
        <v>2.1800000000000002</v>
      </c>
      <c r="J137" s="559">
        <v>0</v>
      </c>
      <c r="K137" s="558">
        <f>(I137-J137)/I137</f>
        <v>1</v>
      </c>
      <c r="L137" s="579">
        <v>7470</v>
      </c>
      <c r="M137" s="557">
        <f t="shared" si="25"/>
        <v>1381950</v>
      </c>
      <c r="N137" s="564"/>
      <c r="O137" s="564"/>
      <c r="P137" s="553">
        <f t="shared" si="26"/>
        <v>0</v>
      </c>
      <c r="Q137" s="553">
        <f t="shared" si="27"/>
        <v>1381950</v>
      </c>
      <c r="R137" s="563"/>
      <c r="S137" s="568"/>
      <c r="T137" s="310"/>
      <c r="U137" s="310"/>
    </row>
    <row r="138" spans="1:21" s="551" customFormat="1" ht="15" hidden="1" x14ac:dyDescent="0.25">
      <c r="A138" s="87" t="s">
        <v>2</v>
      </c>
      <c r="B138" s="87"/>
      <c r="C138" s="555"/>
      <c r="D138" s="83"/>
      <c r="E138" s="83"/>
      <c r="F138" s="555"/>
      <c r="G138" s="555"/>
      <c r="H138" s="553">
        <f t="shared" si="24"/>
        <v>0</v>
      </c>
      <c r="I138" s="555"/>
      <c r="J138" s="555"/>
      <c r="K138" s="558"/>
      <c r="L138" s="83"/>
      <c r="M138" s="557">
        <f t="shared" si="25"/>
        <v>0</v>
      </c>
      <c r="N138" s="554"/>
      <c r="O138" s="553"/>
      <c r="P138" s="553">
        <f t="shared" si="26"/>
        <v>0</v>
      </c>
      <c r="Q138" s="553">
        <f t="shared" si="27"/>
        <v>0</v>
      </c>
      <c r="R138" s="552"/>
    </row>
    <row r="139" spans="1:21" s="664" customFormat="1" ht="15" x14ac:dyDescent="0.25">
      <c r="A139" s="659" t="s">
        <v>80</v>
      </c>
      <c r="B139" s="659"/>
      <c r="C139" s="652">
        <v>59.5</v>
      </c>
      <c r="D139" s="652">
        <v>0</v>
      </c>
      <c r="E139" s="652">
        <v>0</v>
      </c>
      <c r="F139" s="652">
        <v>85</v>
      </c>
      <c r="G139" s="652">
        <v>0</v>
      </c>
      <c r="H139" s="652">
        <v>85</v>
      </c>
      <c r="I139" s="652">
        <v>4.3600000000000003</v>
      </c>
      <c r="J139" s="652">
        <v>0</v>
      </c>
      <c r="K139" s="652">
        <v>2</v>
      </c>
      <c r="L139" s="652">
        <v>40934</v>
      </c>
      <c r="M139" s="652">
        <v>1544740</v>
      </c>
      <c r="N139" s="652">
        <v>0</v>
      </c>
      <c r="O139" s="652">
        <v>0</v>
      </c>
      <c r="P139" s="652">
        <v>0</v>
      </c>
      <c r="Q139" s="652">
        <v>1544740</v>
      </c>
      <c r="R139" s="663"/>
    </row>
    <row r="140" spans="1:21" s="551" customFormat="1" ht="15" x14ac:dyDescent="0.25">
      <c r="A140" s="567" t="s">
        <v>81</v>
      </c>
      <c r="B140" s="567"/>
      <c r="C140" s="566">
        <v>280</v>
      </c>
      <c r="D140" s="585"/>
      <c r="E140" s="86" t="s">
        <v>273</v>
      </c>
      <c r="F140" s="555">
        <v>200</v>
      </c>
      <c r="G140" s="555"/>
      <c r="H140" s="553">
        <f>SUM(F140:G140)</f>
        <v>200</v>
      </c>
      <c r="I140" s="560">
        <v>2.1800000000000002</v>
      </c>
      <c r="J140" s="559">
        <v>0</v>
      </c>
      <c r="K140" s="558">
        <f>(I140-J140)/I140</f>
        <v>1</v>
      </c>
      <c r="L140" s="579">
        <v>7470</v>
      </c>
      <c r="M140" s="557">
        <f>(H140*L140)*K140</f>
        <v>1494000</v>
      </c>
      <c r="N140" s="564"/>
      <c r="O140" s="564"/>
      <c r="P140" s="553">
        <f>N140*1000*17</f>
        <v>0</v>
      </c>
      <c r="Q140" s="553">
        <f>M140+P140</f>
        <v>1494000</v>
      </c>
      <c r="R140" s="563"/>
      <c r="S140" s="568"/>
      <c r="T140" s="310"/>
      <c r="U140" s="310"/>
    </row>
    <row r="141" spans="1:21" s="551" customFormat="1" ht="15" hidden="1" x14ac:dyDescent="0.25">
      <c r="A141" s="87" t="s">
        <v>251</v>
      </c>
      <c r="B141" s="87"/>
      <c r="C141" s="555"/>
      <c r="D141" s="83"/>
      <c r="E141" s="83"/>
      <c r="F141" s="555"/>
      <c r="G141" s="555"/>
      <c r="H141" s="553">
        <f>F141+G141</f>
        <v>0</v>
      </c>
      <c r="I141" s="555"/>
      <c r="J141" s="555"/>
      <c r="K141" s="558"/>
      <c r="L141" s="83"/>
      <c r="M141" s="557">
        <f>(H141*L141)*K141</f>
        <v>0</v>
      </c>
      <c r="N141" s="554"/>
      <c r="O141" s="553"/>
      <c r="P141" s="553">
        <f>N141*1000*17</f>
        <v>0</v>
      </c>
      <c r="Q141" s="553">
        <f>M141+P141</f>
        <v>0</v>
      </c>
      <c r="R141" s="552"/>
    </row>
    <row r="142" spans="1:21" s="664" customFormat="1" ht="15" x14ac:dyDescent="0.25">
      <c r="A142" s="659" t="s">
        <v>250</v>
      </c>
      <c r="B142" s="659"/>
      <c r="C142" s="652">
        <v>25</v>
      </c>
      <c r="D142" s="652">
        <v>0</v>
      </c>
      <c r="E142" s="652">
        <v>0</v>
      </c>
      <c r="F142" s="652">
        <v>10</v>
      </c>
      <c r="G142" s="652">
        <v>20</v>
      </c>
      <c r="H142" s="652">
        <v>30</v>
      </c>
      <c r="I142" s="652">
        <v>4.3600000000000003</v>
      </c>
      <c r="J142" s="652">
        <v>3.056</v>
      </c>
      <c r="K142" s="652">
        <v>1.298165137614679</v>
      </c>
      <c r="L142" s="652">
        <v>14940</v>
      </c>
      <c r="M142" s="652">
        <v>119245.87155963303</v>
      </c>
      <c r="N142" s="652">
        <v>0</v>
      </c>
      <c r="O142" s="652">
        <v>0</v>
      </c>
      <c r="P142" s="652">
        <v>0</v>
      </c>
      <c r="Q142" s="652">
        <v>119245.87155963303</v>
      </c>
      <c r="R142" s="663"/>
    </row>
    <row r="143" spans="1:21" s="65" customFormat="1" ht="15" x14ac:dyDescent="0.25">
      <c r="A143" s="584" t="s">
        <v>222</v>
      </c>
      <c r="B143" s="563"/>
      <c r="C143" s="566">
        <v>50</v>
      </c>
      <c r="D143" s="583"/>
      <c r="E143" s="86" t="s">
        <v>225</v>
      </c>
      <c r="F143" s="565">
        <v>15</v>
      </c>
      <c r="G143" s="565">
        <v>35</v>
      </c>
      <c r="H143" s="582">
        <f>SUM(F143:G143)</f>
        <v>50</v>
      </c>
      <c r="I143" s="560">
        <v>2.1800000000000002</v>
      </c>
      <c r="J143" s="559">
        <v>0.65</v>
      </c>
      <c r="K143" s="558">
        <f>(I143-J143)/I143</f>
        <v>0.70183486238532111</v>
      </c>
      <c r="L143" s="579">
        <v>7470</v>
      </c>
      <c r="M143" s="581">
        <f>(H143*L143)*K143</f>
        <v>262135.32110091744</v>
      </c>
      <c r="N143" s="564"/>
      <c r="O143" s="564"/>
      <c r="P143" s="553">
        <f>N143*1000*17</f>
        <v>0</v>
      </c>
      <c r="Q143" s="553">
        <f>M143+P143</f>
        <v>262135.32110091744</v>
      </c>
      <c r="R143" s="563"/>
      <c r="S143" s="570"/>
      <c r="T143" s="425"/>
      <c r="U143" s="425"/>
    </row>
    <row r="144" spans="1:21" s="551" customFormat="1" ht="15" x14ac:dyDescent="0.25">
      <c r="A144" s="563" t="s">
        <v>116</v>
      </c>
      <c r="B144" s="86"/>
      <c r="C144" s="566">
        <v>378</v>
      </c>
      <c r="D144" s="580"/>
      <c r="E144" s="86" t="s">
        <v>225</v>
      </c>
      <c r="F144" s="565">
        <v>255</v>
      </c>
      <c r="G144" s="565"/>
      <c r="H144" s="553">
        <f>F144+G144</f>
        <v>255</v>
      </c>
      <c r="I144" s="560">
        <v>2.1800000000000002</v>
      </c>
      <c r="J144" s="559">
        <v>0</v>
      </c>
      <c r="K144" s="558">
        <f>(I144-J144)/I144</f>
        <v>1</v>
      </c>
      <c r="L144" s="579">
        <v>7470</v>
      </c>
      <c r="M144" s="557">
        <f>(H144*L144)*K144</f>
        <v>1904850</v>
      </c>
      <c r="N144" s="564"/>
      <c r="O144" s="564"/>
      <c r="P144" s="553">
        <f>N144*1000*17</f>
        <v>0</v>
      </c>
      <c r="Q144" s="553">
        <f>M144+P144</f>
        <v>1904850</v>
      </c>
      <c r="R144" s="563"/>
      <c r="S144" s="568"/>
      <c r="T144" s="310"/>
      <c r="U144" s="310"/>
    </row>
    <row r="145" spans="1:21" s="551" customFormat="1" ht="15" x14ac:dyDescent="0.25">
      <c r="A145" s="563" t="s">
        <v>82</v>
      </c>
      <c r="B145" s="86"/>
      <c r="C145" s="566">
        <v>680</v>
      </c>
      <c r="D145" s="580"/>
      <c r="E145" s="86" t="s">
        <v>225</v>
      </c>
      <c r="F145" s="565">
        <v>593</v>
      </c>
      <c r="G145" s="565"/>
      <c r="H145" s="553">
        <f>F145+G145</f>
        <v>593</v>
      </c>
      <c r="I145" s="560">
        <v>2.1800000000000002</v>
      </c>
      <c r="J145" s="559">
        <v>0</v>
      </c>
      <c r="K145" s="558">
        <f>(I145-J145)/I145</f>
        <v>1</v>
      </c>
      <c r="L145" s="579">
        <v>7470</v>
      </c>
      <c r="M145" s="557">
        <f>(H145*L145)*K145</f>
        <v>4429710</v>
      </c>
      <c r="N145" s="564"/>
      <c r="O145" s="564"/>
      <c r="P145" s="553">
        <f>N145*1000*17</f>
        <v>0</v>
      </c>
      <c r="Q145" s="553">
        <f>M145+P145</f>
        <v>4429710</v>
      </c>
      <c r="R145" s="563"/>
      <c r="S145" s="568"/>
      <c r="T145" s="310"/>
      <c r="U145" s="310"/>
    </row>
    <row r="146" spans="1:21" s="551" customFormat="1" ht="15" x14ac:dyDescent="0.25">
      <c r="A146" s="87"/>
      <c r="B146" s="87"/>
      <c r="C146" s="555"/>
      <c r="D146" s="83"/>
      <c r="E146" s="83"/>
      <c r="F146" s="555"/>
      <c r="G146" s="555"/>
      <c r="H146" s="555"/>
      <c r="I146" s="556"/>
      <c r="J146" s="555"/>
      <c r="K146" s="553"/>
      <c r="L146" s="83"/>
      <c r="M146" s="83"/>
      <c r="N146" s="554"/>
      <c r="O146" s="553"/>
      <c r="P146" s="553"/>
      <c r="Q146" s="553"/>
      <c r="R146" s="552"/>
    </row>
    <row r="147" spans="1:21" s="572" customFormat="1" ht="16.5" x14ac:dyDescent="0.25">
      <c r="A147" s="578" t="s">
        <v>83</v>
      </c>
      <c r="B147" s="578"/>
      <c r="C147" s="577" t="e">
        <f>SUM(#REF!,#REF!)</f>
        <v>#REF!</v>
      </c>
      <c r="D147" s="575"/>
      <c r="E147" s="575"/>
      <c r="F147" s="577" t="e">
        <f>SUM(#REF!,#REF!)</f>
        <v>#REF!</v>
      </c>
      <c r="G147" s="577" t="e">
        <f>SUM(#REF!,#REF!)</f>
        <v>#REF!</v>
      </c>
      <c r="H147" s="577" t="e">
        <f>SUM(#REF!,#REF!)</f>
        <v>#REF!</v>
      </c>
      <c r="I147" s="577"/>
      <c r="J147" s="577"/>
      <c r="K147" s="576"/>
      <c r="L147" s="575" t="e">
        <f>SUM(#REF!,#REF!)</f>
        <v>#REF!</v>
      </c>
      <c r="M147" s="575" t="e">
        <f>SUM(#REF!,#REF!)</f>
        <v>#REF!</v>
      </c>
      <c r="N147" s="575" t="e">
        <f>SUM(#REF!,#REF!)</f>
        <v>#REF!</v>
      </c>
      <c r="O147" s="575" t="e">
        <f>AVERAGE(#REF!,#REF!)</f>
        <v>#REF!</v>
      </c>
      <c r="P147" s="575" t="e">
        <f>SUM(#REF!,#REF!)</f>
        <v>#REF!</v>
      </c>
      <c r="Q147" s="574" t="e">
        <f>P147+M147</f>
        <v>#REF!</v>
      </c>
      <c r="R147" s="573"/>
    </row>
    <row r="148" spans="1:21" s="551" customFormat="1" ht="15" hidden="1" x14ac:dyDescent="0.25">
      <c r="A148" s="87" t="s">
        <v>84</v>
      </c>
      <c r="B148" s="87"/>
      <c r="C148" s="555"/>
      <c r="D148" s="83"/>
      <c r="E148" s="83"/>
      <c r="F148" s="555"/>
      <c r="G148" s="555"/>
      <c r="H148" s="553">
        <f t="shared" ref="H148:H171" si="28">F148+G148</f>
        <v>0</v>
      </c>
      <c r="I148" s="555"/>
      <c r="J148" s="555"/>
      <c r="K148" s="558"/>
      <c r="L148" s="83"/>
      <c r="M148" s="557">
        <f t="shared" ref="M148:M171" si="29">(H148*L148)*K148</f>
        <v>0</v>
      </c>
      <c r="N148" s="554"/>
      <c r="O148" s="553"/>
      <c r="P148" s="553">
        <f t="shared" ref="P148:P171" si="30">N148*1000*17</f>
        <v>0</v>
      </c>
      <c r="Q148" s="553">
        <f t="shared" ref="Q148:Q171" si="31">M148+P148</f>
        <v>0</v>
      </c>
      <c r="R148" s="552"/>
    </row>
    <row r="149" spans="1:21" s="551" customFormat="1" ht="15" hidden="1" x14ac:dyDescent="0.25">
      <c r="A149" s="87" t="s">
        <v>85</v>
      </c>
      <c r="B149" s="87"/>
      <c r="C149" s="555"/>
      <c r="D149" s="83"/>
      <c r="E149" s="83"/>
      <c r="F149" s="555"/>
      <c r="G149" s="555"/>
      <c r="H149" s="553">
        <f t="shared" si="28"/>
        <v>0</v>
      </c>
      <c r="I149" s="555"/>
      <c r="J149" s="555"/>
      <c r="K149" s="558"/>
      <c r="L149" s="83"/>
      <c r="M149" s="557">
        <f t="shared" si="29"/>
        <v>0</v>
      </c>
      <c r="N149" s="554"/>
      <c r="O149" s="553"/>
      <c r="P149" s="553">
        <f t="shared" si="30"/>
        <v>0</v>
      </c>
      <c r="Q149" s="553">
        <f t="shared" si="31"/>
        <v>0</v>
      </c>
      <c r="R149" s="552"/>
    </row>
    <row r="150" spans="1:21" s="551" customFormat="1" ht="15" hidden="1" x14ac:dyDescent="0.25">
      <c r="A150" s="87" t="s">
        <v>188</v>
      </c>
      <c r="B150" s="87"/>
      <c r="C150" s="555"/>
      <c r="D150" s="83"/>
      <c r="E150" s="83"/>
      <c r="F150" s="555"/>
      <c r="G150" s="555"/>
      <c r="H150" s="553">
        <f t="shared" si="28"/>
        <v>0</v>
      </c>
      <c r="I150" s="555"/>
      <c r="J150" s="555"/>
      <c r="K150" s="558"/>
      <c r="L150" s="83"/>
      <c r="M150" s="557">
        <f t="shared" si="29"/>
        <v>0</v>
      </c>
      <c r="N150" s="554"/>
      <c r="O150" s="553"/>
      <c r="P150" s="553">
        <f t="shared" si="30"/>
        <v>0</v>
      </c>
      <c r="Q150" s="553">
        <f t="shared" si="31"/>
        <v>0</v>
      </c>
      <c r="R150" s="552"/>
    </row>
    <row r="151" spans="1:21" s="551" customFormat="1" ht="15" hidden="1" x14ac:dyDescent="0.25">
      <c r="A151" s="87" t="s">
        <v>86</v>
      </c>
      <c r="B151" s="87"/>
      <c r="C151" s="555"/>
      <c r="D151" s="83"/>
      <c r="E151" s="83"/>
      <c r="F151" s="555"/>
      <c r="G151" s="555"/>
      <c r="H151" s="553">
        <f t="shared" si="28"/>
        <v>0</v>
      </c>
      <c r="I151" s="555"/>
      <c r="J151" s="555"/>
      <c r="K151" s="558"/>
      <c r="L151" s="83"/>
      <c r="M151" s="557">
        <f t="shared" si="29"/>
        <v>0</v>
      </c>
      <c r="N151" s="554"/>
      <c r="O151" s="553"/>
      <c r="P151" s="553">
        <f t="shared" si="30"/>
        <v>0</v>
      </c>
      <c r="Q151" s="553">
        <f t="shared" si="31"/>
        <v>0</v>
      </c>
      <c r="R151" s="552"/>
    </row>
    <row r="152" spans="1:21" s="551" customFormat="1" ht="15" hidden="1" x14ac:dyDescent="0.25">
      <c r="A152" s="87" t="s">
        <v>87</v>
      </c>
      <c r="B152" s="87"/>
      <c r="C152" s="555"/>
      <c r="D152" s="83"/>
      <c r="E152" s="83"/>
      <c r="F152" s="555"/>
      <c r="G152" s="555"/>
      <c r="H152" s="553">
        <f t="shared" si="28"/>
        <v>0</v>
      </c>
      <c r="I152" s="555"/>
      <c r="J152" s="555"/>
      <c r="K152" s="558"/>
      <c r="L152" s="83"/>
      <c r="M152" s="557">
        <f t="shared" si="29"/>
        <v>0</v>
      </c>
      <c r="N152" s="554"/>
      <c r="O152" s="553"/>
      <c r="P152" s="553">
        <f t="shared" si="30"/>
        <v>0</v>
      </c>
      <c r="Q152" s="553">
        <f t="shared" si="31"/>
        <v>0</v>
      </c>
      <c r="R152" s="552"/>
    </row>
    <row r="153" spans="1:21" s="551" customFormat="1" ht="15" hidden="1" x14ac:dyDescent="0.25">
      <c r="A153" s="87" t="s">
        <v>111</v>
      </c>
      <c r="B153" s="87"/>
      <c r="C153" s="555"/>
      <c r="D153" s="83"/>
      <c r="E153" s="83"/>
      <c r="F153" s="555"/>
      <c r="G153" s="555"/>
      <c r="H153" s="553">
        <f t="shared" si="28"/>
        <v>0</v>
      </c>
      <c r="I153" s="555"/>
      <c r="J153" s="555"/>
      <c r="K153" s="558"/>
      <c r="L153" s="83"/>
      <c r="M153" s="557">
        <f t="shared" si="29"/>
        <v>0</v>
      </c>
      <c r="N153" s="554"/>
      <c r="O153" s="553"/>
      <c r="P153" s="553">
        <f t="shared" si="30"/>
        <v>0</v>
      </c>
      <c r="Q153" s="553">
        <f t="shared" si="31"/>
        <v>0</v>
      </c>
      <c r="R153" s="552"/>
    </row>
    <row r="154" spans="1:21" s="551" customFormat="1" ht="15" hidden="1" x14ac:dyDescent="0.25">
      <c r="A154" s="87" t="s">
        <v>89</v>
      </c>
      <c r="B154" s="87"/>
      <c r="C154" s="555"/>
      <c r="D154" s="83"/>
      <c r="E154" s="83"/>
      <c r="F154" s="555"/>
      <c r="G154" s="555"/>
      <c r="H154" s="553">
        <f t="shared" si="28"/>
        <v>0</v>
      </c>
      <c r="I154" s="555"/>
      <c r="J154" s="555"/>
      <c r="K154" s="558"/>
      <c r="L154" s="83"/>
      <c r="M154" s="557">
        <f t="shared" si="29"/>
        <v>0</v>
      </c>
      <c r="N154" s="554"/>
      <c r="O154" s="553"/>
      <c r="P154" s="553">
        <f t="shared" si="30"/>
        <v>0</v>
      </c>
      <c r="Q154" s="553">
        <f t="shared" si="31"/>
        <v>0</v>
      </c>
      <c r="R154" s="552"/>
    </row>
    <row r="155" spans="1:21" s="561" customFormat="1" ht="15" x14ac:dyDescent="0.25">
      <c r="A155" s="567" t="s">
        <v>106</v>
      </c>
      <c r="B155" s="567"/>
      <c r="C155" s="566">
        <v>1066</v>
      </c>
      <c r="D155" s="571"/>
      <c r="E155" s="86" t="s">
        <v>225</v>
      </c>
      <c r="F155" s="555">
        <v>569</v>
      </c>
      <c r="G155" s="555">
        <v>150</v>
      </c>
      <c r="H155" s="553">
        <f t="shared" si="28"/>
        <v>719</v>
      </c>
      <c r="I155" s="560">
        <v>2.4500000000000002</v>
      </c>
      <c r="J155" s="559">
        <v>0</v>
      </c>
      <c r="K155" s="558">
        <f>(I155-J155)/I155</f>
        <v>1</v>
      </c>
      <c r="L155" s="78">
        <v>7470</v>
      </c>
      <c r="M155" s="557">
        <f t="shared" si="29"/>
        <v>5370930</v>
      </c>
      <c r="N155" s="564"/>
      <c r="O155" s="564"/>
      <c r="P155" s="553">
        <f t="shared" si="30"/>
        <v>0</v>
      </c>
      <c r="Q155" s="553">
        <f t="shared" si="31"/>
        <v>5370930</v>
      </c>
      <c r="R155" s="563"/>
      <c r="S155" s="562"/>
      <c r="T155" s="476"/>
      <c r="U155" s="476"/>
    </row>
    <row r="156" spans="1:21" s="551" customFormat="1" ht="15" hidden="1" x14ac:dyDescent="0.25">
      <c r="A156" s="87" t="s">
        <v>220</v>
      </c>
      <c r="B156" s="87"/>
      <c r="C156" s="555"/>
      <c r="D156" s="83"/>
      <c r="E156" s="83"/>
      <c r="F156" s="555"/>
      <c r="G156" s="555"/>
      <c r="H156" s="553">
        <f t="shared" si="28"/>
        <v>0</v>
      </c>
      <c r="I156" s="555"/>
      <c r="J156" s="555"/>
      <c r="K156" s="558"/>
      <c r="L156" s="83"/>
      <c r="M156" s="557">
        <f t="shared" si="29"/>
        <v>0</v>
      </c>
      <c r="N156" s="554"/>
      <c r="O156" s="553"/>
      <c r="P156" s="553">
        <f t="shared" si="30"/>
        <v>0</v>
      </c>
      <c r="Q156" s="553">
        <f t="shared" si="31"/>
        <v>0</v>
      </c>
      <c r="R156" s="552"/>
    </row>
    <row r="157" spans="1:21" s="551" customFormat="1" ht="15" hidden="1" x14ac:dyDescent="0.25">
      <c r="A157" s="87" t="s">
        <v>92</v>
      </c>
      <c r="B157" s="87"/>
      <c r="C157" s="555"/>
      <c r="D157" s="83"/>
      <c r="E157" s="83"/>
      <c r="F157" s="555"/>
      <c r="G157" s="555"/>
      <c r="H157" s="553">
        <f t="shared" si="28"/>
        <v>0</v>
      </c>
      <c r="I157" s="555"/>
      <c r="J157" s="555"/>
      <c r="K157" s="558"/>
      <c r="L157" s="83"/>
      <c r="M157" s="557">
        <f t="shared" si="29"/>
        <v>0</v>
      </c>
      <c r="N157" s="554"/>
      <c r="O157" s="553"/>
      <c r="P157" s="553">
        <f t="shared" si="30"/>
        <v>0</v>
      </c>
      <c r="Q157" s="553">
        <f t="shared" si="31"/>
        <v>0</v>
      </c>
      <c r="R157" s="552"/>
    </row>
    <row r="158" spans="1:21" s="551" customFormat="1" ht="15" hidden="1" x14ac:dyDescent="0.25">
      <c r="A158" s="87" t="s">
        <v>0</v>
      </c>
      <c r="B158" s="87"/>
      <c r="C158" s="555"/>
      <c r="D158" s="83"/>
      <c r="E158" s="83"/>
      <c r="F158" s="555"/>
      <c r="G158" s="555"/>
      <c r="H158" s="553">
        <f t="shared" si="28"/>
        <v>0</v>
      </c>
      <c r="I158" s="555"/>
      <c r="J158" s="555"/>
      <c r="K158" s="558"/>
      <c r="L158" s="83"/>
      <c r="M158" s="557">
        <f t="shared" si="29"/>
        <v>0</v>
      </c>
      <c r="N158" s="554"/>
      <c r="O158" s="553"/>
      <c r="P158" s="553">
        <f t="shared" si="30"/>
        <v>0</v>
      </c>
      <c r="Q158" s="553">
        <f t="shared" si="31"/>
        <v>0</v>
      </c>
      <c r="R158" s="552"/>
    </row>
    <row r="159" spans="1:21" s="65" customFormat="1" ht="15" x14ac:dyDescent="0.25">
      <c r="A159" s="567" t="s">
        <v>94</v>
      </c>
      <c r="B159" s="567"/>
      <c r="C159" s="566">
        <v>27</v>
      </c>
      <c r="D159" s="571"/>
      <c r="E159" s="86" t="s">
        <v>225</v>
      </c>
      <c r="F159" s="555">
        <v>68</v>
      </c>
      <c r="G159" s="555"/>
      <c r="H159" s="553">
        <f t="shared" si="28"/>
        <v>68</v>
      </c>
      <c r="I159" s="560">
        <v>2.48</v>
      </c>
      <c r="J159" s="559">
        <v>0</v>
      </c>
      <c r="K159" s="558">
        <f>(I159-J159)/I159</f>
        <v>1</v>
      </c>
      <c r="L159" s="569">
        <v>7470</v>
      </c>
      <c r="M159" s="557">
        <f t="shared" si="29"/>
        <v>507960</v>
      </c>
      <c r="N159" s="564"/>
      <c r="O159" s="564"/>
      <c r="P159" s="553">
        <f t="shared" si="30"/>
        <v>0</v>
      </c>
      <c r="Q159" s="553">
        <f t="shared" si="31"/>
        <v>507960</v>
      </c>
      <c r="R159" s="563"/>
      <c r="S159" s="570"/>
      <c r="T159" s="425"/>
      <c r="U159" s="425"/>
    </row>
    <row r="160" spans="1:21" s="551" customFormat="1" ht="15" hidden="1" x14ac:dyDescent="0.25">
      <c r="A160" s="87" t="s">
        <v>110</v>
      </c>
      <c r="B160" s="87"/>
      <c r="C160" s="555"/>
      <c r="D160" s="83"/>
      <c r="E160" s="83"/>
      <c r="F160" s="555"/>
      <c r="G160" s="555"/>
      <c r="H160" s="553">
        <f t="shared" si="28"/>
        <v>0</v>
      </c>
      <c r="I160" s="555"/>
      <c r="J160" s="555"/>
      <c r="K160" s="558"/>
      <c r="L160" s="83"/>
      <c r="M160" s="557">
        <f t="shared" si="29"/>
        <v>0</v>
      </c>
      <c r="N160" s="554"/>
      <c r="O160" s="553"/>
      <c r="P160" s="553">
        <f t="shared" si="30"/>
        <v>0</v>
      </c>
      <c r="Q160" s="553">
        <f t="shared" si="31"/>
        <v>0</v>
      </c>
      <c r="R160" s="552"/>
    </row>
    <row r="161" spans="1:21" s="551" customFormat="1" ht="15" hidden="1" x14ac:dyDescent="0.25">
      <c r="A161" s="87" t="s">
        <v>3</v>
      </c>
      <c r="B161" s="87"/>
      <c r="C161" s="555"/>
      <c r="D161" s="83"/>
      <c r="E161" s="83"/>
      <c r="F161" s="555"/>
      <c r="G161" s="555"/>
      <c r="H161" s="553">
        <f t="shared" si="28"/>
        <v>0</v>
      </c>
      <c r="I161" s="555"/>
      <c r="J161" s="555"/>
      <c r="K161" s="558"/>
      <c r="L161" s="83"/>
      <c r="M161" s="557">
        <f t="shared" si="29"/>
        <v>0</v>
      </c>
      <c r="N161" s="554"/>
      <c r="O161" s="553"/>
      <c r="P161" s="553">
        <f t="shared" si="30"/>
        <v>0</v>
      </c>
      <c r="Q161" s="553">
        <f t="shared" si="31"/>
        <v>0</v>
      </c>
      <c r="R161" s="552"/>
    </row>
    <row r="162" spans="1:21" s="561" customFormat="1" ht="15" x14ac:dyDescent="0.25">
      <c r="A162" s="567" t="s">
        <v>88</v>
      </c>
      <c r="B162" s="567"/>
      <c r="C162" s="566">
        <v>320</v>
      </c>
      <c r="D162" s="565"/>
      <c r="E162" s="86" t="s">
        <v>120</v>
      </c>
      <c r="F162" s="555">
        <v>260</v>
      </c>
      <c r="G162" s="555"/>
      <c r="H162" s="553">
        <f t="shared" si="28"/>
        <v>260</v>
      </c>
      <c r="I162" s="560">
        <v>2.4500000000000002</v>
      </c>
      <c r="J162" s="559">
        <v>0</v>
      </c>
      <c r="K162" s="558">
        <f>(I162-J162)/I162</f>
        <v>1</v>
      </c>
      <c r="L162" s="78">
        <v>33464</v>
      </c>
      <c r="M162" s="557">
        <f t="shared" si="29"/>
        <v>8700640</v>
      </c>
      <c r="N162" s="564"/>
      <c r="O162" s="564"/>
      <c r="P162" s="553">
        <f t="shared" si="30"/>
        <v>0</v>
      </c>
      <c r="Q162" s="553">
        <f t="shared" si="31"/>
        <v>8700640</v>
      </c>
      <c r="R162" s="563"/>
      <c r="S162" s="562"/>
      <c r="T162" s="476"/>
      <c r="U162" s="476"/>
    </row>
    <row r="163" spans="1:21" s="551" customFormat="1" ht="15" hidden="1" x14ac:dyDescent="0.25">
      <c r="A163" s="87" t="s">
        <v>114</v>
      </c>
      <c r="B163" s="87"/>
      <c r="C163" s="555"/>
      <c r="D163" s="83"/>
      <c r="E163" s="83"/>
      <c r="F163" s="555"/>
      <c r="G163" s="555"/>
      <c r="H163" s="553">
        <f t="shared" si="28"/>
        <v>0</v>
      </c>
      <c r="I163" s="555"/>
      <c r="J163" s="555"/>
      <c r="K163" s="558"/>
      <c r="L163" s="83"/>
      <c r="M163" s="557">
        <f t="shared" si="29"/>
        <v>0</v>
      </c>
      <c r="N163" s="554"/>
      <c r="O163" s="553"/>
      <c r="P163" s="553">
        <f t="shared" si="30"/>
        <v>0</v>
      </c>
      <c r="Q163" s="553">
        <f t="shared" si="31"/>
        <v>0</v>
      </c>
      <c r="R163" s="552"/>
    </row>
    <row r="164" spans="1:21" s="551" customFormat="1" ht="15" hidden="1" x14ac:dyDescent="0.25">
      <c r="A164" s="87" t="s">
        <v>101</v>
      </c>
      <c r="B164" s="87"/>
      <c r="C164" s="555"/>
      <c r="D164" s="83"/>
      <c r="E164" s="83"/>
      <c r="F164" s="555"/>
      <c r="G164" s="555"/>
      <c r="H164" s="553">
        <f t="shared" si="28"/>
        <v>0</v>
      </c>
      <c r="I164" s="555"/>
      <c r="J164" s="555"/>
      <c r="K164" s="558"/>
      <c r="L164" s="83"/>
      <c r="M164" s="557">
        <f t="shared" si="29"/>
        <v>0</v>
      </c>
      <c r="N164" s="554"/>
      <c r="O164" s="553"/>
      <c r="P164" s="553">
        <f t="shared" si="30"/>
        <v>0</v>
      </c>
      <c r="Q164" s="553">
        <f t="shared" si="31"/>
        <v>0</v>
      </c>
      <c r="R164" s="552"/>
    </row>
    <row r="165" spans="1:21" s="551" customFormat="1" ht="15" x14ac:dyDescent="0.25">
      <c r="A165" s="567" t="s">
        <v>113</v>
      </c>
      <c r="B165" s="567"/>
      <c r="C165" s="566">
        <v>35</v>
      </c>
      <c r="D165" s="565"/>
      <c r="E165" s="86" t="s">
        <v>225</v>
      </c>
      <c r="F165" s="555">
        <v>44</v>
      </c>
      <c r="G165" s="555"/>
      <c r="H165" s="553">
        <f t="shared" si="28"/>
        <v>44</v>
      </c>
      <c r="I165" s="560">
        <v>2.4500000000000002</v>
      </c>
      <c r="J165" s="559">
        <f>I165*0.5</f>
        <v>1.2250000000000001</v>
      </c>
      <c r="K165" s="558">
        <f>(I165-J165)/I165</f>
        <v>0.5</v>
      </c>
      <c r="L165" s="569">
        <v>7470</v>
      </c>
      <c r="M165" s="557">
        <f t="shared" si="29"/>
        <v>164340</v>
      </c>
      <c r="N165" s="564"/>
      <c r="O165" s="564"/>
      <c r="P165" s="553">
        <f t="shared" si="30"/>
        <v>0</v>
      </c>
      <c r="Q165" s="553">
        <f t="shared" si="31"/>
        <v>164340</v>
      </c>
      <c r="R165" s="563"/>
      <c r="S165" s="568"/>
      <c r="T165" s="310"/>
      <c r="U165" s="310"/>
    </row>
    <row r="166" spans="1:21" s="551" customFormat="1" ht="15" hidden="1" x14ac:dyDescent="0.25">
      <c r="A166" s="87" t="s">
        <v>112</v>
      </c>
      <c r="B166" s="87"/>
      <c r="C166" s="555"/>
      <c r="D166" s="83"/>
      <c r="E166" s="83"/>
      <c r="F166" s="555"/>
      <c r="G166" s="555"/>
      <c r="H166" s="553">
        <f t="shared" si="28"/>
        <v>0</v>
      </c>
      <c r="I166" s="555"/>
      <c r="J166" s="555"/>
      <c r="K166" s="558"/>
      <c r="L166" s="83"/>
      <c r="M166" s="557">
        <f t="shared" si="29"/>
        <v>0</v>
      </c>
      <c r="N166" s="554"/>
      <c r="O166" s="553"/>
      <c r="P166" s="553">
        <f t="shared" si="30"/>
        <v>0</v>
      </c>
      <c r="Q166" s="553">
        <f t="shared" si="31"/>
        <v>0</v>
      </c>
      <c r="R166" s="552"/>
    </row>
    <row r="167" spans="1:21" s="561" customFormat="1" ht="15" x14ac:dyDescent="0.25">
      <c r="A167" s="567" t="s">
        <v>90</v>
      </c>
      <c r="B167" s="567"/>
      <c r="C167" s="566">
        <v>12</v>
      </c>
      <c r="D167" s="565"/>
      <c r="E167" s="86" t="s">
        <v>225</v>
      </c>
      <c r="F167" s="555">
        <v>157</v>
      </c>
      <c r="G167" s="555"/>
      <c r="H167" s="553">
        <f t="shared" si="28"/>
        <v>157</v>
      </c>
      <c r="I167" s="560">
        <v>2.4500000000000002</v>
      </c>
      <c r="J167" s="559">
        <v>0</v>
      </c>
      <c r="K167" s="558">
        <f>(I167-J167)/I167</f>
        <v>1</v>
      </c>
      <c r="L167" s="78">
        <v>7470</v>
      </c>
      <c r="M167" s="557">
        <f t="shared" si="29"/>
        <v>1172790</v>
      </c>
      <c r="N167" s="564"/>
      <c r="O167" s="564"/>
      <c r="P167" s="553">
        <f t="shared" si="30"/>
        <v>0</v>
      </c>
      <c r="Q167" s="553">
        <f t="shared" si="31"/>
        <v>1172790</v>
      </c>
      <c r="R167" s="563"/>
      <c r="S167" s="562"/>
      <c r="T167" s="476"/>
      <c r="U167" s="476"/>
    </row>
    <row r="168" spans="1:21" s="551" customFormat="1" ht="15" hidden="1" x14ac:dyDescent="0.25">
      <c r="A168" s="87" t="s">
        <v>240</v>
      </c>
      <c r="B168" s="87"/>
      <c r="C168" s="555"/>
      <c r="D168" s="83"/>
      <c r="E168" s="83"/>
      <c r="F168" s="555"/>
      <c r="G168" s="555"/>
      <c r="H168" s="553">
        <f t="shared" si="28"/>
        <v>0</v>
      </c>
      <c r="I168" s="555"/>
      <c r="J168" s="555"/>
      <c r="K168" s="558"/>
      <c r="L168" s="83"/>
      <c r="M168" s="557">
        <f t="shared" si="29"/>
        <v>0</v>
      </c>
      <c r="N168" s="554"/>
      <c r="O168" s="553"/>
      <c r="P168" s="553">
        <f t="shared" si="30"/>
        <v>0</v>
      </c>
      <c r="Q168" s="553">
        <f t="shared" si="31"/>
        <v>0</v>
      </c>
      <c r="R168" s="552"/>
    </row>
    <row r="169" spans="1:21" s="551" customFormat="1" ht="15" x14ac:dyDescent="0.25">
      <c r="A169" s="87" t="s">
        <v>91</v>
      </c>
      <c r="B169" s="87"/>
      <c r="C169" s="555">
        <v>372</v>
      </c>
      <c r="D169" s="83"/>
      <c r="E169" s="83" t="s">
        <v>225</v>
      </c>
      <c r="F169" s="555">
        <v>614</v>
      </c>
      <c r="G169" s="555"/>
      <c r="H169" s="553">
        <f t="shared" si="28"/>
        <v>614</v>
      </c>
      <c r="I169" s="560">
        <v>2.4500000000000002</v>
      </c>
      <c r="J169" s="559">
        <v>0</v>
      </c>
      <c r="K169" s="558">
        <f>(I169-J169)/I169</f>
        <v>1</v>
      </c>
      <c r="L169" s="78">
        <v>7470</v>
      </c>
      <c r="M169" s="557">
        <f t="shared" si="29"/>
        <v>4586580</v>
      </c>
      <c r="N169" s="554"/>
      <c r="O169" s="553"/>
      <c r="P169" s="553">
        <f t="shared" si="30"/>
        <v>0</v>
      </c>
      <c r="Q169" s="553">
        <f t="shared" si="31"/>
        <v>4586580</v>
      </c>
      <c r="R169" s="552"/>
    </row>
    <row r="170" spans="1:21" s="551" customFormat="1" ht="15" hidden="1" x14ac:dyDescent="0.25">
      <c r="A170" s="87" t="s">
        <v>272</v>
      </c>
      <c r="B170" s="87"/>
      <c r="C170" s="555"/>
      <c r="D170" s="83"/>
      <c r="E170" s="83"/>
      <c r="F170" s="555"/>
      <c r="G170" s="555"/>
      <c r="H170" s="553">
        <f t="shared" si="28"/>
        <v>0</v>
      </c>
      <c r="I170" s="555"/>
      <c r="J170" s="555"/>
      <c r="K170" s="558"/>
      <c r="L170" s="83"/>
      <c r="M170" s="557">
        <f t="shared" si="29"/>
        <v>0</v>
      </c>
      <c r="N170" s="554"/>
      <c r="O170" s="553"/>
      <c r="P170" s="553">
        <f t="shared" si="30"/>
        <v>0</v>
      </c>
      <c r="Q170" s="553">
        <f t="shared" si="31"/>
        <v>0</v>
      </c>
      <c r="R170" s="552"/>
    </row>
    <row r="171" spans="1:21" s="551" customFormat="1" ht="15" hidden="1" x14ac:dyDescent="0.25">
      <c r="A171" s="87" t="s">
        <v>93</v>
      </c>
      <c r="B171" s="87"/>
      <c r="C171" s="555"/>
      <c r="D171" s="83"/>
      <c r="E171" s="83"/>
      <c r="F171" s="555"/>
      <c r="G171" s="555"/>
      <c r="H171" s="553">
        <f t="shared" si="28"/>
        <v>0</v>
      </c>
      <c r="I171" s="555"/>
      <c r="J171" s="555"/>
      <c r="K171" s="558"/>
      <c r="L171" s="83"/>
      <c r="M171" s="557">
        <f t="shared" si="29"/>
        <v>0</v>
      </c>
      <c r="N171" s="554"/>
      <c r="O171" s="553"/>
      <c r="P171" s="553">
        <f t="shared" si="30"/>
        <v>0</v>
      </c>
      <c r="Q171" s="553">
        <f t="shared" si="31"/>
        <v>0</v>
      </c>
      <c r="R171" s="552"/>
    </row>
    <row r="172" spans="1:21" s="551" customFormat="1" ht="15" x14ac:dyDescent="0.25">
      <c r="A172" s="87"/>
      <c r="B172" s="87"/>
      <c r="C172" s="555"/>
      <c r="D172" s="83"/>
      <c r="E172" s="83"/>
      <c r="F172" s="555"/>
      <c r="G172" s="555"/>
      <c r="H172" s="555"/>
      <c r="I172" s="556"/>
      <c r="J172" s="555"/>
      <c r="K172" s="553"/>
      <c r="L172" s="83"/>
      <c r="M172" s="83"/>
      <c r="N172" s="554"/>
      <c r="O172" s="553"/>
      <c r="P172" s="553"/>
      <c r="Q172" s="553">
        <f>P172+M172</f>
        <v>0</v>
      </c>
      <c r="R172" s="552"/>
    </row>
    <row r="173" spans="1:21" ht="42" customHeight="1" x14ac:dyDescent="0.25">
      <c r="A173" s="774" t="s">
        <v>271</v>
      </c>
      <c r="B173" s="774"/>
      <c r="C173" s="774"/>
      <c r="D173" s="774"/>
      <c r="E173" s="774"/>
      <c r="F173" s="774"/>
      <c r="G173" s="774"/>
      <c r="H173" s="774"/>
      <c r="I173" s="774"/>
      <c r="J173" s="774"/>
      <c r="K173" s="774"/>
      <c r="L173" s="774"/>
      <c r="M173" s="774"/>
      <c r="N173" s="774"/>
      <c r="O173" s="774"/>
      <c r="P173" s="774"/>
      <c r="Q173" s="774"/>
      <c r="R173" s="774"/>
    </row>
  </sheetData>
  <mergeCells count="19">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 ref="A1:R1"/>
    <mergeCell ref="A2:R2"/>
    <mergeCell ref="A3:R3"/>
    <mergeCell ref="A4:R4"/>
    <mergeCell ref="A11:R11"/>
  </mergeCells>
  <phoneticPr fontId="56"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4" customWidth="1"/>
    <col min="2" max="2" width="19.42578125" style="14" hidden="1" customWidth="1"/>
    <col min="3" max="3" width="16.42578125" style="256" customWidth="1"/>
    <col min="4" max="4" width="15.85546875" style="256" customWidth="1"/>
    <col min="5" max="5" width="25.140625" style="255" customWidth="1"/>
    <col min="6" max="6" width="17.140625" style="254" customWidth="1"/>
    <col min="7" max="7" width="16.85546875" style="254" customWidth="1"/>
    <col min="8" max="8" width="19.140625" style="253" customWidth="1"/>
    <col min="9" max="9" width="15" style="14" customWidth="1"/>
    <col min="10" max="10" width="13.42578125" style="252" customWidth="1"/>
    <col min="11" max="11" width="11.140625" style="252" customWidth="1"/>
    <col min="12" max="12" width="25.140625" style="251" customWidth="1"/>
    <col min="13" max="13" width="26.42578125" style="251" customWidth="1"/>
    <col min="14" max="14" width="16.28515625" style="251" customWidth="1"/>
    <col min="15" max="15" width="12.140625" style="251" customWidth="1"/>
    <col min="16" max="16" width="29.42578125" style="19" customWidth="1"/>
    <col min="17" max="17" width="21.85546875" style="14" customWidth="1"/>
    <col min="18" max="18" width="9.140625" style="14"/>
    <col min="19" max="19" width="22.7109375" style="14" customWidth="1"/>
    <col min="20" max="20" width="29.28515625" style="14" customWidth="1"/>
    <col min="21" max="16384" width="9.140625" style="14"/>
  </cols>
  <sheetData>
    <row r="1" spans="1:20" ht="33.75" customHeight="1" x14ac:dyDescent="0.25">
      <c r="A1" s="773" t="s">
        <v>268</v>
      </c>
      <c r="B1" s="773"/>
      <c r="C1" s="773"/>
      <c r="D1" s="773"/>
      <c r="E1" s="773"/>
      <c r="F1" s="773"/>
      <c r="G1" s="773"/>
      <c r="H1" s="773"/>
      <c r="I1" s="773"/>
      <c r="J1" s="773"/>
      <c r="K1" s="773"/>
      <c r="L1" s="773"/>
      <c r="M1" s="773"/>
      <c r="N1" s="773"/>
      <c r="O1" s="773"/>
      <c r="P1" s="773"/>
      <c r="Q1" s="773"/>
    </row>
    <row r="2" spans="1:20" ht="18.95" customHeight="1" x14ac:dyDescent="0.25">
      <c r="A2" s="773" t="s">
        <v>267</v>
      </c>
      <c r="B2" s="773"/>
      <c r="C2" s="773"/>
      <c r="D2" s="773"/>
      <c r="E2" s="773"/>
      <c r="F2" s="773"/>
      <c r="G2" s="773"/>
      <c r="H2" s="773"/>
      <c r="I2" s="773"/>
      <c r="J2" s="773"/>
      <c r="K2" s="773"/>
      <c r="L2" s="773"/>
      <c r="M2" s="773"/>
      <c r="N2" s="773"/>
      <c r="O2" s="773"/>
      <c r="P2" s="773"/>
      <c r="Q2" s="773"/>
    </row>
    <row r="3" spans="1:20" ht="18.95" customHeight="1" x14ac:dyDescent="0.25">
      <c r="A3" s="773" t="s">
        <v>266</v>
      </c>
      <c r="B3" s="773"/>
      <c r="C3" s="773"/>
      <c r="D3" s="773"/>
      <c r="E3" s="773"/>
      <c r="F3" s="773"/>
      <c r="G3" s="773"/>
      <c r="H3" s="773"/>
      <c r="I3" s="773"/>
      <c r="J3" s="773"/>
      <c r="K3" s="773"/>
      <c r="L3" s="773"/>
      <c r="M3" s="773"/>
      <c r="N3" s="773"/>
      <c r="O3" s="773"/>
      <c r="P3" s="773"/>
      <c r="Q3" s="773"/>
    </row>
    <row r="4" spans="1:20" ht="18.95" customHeight="1" x14ac:dyDescent="0.25">
      <c r="A4" s="773" t="s">
        <v>265</v>
      </c>
      <c r="B4" s="773"/>
      <c r="C4" s="773"/>
      <c r="D4" s="773"/>
      <c r="E4" s="773"/>
      <c r="F4" s="773"/>
      <c r="G4" s="773"/>
      <c r="H4" s="773"/>
      <c r="I4" s="773"/>
      <c r="J4" s="773"/>
      <c r="K4" s="773"/>
      <c r="L4" s="773"/>
      <c r="M4" s="773"/>
      <c r="N4" s="773"/>
      <c r="O4" s="773"/>
      <c r="P4" s="773"/>
      <c r="Q4" s="773"/>
    </row>
    <row r="5" spans="1:20" ht="18.95" customHeight="1" thickBot="1" x14ac:dyDescent="0.3">
      <c r="A5" s="186"/>
      <c r="B5" s="186"/>
      <c r="C5" s="289"/>
      <c r="D5" s="289"/>
      <c r="E5" s="285"/>
      <c r="F5" s="289"/>
      <c r="G5" s="289"/>
      <c r="H5" s="288"/>
      <c r="I5" s="186"/>
      <c r="J5" s="285"/>
      <c r="K5" s="285"/>
      <c r="L5" s="285"/>
      <c r="M5" s="285"/>
      <c r="N5" s="285"/>
      <c r="O5" s="285"/>
      <c r="P5" s="186"/>
      <c r="Q5" s="186"/>
    </row>
    <row r="6" spans="1:20" ht="18.95" customHeight="1" x14ac:dyDescent="0.25">
      <c r="A6" s="217" t="s">
        <v>232</v>
      </c>
      <c r="B6" s="545"/>
      <c r="C6" s="446"/>
      <c r="D6" s="446"/>
      <c r="E6" s="442"/>
      <c r="F6" s="446"/>
      <c r="G6" s="446"/>
      <c r="H6" s="445"/>
      <c r="I6" s="207"/>
      <c r="J6" s="442"/>
      <c r="K6" s="442"/>
      <c r="L6" s="444"/>
      <c r="M6" s="443" t="s">
        <v>183</v>
      </c>
      <c r="N6" s="442"/>
      <c r="O6" s="442"/>
      <c r="P6" s="207"/>
      <c r="Q6" s="205"/>
    </row>
    <row r="7" spans="1:20" ht="18.95" customHeight="1" x14ac:dyDescent="0.25">
      <c r="A7" s="197"/>
      <c r="B7" s="279"/>
      <c r="C7" s="289"/>
      <c r="D7" s="289"/>
      <c r="E7" s="285"/>
      <c r="F7" s="289"/>
      <c r="G7" s="289"/>
      <c r="H7" s="288"/>
      <c r="I7" s="186"/>
      <c r="J7" s="285"/>
      <c r="K7" s="285"/>
      <c r="L7" s="438"/>
      <c r="M7" s="441" t="s">
        <v>182</v>
      </c>
      <c r="N7" s="440"/>
      <c r="O7" s="440" t="s">
        <v>181</v>
      </c>
      <c r="P7" s="186"/>
      <c r="Q7" s="184"/>
    </row>
    <row r="8" spans="1:20" ht="18.95" customHeight="1" x14ac:dyDescent="0.25">
      <c r="A8" s="197"/>
      <c r="B8" s="544"/>
      <c r="C8" s="289"/>
      <c r="D8" s="289"/>
      <c r="E8" s="285"/>
      <c r="F8" s="289"/>
      <c r="G8" s="289"/>
      <c r="H8" s="288"/>
      <c r="I8" s="186"/>
      <c r="J8" s="439"/>
      <c r="K8" s="285"/>
      <c r="L8" s="438"/>
      <c r="M8" s="437" t="s">
        <v>180</v>
      </c>
      <c r="N8" s="436"/>
      <c r="O8" s="285"/>
      <c r="P8" s="194" t="s">
        <v>179</v>
      </c>
      <c r="Q8" s="184"/>
    </row>
    <row r="9" spans="1:20" ht="18.95" customHeight="1" x14ac:dyDescent="0.25">
      <c r="A9" s="197"/>
      <c r="B9" s="544"/>
      <c r="C9" s="289"/>
      <c r="D9" s="289"/>
      <c r="E9" s="285"/>
      <c r="F9" s="289"/>
      <c r="G9" s="289"/>
      <c r="H9" s="288"/>
      <c r="I9" s="186"/>
      <c r="J9" s="439"/>
      <c r="K9" s="285"/>
      <c r="L9" s="438"/>
      <c r="M9" s="437" t="s">
        <v>178</v>
      </c>
      <c r="N9" s="436"/>
      <c r="O9" s="285"/>
      <c r="P9" s="194" t="s">
        <v>177</v>
      </c>
      <c r="Q9" s="184"/>
    </row>
    <row r="10" spans="1:20" ht="18.95" customHeight="1" thickBot="1" x14ac:dyDescent="0.3">
      <c r="A10" s="197"/>
      <c r="B10" s="544"/>
      <c r="C10" s="289"/>
      <c r="D10" s="289"/>
      <c r="E10" s="285"/>
      <c r="F10" s="289"/>
      <c r="G10" s="289"/>
      <c r="H10" s="288"/>
      <c r="I10" s="186"/>
      <c r="J10" s="285"/>
      <c r="K10" s="285"/>
      <c r="L10" s="438"/>
      <c r="M10" s="437" t="s">
        <v>176</v>
      </c>
      <c r="N10" s="436"/>
      <c r="O10" s="285"/>
      <c r="P10" s="194" t="s">
        <v>175</v>
      </c>
      <c r="Q10" s="184"/>
    </row>
    <row r="11" spans="1:20" ht="18.95" customHeight="1" thickBot="1" x14ac:dyDescent="0.3">
      <c r="A11" s="801" t="s">
        <v>174</v>
      </c>
      <c r="B11" s="802"/>
      <c r="C11" s="802"/>
      <c r="D11" s="802"/>
      <c r="E11" s="802"/>
      <c r="F11" s="802"/>
      <c r="G11" s="802"/>
      <c r="H11" s="802"/>
      <c r="I11" s="802"/>
      <c r="J11" s="802"/>
      <c r="K11" s="802"/>
      <c r="L11" s="802"/>
      <c r="M11" s="802"/>
      <c r="N11" s="802"/>
      <c r="O11" s="802"/>
      <c r="P11" s="802"/>
      <c r="Q11" s="803"/>
    </row>
    <row r="12" spans="1:20" ht="18.95" customHeight="1" x14ac:dyDescent="0.25">
      <c r="A12" s="741" t="s">
        <v>173</v>
      </c>
      <c r="B12" s="753" t="s">
        <v>172</v>
      </c>
      <c r="C12" s="789" t="s">
        <v>171</v>
      </c>
      <c r="D12" s="789" t="s">
        <v>170</v>
      </c>
      <c r="E12" s="792" t="s">
        <v>169</v>
      </c>
      <c r="F12" s="795" t="s">
        <v>168</v>
      </c>
      <c r="G12" s="796"/>
      <c r="H12" s="797"/>
      <c r="I12" s="761" t="s">
        <v>167</v>
      </c>
      <c r="J12" s="762"/>
      <c r="K12" s="792" t="s">
        <v>166</v>
      </c>
      <c r="L12" s="784" t="s">
        <v>165</v>
      </c>
      <c r="M12" s="784"/>
      <c r="N12" s="784"/>
      <c r="O12" s="784"/>
      <c r="P12" s="784"/>
      <c r="Q12" s="750" t="s">
        <v>164</v>
      </c>
    </row>
    <row r="13" spans="1:20" ht="30" customHeight="1" x14ac:dyDescent="0.25">
      <c r="A13" s="742"/>
      <c r="B13" s="747"/>
      <c r="C13" s="790"/>
      <c r="D13" s="790"/>
      <c r="E13" s="793"/>
      <c r="F13" s="798"/>
      <c r="G13" s="799"/>
      <c r="H13" s="800"/>
      <c r="I13" s="763"/>
      <c r="J13" s="764"/>
      <c r="K13" s="793"/>
      <c r="L13" s="787" t="s">
        <v>163</v>
      </c>
      <c r="M13" s="787"/>
      <c r="N13" s="775" t="s">
        <v>231</v>
      </c>
      <c r="O13" s="775"/>
      <c r="P13" s="775"/>
      <c r="Q13" s="751"/>
    </row>
    <row r="14" spans="1:20" ht="45.75" customHeight="1" thickBot="1" x14ac:dyDescent="0.3">
      <c r="A14" s="743"/>
      <c r="B14" s="754"/>
      <c r="C14" s="791"/>
      <c r="D14" s="791"/>
      <c r="E14" s="794"/>
      <c r="F14" s="435" t="s">
        <v>161</v>
      </c>
      <c r="G14" s="435" t="s">
        <v>160</v>
      </c>
      <c r="H14" s="434" t="s">
        <v>159</v>
      </c>
      <c r="I14" s="166" t="s">
        <v>158</v>
      </c>
      <c r="J14" s="433" t="s">
        <v>157</v>
      </c>
      <c r="K14" s="794"/>
      <c r="L14" s="432" t="s">
        <v>156</v>
      </c>
      <c r="M14" s="432" t="s">
        <v>155</v>
      </c>
      <c r="N14" s="431" t="s">
        <v>154</v>
      </c>
      <c r="O14" s="431" t="s">
        <v>153</v>
      </c>
      <c r="P14" s="164" t="s">
        <v>152</v>
      </c>
      <c r="Q14" s="752"/>
    </row>
    <row r="15" spans="1:20" s="64" customFormat="1" ht="19.5" customHeight="1" x14ac:dyDescent="0.25">
      <c r="A15" s="427" t="s">
        <v>151</v>
      </c>
      <c r="B15" s="427" t="s">
        <v>243</v>
      </c>
      <c r="C15" s="430" t="s">
        <v>150</v>
      </c>
      <c r="D15" s="430" t="s">
        <v>230</v>
      </c>
      <c r="E15" s="428" t="s">
        <v>149</v>
      </c>
      <c r="F15" s="430" t="s">
        <v>148</v>
      </c>
      <c r="G15" s="430" t="s">
        <v>147</v>
      </c>
      <c r="H15" s="429" t="s">
        <v>146</v>
      </c>
      <c r="I15" s="427" t="s">
        <v>145</v>
      </c>
      <c r="J15" s="428" t="s">
        <v>144</v>
      </c>
      <c r="K15" s="428" t="s">
        <v>143</v>
      </c>
      <c r="L15" s="428" t="s">
        <v>142</v>
      </c>
      <c r="M15" s="428" t="s">
        <v>141</v>
      </c>
      <c r="N15" s="428" t="s">
        <v>140</v>
      </c>
      <c r="O15" s="428" t="s">
        <v>139</v>
      </c>
      <c r="P15" s="427" t="s">
        <v>138</v>
      </c>
      <c r="Q15" s="426" t="s">
        <v>229</v>
      </c>
      <c r="T15" s="425"/>
    </row>
    <row r="16" spans="1:20" s="538" customFormat="1" ht="25.5" customHeight="1" x14ac:dyDescent="0.25">
      <c r="A16" s="543" t="s">
        <v>135</v>
      </c>
      <c r="B16" s="542"/>
      <c r="C16" s="541" t="e">
        <f>#REF!+#REF!+#REF!+#REF!+#REF!</f>
        <v>#REF!</v>
      </c>
      <c r="D16" s="541" t="e">
        <f>#REF!+#REF!+#REF!+#REF!+#REF!</f>
        <v>#REF!</v>
      </c>
      <c r="E16" s="541"/>
      <c r="F16" s="541" t="e">
        <f>#REF!+#REF!+#REF!+#REF!+#REF!</f>
        <v>#REF!</v>
      </c>
      <c r="G16" s="541" t="e">
        <f>#REF!+#REF!+#REF!+#REF!+#REF!</f>
        <v>#REF!</v>
      </c>
      <c r="H16" s="541" t="e">
        <f>#REF!+#REF!+#REF!+#REF!+#REF!</f>
        <v>#REF!</v>
      </c>
      <c r="I16" s="541"/>
      <c r="J16" s="541"/>
      <c r="K16" s="541"/>
      <c r="L16" s="541"/>
      <c r="M16" s="541"/>
      <c r="N16" s="541" t="e">
        <f>#REF!+#REF!+#REF!+#REF!+#REF!</f>
        <v>#REF!</v>
      </c>
      <c r="O16" s="541"/>
      <c r="P16" s="541" t="e">
        <f>#REF!+#REF!+#REF!+#REF!+#REF!</f>
        <v>#REF!</v>
      </c>
      <c r="Q16" s="540"/>
      <c r="T16" s="539"/>
    </row>
    <row r="17" spans="1:20" s="64" customFormat="1" ht="24.95" customHeight="1" x14ac:dyDescent="0.25">
      <c r="A17" s="537" t="s">
        <v>134</v>
      </c>
      <c r="B17" s="535"/>
      <c r="C17" s="371"/>
      <c r="D17" s="369"/>
      <c r="E17" s="370"/>
      <c r="F17" s="369"/>
      <c r="G17" s="368"/>
      <c r="H17" s="367"/>
      <c r="I17" s="366"/>
      <c r="J17" s="365"/>
      <c r="K17" s="364"/>
      <c r="L17" s="363"/>
      <c r="M17" s="362"/>
      <c r="N17" s="361"/>
      <c r="O17" s="361"/>
      <c r="P17" s="360"/>
      <c r="Q17" s="359"/>
      <c r="T17" s="310"/>
    </row>
    <row r="18" spans="1:20" s="64" customFormat="1" ht="24.95" customHeight="1" x14ac:dyDescent="0.25">
      <c r="A18" s="532" t="s">
        <v>7</v>
      </c>
      <c r="B18" s="533"/>
      <c r="C18" s="335">
        <v>800</v>
      </c>
      <c r="D18" s="333">
        <v>784.99990000000003</v>
      </c>
      <c r="E18" s="334" t="s">
        <v>122</v>
      </c>
      <c r="F18" s="333"/>
      <c r="G18" s="333">
        <v>784.99990000000003</v>
      </c>
      <c r="H18" s="332">
        <f>SUM(F18:G18)</f>
        <v>784.99990000000003</v>
      </c>
      <c r="I18" s="534">
        <v>3.51</v>
      </c>
      <c r="J18" s="330">
        <f>3.51*0.8</f>
        <v>2.8079999999999998</v>
      </c>
      <c r="K18" s="329">
        <f>(I18-J18)/I18</f>
        <v>0.2</v>
      </c>
      <c r="L18" s="328">
        <v>43768</v>
      </c>
      <c r="M18" s="327">
        <f>(H18*L18)*K18</f>
        <v>6871575.1246400001</v>
      </c>
      <c r="N18" s="383">
        <f>H18*I18*K18</f>
        <v>551.06992979999995</v>
      </c>
      <c r="O18" s="383">
        <v>17</v>
      </c>
      <c r="P18" s="384">
        <f>N18*1000*17</f>
        <v>9368188.8065999988</v>
      </c>
      <c r="Q18" s="532"/>
      <c r="T18" s="310"/>
    </row>
    <row r="19" spans="1:20" s="461" customFormat="1" ht="24.95" customHeight="1" x14ac:dyDescent="0.25">
      <c r="A19" s="546" t="s">
        <v>264</v>
      </c>
      <c r="B19" s="547"/>
      <c r="C19" s="448">
        <v>300</v>
      </c>
      <c r="D19" s="449">
        <v>250</v>
      </c>
      <c r="E19" s="450">
        <v>0</v>
      </c>
      <c r="F19" s="449">
        <v>151</v>
      </c>
      <c r="G19" s="449">
        <v>99</v>
      </c>
      <c r="H19" s="451">
        <v>250</v>
      </c>
      <c r="I19" s="548">
        <v>7.02</v>
      </c>
      <c r="J19" s="454">
        <v>5.2649999999999997</v>
      </c>
      <c r="K19" s="455">
        <v>0.5</v>
      </c>
      <c r="L19" s="456">
        <v>51238</v>
      </c>
      <c r="M19" s="457">
        <v>3371188</v>
      </c>
      <c r="N19" s="465">
        <v>287.82</v>
      </c>
      <c r="O19" s="465">
        <v>34</v>
      </c>
      <c r="P19" s="466">
        <v>4892940</v>
      </c>
      <c r="Q19" s="546"/>
      <c r="T19" s="462"/>
    </row>
    <row r="20" spans="1:20" s="64" customFormat="1" ht="24.95" customHeight="1" x14ac:dyDescent="0.25">
      <c r="A20" s="532" t="s">
        <v>9</v>
      </c>
      <c r="B20" s="533"/>
      <c r="C20" s="335">
        <v>10</v>
      </c>
      <c r="D20" s="333">
        <v>12.5</v>
      </c>
      <c r="E20" s="334" t="s">
        <v>125</v>
      </c>
      <c r="F20" s="333"/>
      <c r="G20" s="333">
        <v>12.5</v>
      </c>
      <c r="H20" s="332">
        <f>SUM(F20:G20)</f>
        <v>12.5</v>
      </c>
      <c r="I20" s="534">
        <v>3.51</v>
      </c>
      <c r="J20" s="330">
        <f>3.51*0.6</f>
        <v>2.1059999999999999</v>
      </c>
      <c r="K20" s="329">
        <f>(I20-J20)/I20</f>
        <v>0.4</v>
      </c>
      <c r="L20" s="328">
        <v>43768</v>
      </c>
      <c r="M20" s="327">
        <f>(H20*L20)*K20</f>
        <v>218840</v>
      </c>
      <c r="N20" s="383">
        <f>H20*I20*K20</f>
        <v>17.55</v>
      </c>
      <c r="O20" s="383">
        <v>17</v>
      </c>
      <c r="P20" s="384">
        <f>N20*1000*17</f>
        <v>298350</v>
      </c>
      <c r="Q20" s="532"/>
      <c r="T20" s="310"/>
    </row>
    <row r="21" spans="1:20" s="461" customFormat="1" ht="24.95" customHeight="1" x14ac:dyDescent="0.25">
      <c r="A21" s="546" t="s">
        <v>11</v>
      </c>
      <c r="B21" s="547"/>
      <c r="C21" s="448">
        <v>961</v>
      </c>
      <c r="D21" s="448">
        <v>843</v>
      </c>
      <c r="E21" s="448">
        <v>0</v>
      </c>
      <c r="F21" s="448">
        <v>726</v>
      </c>
      <c r="G21" s="448">
        <v>117</v>
      </c>
      <c r="H21" s="448">
        <v>843</v>
      </c>
      <c r="I21" s="448">
        <v>7.02</v>
      </c>
      <c r="J21" s="448">
        <v>5.2649999999999997</v>
      </c>
      <c r="K21" s="448">
        <v>0.5</v>
      </c>
      <c r="L21" s="448">
        <v>51238</v>
      </c>
      <c r="M21" s="448">
        <v>14088161.600000001</v>
      </c>
      <c r="N21" s="448">
        <v>1141.452</v>
      </c>
      <c r="O21" s="448">
        <v>34</v>
      </c>
      <c r="P21" s="448">
        <v>19404684</v>
      </c>
      <c r="Q21" s="546"/>
      <c r="T21" s="462"/>
    </row>
    <row r="22" spans="1:20" s="64" customFormat="1" ht="24.95" customHeight="1" x14ac:dyDescent="0.25">
      <c r="A22" s="532" t="s">
        <v>263</v>
      </c>
      <c r="B22" s="533"/>
      <c r="C22" s="335">
        <v>73</v>
      </c>
      <c r="D22" s="333">
        <v>69</v>
      </c>
      <c r="E22" s="334" t="s">
        <v>123</v>
      </c>
      <c r="F22" s="333">
        <v>27.2</v>
      </c>
      <c r="G22" s="333">
        <v>41.3</v>
      </c>
      <c r="H22" s="332">
        <f>SUM(F22:G22)</f>
        <v>68.5</v>
      </c>
      <c r="I22" s="534">
        <v>3.51</v>
      </c>
      <c r="J22" s="330">
        <f>3.51*0.9</f>
        <v>3.1589999999999998</v>
      </c>
      <c r="K22" s="329">
        <f>(I22-J22)/I22</f>
        <v>0.1</v>
      </c>
      <c r="L22" s="328">
        <v>7470</v>
      </c>
      <c r="M22" s="327">
        <f>(H22*L22)*K22</f>
        <v>51169.5</v>
      </c>
      <c r="N22" s="383">
        <f>H22*I22*K22</f>
        <v>24.043499999999998</v>
      </c>
      <c r="O22" s="383">
        <v>17</v>
      </c>
      <c r="P22" s="384">
        <f>N22*1000*17</f>
        <v>408739.49999999994</v>
      </c>
      <c r="Q22" s="532"/>
      <c r="T22" s="310"/>
    </row>
    <row r="23" spans="1:20" s="64" customFormat="1" ht="24.95" customHeight="1" x14ac:dyDescent="0.25">
      <c r="A23" s="532" t="s">
        <v>12</v>
      </c>
      <c r="B23" s="533"/>
      <c r="C23" s="335">
        <v>60</v>
      </c>
      <c r="D23" s="333">
        <v>35</v>
      </c>
      <c r="E23" s="334" t="s">
        <v>123</v>
      </c>
      <c r="F23" s="333">
        <v>21</v>
      </c>
      <c r="G23" s="333">
        <v>14</v>
      </c>
      <c r="H23" s="332">
        <f>SUM(F23:G23)</f>
        <v>35</v>
      </c>
      <c r="I23" s="534">
        <v>3.51</v>
      </c>
      <c r="J23" s="330">
        <f>3.51*0.9</f>
        <v>3.1589999999999998</v>
      </c>
      <c r="K23" s="329">
        <f>(I23-J23)/I23</f>
        <v>0.1</v>
      </c>
      <c r="L23" s="328">
        <v>7470</v>
      </c>
      <c r="M23" s="327">
        <f>(H23*L23)*K23</f>
        <v>26145</v>
      </c>
      <c r="N23" s="383">
        <f>H23*I23*K23</f>
        <v>12.285</v>
      </c>
      <c r="O23" s="383">
        <v>17</v>
      </c>
      <c r="P23" s="384">
        <f>N23*1000*17</f>
        <v>208845</v>
      </c>
      <c r="Q23" s="532"/>
      <c r="T23" s="310"/>
    </row>
    <row r="24" spans="1:20" s="461" customFormat="1" ht="24.95" customHeight="1" x14ac:dyDescent="0.25">
      <c r="A24" s="546" t="s">
        <v>18</v>
      </c>
      <c r="B24" s="547"/>
      <c r="C24" s="448">
        <v>93</v>
      </c>
      <c r="D24" s="448">
        <v>84</v>
      </c>
      <c r="E24" s="448">
        <v>0</v>
      </c>
      <c r="F24" s="448">
        <v>12.05</v>
      </c>
      <c r="G24" s="448">
        <v>72.2</v>
      </c>
      <c r="H24" s="448">
        <v>84.25</v>
      </c>
      <c r="I24" s="448">
        <v>7.02</v>
      </c>
      <c r="J24" s="448">
        <v>5.2649999999999997</v>
      </c>
      <c r="K24" s="448">
        <v>0.5</v>
      </c>
      <c r="L24" s="448">
        <v>51238</v>
      </c>
      <c r="M24" s="448">
        <v>1370230.35</v>
      </c>
      <c r="N24" s="448">
        <v>111.70574999999999</v>
      </c>
      <c r="O24" s="448">
        <v>34</v>
      </c>
      <c r="P24" s="448">
        <v>1898997.75</v>
      </c>
      <c r="Q24" s="546"/>
      <c r="T24" s="462"/>
    </row>
    <row r="25" spans="1:20" s="461" customFormat="1" ht="24.95" customHeight="1" x14ac:dyDescent="0.25">
      <c r="A25" s="546" t="s">
        <v>21</v>
      </c>
      <c r="B25" s="547"/>
      <c r="C25" s="448">
        <v>320</v>
      </c>
      <c r="D25" s="448">
        <v>303</v>
      </c>
      <c r="E25" s="448">
        <v>0</v>
      </c>
      <c r="F25" s="448">
        <v>89</v>
      </c>
      <c r="G25" s="448">
        <v>214</v>
      </c>
      <c r="H25" s="448">
        <v>303</v>
      </c>
      <c r="I25" s="448">
        <v>7.02</v>
      </c>
      <c r="J25" s="448">
        <v>5.2649999999999997</v>
      </c>
      <c r="K25" s="448">
        <v>0.5</v>
      </c>
      <c r="L25" s="448">
        <v>51238</v>
      </c>
      <c r="M25" s="448">
        <v>3796263.6</v>
      </c>
      <c r="N25" s="448">
        <v>330.642</v>
      </c>
      <c r="O25" s="448">
        <v>34</v>
      </c>
      <c r="P25" s="448">
        <v>5620914</v>
      </c>
      <c r="Q25" s="546"/>
      <c r="T25" s="462"/>
    </row>
    <row r="26" spans="1:20" s="461" customFormat="1" ht="24.95" customHeight="1" x14ac:dyDescent="0.25">
      <c r="A26" s="546" t="s">
        <v>24</v>
      </c>
      <c r="B26" s="547"/>
      <c r="C26" s="448">
        <v>33.5</v>
      </c>
      <c r="D26" s="449">
        <v>64</v>
      </c>
      <c r="E26" s="450">
        <v>0</v>
      </c>
      <c r="F26" s="449">
        <v>55.7</v>
      </c>
      <c r="G26" s="449">
        <v>8.8000000000000007</v>
      </c>
      <c r="H26" s="451">
        <v>64.5</v>
      </c>
      <c r="I26" s="548">
        <v>10.53</v>
      </c>
      <c r="J26" s="454">
        <v>8.0730000000000004</v>
      </c>
      <c r="K26" s="455">
        <v>0.70000000000000007</v>
      </c>
      <c r="L26" s="456">
        <v>84702</v>
      </c>
      <c r="M26" s="457">
        <v>382028.4</v>
      </c>
      <c r="N26" s="465">
        <v>43.524000000000001</v>
      </c>
      <c r="O26" s="465">
        <v>51</v>
      </c>
      <c r="P26" s="466">
        <v>739908</v>
      </c>
      <c r="Q26" s="546"/>
      <c r="T26" s="462"/>
    </row>
    <row r="27" spans="1:20" s="64" customFormat="1" ht="24.95" customHeight="1" x14ac:dyDescent="0.25">
      <c r="A27" s="532" t="s">
        <v>26</v>
      </c>
      <c r="B27" s="533"/>
      <c r="C27" s="335">
        <v>13</v>
      </c>
      <c r="D27" s="333">
        <v>13.1</v>
      </c>
      <c r="E27" s="334" t="s">
        <v>123</v>
      </c>
      <c r="F27" s="333">
        <v>9</v>
      </c>
      <c r="G27" s="333">
        <v>4</v>
      </c>
      <c r="H27" s="332">
        <f>SUM(F27:G27)</f>
        <v>13</v>
      </c>
      <c r="I27" s="534">
        <v>3.51</v>
      </c>
      <c r="J27" s="330">
        <f>3.51*0.9</f>
        <v>3.1589999999999998</v>
      </c>
      <c r="K27" s="329">
        <f>(I27-J27)/I27</f>
        <v>0.1</v>
      </c>
      <c r="L27" s="328">
        <v>43768</v>
      </c>
      <c r="M27" s="327">
        <f>(H27*L27)*K27</f>
        <v>56898.400000000001</v>
      </c>
      <c r="N27" s="383">
        <f>H27*I27*K27</f>
        <v>4.5629999999999997</v>
      </c>
      <c r="O27" s="383">
        <v>17</v>
      </c>
      <c r="P27" s="384">
        <f>N27*1000*17</f>
        <v>77571</v>
      </c>
      <c r="Q27" s="532"/>
      <c r="T27" s="310"/>
    </row>
    <row r="28" spans="1:20" s="64" customFormat="1" ht="24.95" customHeight="1" x14ac:dyDescent="0.25">
      <c r="A28" s="532" t="s">
        <v>30</v>
      </c>
      <c r="B28" s="533"/>
      <c r="C28" s="335">
        <v>489</v>
      </c>
      <c r="D28" s="333">
        <v>573.99999990000003</v>
      </c>
      <c r="E28" s="334" t="s">
        <v>125</v>
      </c>
      <c r="F28" s="333">
        <v>21.771000000000001</v>
      </c>
      <c r="G28" s="333">
        <v>552</v>
      </c>
      <c r="H28" s="332">
        <f>SUM(F28:G28)</f>
        <v>573.77099999999996</v>
      </c>
      <c r="I28" s="534">
        <v>3.51</v>
      </c>
      <c r="J28" s="330">
        <f>3.51*0.6</f>
        <v>2.1059999999999999</v>
      </c>
      <c r="K28" s="329">
        <f>(I28-J28)/I28</f>
        <v>0.4</v>
      </c>
      <c r="L28" s="328">
        <v>43768</v>
      </c>
      <c r="M28" s="327">
        <f>(H28*L28)*K28</f>
        <v>10045123.6512</v>
      </c>
      <c r="N28" s="383">
        <f>H28*I28*K28</f>
        <v>805.57448399999987</v>
      </c>
      <c r="O28" s="383">
        <v>17</v>
      </c>
      <c r="P28" s="384">
        <f>N28*1000*17</f>
        <v>13694766.227999996</v>
      </c>
      <c r="Q28" s="532"/>
      <c r="T28" s="310"/>
    </row>
    <row r="29" spans="1:20" s="64" customFormat="1" ht="24.95" customHeight="1" x14ac:dyDescent="0.25">
      <c r="A29" s="532" t="s">
        <v>29</v>
      </c>
      <c r="B29" s="533"/>
      <c r="C29" s="335">
        <v>49</v>
      </c>
      <c r="D29" s="333">
        <v>52.5</v>
      </c>
      <c r="E29" s="334" t="s">
        <v>122</v>
      </c>
      <c r="F29" s="333">
        <v>5.36</v>
      </c>
      <c r="G29" s="333">
        <v>1.34</v>
      </c>
      <c r="H29" s="332">
        <f>SUM(F29:G29)</f>
        <v>6.7</v>
      </c>
      <c r="I29" s="534">
        <v>3.51</v>
      </c>
      <c r="J29" s="330">
        <f>3.51*0.8</f>
        <v>2.8079999999999998</v>
      </c>
      <c r="K29" s="329">
        <f>(I29-J29)/I29</f>
        <v>0.2</v>
      </c>
      <c r="L29" s="328">
        <v>43768</v>
      </c>
      <c r="M29" s="327">
        <f>(H29*L29)*K29</f>
        <v>58649.12000000001</v>
      </c>
      <c r="N29" s="383">
        <f>H29*I29*K29</f>
        <v>4.7034000000000002</v>
      </c>
      <c r="O29" s="383">
        <v>17</v>
      </c>
      <c r="P29" s="384">
        <f>N29*1000*17</f>
        <v>79957.8</v>
      </c>
      <c r="Q29" s="532"/>
      <c r="T29" s="310"/>
    </row>
    <row r="30" spans="1:20" s="461" customFormat="1" ht="24.95" customHeight="1" x14ac:dyDescent="0.25">
      <c r="A30" s="546" t="s">
        <v>13</v>
      </c>
      <c r="B30" s="547"/>
      <c r="C30" s="448">
        <v>273</v>
      </c>
      <c r="D30" s="449">
        <v>275.55555555555497</v>
      </c>
      <c r="E30" s="450">
        <v>0</v>
      </c>
      <c r="F30" s="449">
        <v>35</v>
      </c>
      <c r="G30" s="449">
        <v>240.555555555555</v>
      </c>
      <c r="H30" s="451">
        <v>275.55555555555497</v>
      </c>
      <c r="I30" s="548">
        <v>7.02</v>
      </c>
      <c r="J30" s="454">
        <v>5.9669999999999996</v>
      </c>
      <c r="K30" s="455">
        <v>0.30000000000000004</v>
      </c>
      <c r="L30" s="456">
        <v>51238</v>
      </c>
      <c r="M30" s="457">
        <v>1851641.1111111064</v>
      </c>
      <c r="N30" s="465">
        <v>168.86999999999961</v>
      </c>
      <c r="O30" s="465">
        <v>34</v>
      </c>
      <c r="P30" s="466">
        <v>2870789.9999999935</v>
      </c>
      <c r="Q30" s="546"/>
      <c r="T30" s="462"/>
    </row>
    <row r="31" spans="1:20" s="64" customFormat="1" ht="24.95" customHeight="1" x14ac:dyDescent="0.25">
      <c r="A31" s="532" t="s">
        <v>14</v>
      </c>
      <c r="B31" s="533"/>
      <c r="C31" s="335">
        <v>750</v>
      </c>
      <c r="D31" s="333">
        <v>744</v>
      </c>
      <c r="E31" s="334" t="s">
        <v>122</v>
      </c>
      <c r="F31" s="333"/>
      <c r="G31" s="333">
        <v>744</v>
      </c>
      <c r="H31" s="332">
        <f>SUM(F31:G31)</f>
        <v>744</v>
      </c>
      <c r="I31" s="534">
        <v>3.51</v>
      </c>
      <c r="J31" s="330">
        <f>3.51*0.8</f>
        <v>2.8079999999999998</v>
      </c>
      <c r="K31" s="329">
        <f>(I31-J31)/I31</f>
        <v>0.2</v>
      </c>
      <c r="L31" s="328">
        <v>43768</v>
      </c>
      <c r="M31" s="327">
        <f>(H31*L31)*K31</f>
        <v>6512678.4000000004</v>
      </c>
      <c r="N31" s="383">
        <f>H31*I31*K31</f>
        <v>522.28800000000001</v>
      </c>
      <c r="O31" s="383">
        <v>17</v>
      </c>
      <c r="P31" s="384">
        <f>N31*1000*17</f>
        <v>8878896</v>
      </c>
      <c r="Q31" s="532"/>
      <c r="T31" s="310"/>
    </row>
    <row r="32" spans="1:20" s="461" customFormat="1" ht="24.95" customHeight="1" x14ac:dyDescent="0.25">
      <c r="A32" s="546" t="s">
        <v>15</v>
      </c>
      <c r="B32" s="547"/>
      <c r="C32" s="448">
        <v>62</v>
      </c>
      <c r="D32" s="448">
        <v>61</v>
      </c>
      <c r="E32" s="448">
        <v>0</v>
      </c>
      <c r="F32" s="448">
        <v>0</v>
      </c>
      <c r="G32" s="448">
        <v>61</v>
      </c>
      <c r="H32" s="448">
        <v>61</v>
      </c>
      <c r="I32" s="448">
        <v>7.02</v>
      </c>
      <c r="J32" s="448">
        <v>5.9669999999999996</v>
      </c>
      <c r="K32" s="448">
        <v>0.30000000000000004</v>
      </c>
      <c r="L32" s="448">
        <v>51238</v>
      </c>
      <c r="M32" s="448">
        <v>413870.60000000003</v>
      </c>
      <c r="N32" s="448">
        <v>37.556999999999995</v>
      </c>
      <c r="O32" s="448">
        <v>34</v>
      </c>
      <c r="P32" s="448">
        <v>638468.99999999988</v>
      </c>
      <c r="Q32" s="546"/>
      <c r="T32" s="462"/>
    </row>
    <row r="33" spans="1:20" s="64" customFormat="1" ht="24.95" customHeight="1" x14ac:dyDescent="0.25">
      <c r="A33" s="532" t="s">
        <v>28</v>
      </c>
      <c r="B33" s="533"/>
      <c r="C33" s="335">
        <v>7</v>
      </c>
      <c r="D33" s="333">
        <v>6</v>
      </c>
      <c r="E33" s="334" t="s">
        <v>122</v>
      </c>
      <c r="F33" s="333"/>
      <c r="G33" s="333">
        <v>6</v>
      </c>
      <c r="H33" s="332">
        <f t="shared" ref="H33:H38" si="0">SUM(F33:G33)</f>
        <v>6</v>
      </c>
      <c r="I33" s="534">
        <v>3.51</v>
      </c>
      <c r="J33" s="330">
        <f t="shared" ref="J33:J38" si="1">3.51*0.8</f>
        <v>2.8079999999999998</v>
      </c>
      <c r="K33" s="329">
        <f t="shared" ref="K33:K38" si="2">(I33-J33)/I33</f>
        <v>0.2</v>
      </c>
      <c r="L33" s="328">
        <v>43768</v>
      </c>
      <c r="M33" s="327">
        <f t="shared" ref="M33:M38" si="3">(H33*L33)*K33</f>
        <v>52521.600000000006</v>
      </c>
      <c r="N33" s="383">
        <f t="shared" ref="N33:N38" si="4">H33*I33*K33</f>
        <v>4.2119999999999997</v>
      </c>
      <c r="O33" s="383">
        <v>17</v>
      </c>
      <c r="P33" s="384">
        <f t="shared" ref="P33:P38" si="5">N33*1000*17</f>
        <v>71604</v>
      </c>
      <c r="Q33" s="532"/>
      <c r="T33" s="310"/>
    </row>
    <row r="34" spans="1:20" s="64" customFormat="1" ht="24.95" customHeight="1" x14ac:dyDescent="0.25">
      <c r="A34" s="532" t="s">
        <v>20</v>
      </c>
      <c r="B34" s="533"/>
      <c r="C34" s="335">
        <v>350</v>
      </c>
      <c r="D34" s="333">
        <v>300</v>
      </c>
      <c r="E34" s="334" t="s">
        <v>122</v>
      </c>
      <c r="F34" s="333"/>
      <c r="G34" s="333">
        <v>300</v>
      </c>
      <c r="H34" s="332">
        <f t="shared" si="0"/>
        <v>300</v>
      </c>
      <c r="I34" s="534">
        <v>3.51</v>
      </c>
      <c r="J34" s="330">
        <f t="shared" si="1"/>
        <v>2.8079999999999998</v>
      </c>
      <c r="K34" s="329">
        <f t="shared" si="2"/>
        <v>0.2</v>
      </c>
      <c r="L34" s="328">
        <v>43768</v>
      </c>
      <c r="M34" s="327">
        <f t="shared" si="3"/>
        <v>2626080</v>
      </c>
      <c r="N34" s="383">
        <f t="shared" si="4"/>
        <v>210.60000000000002</v>
      </c>
      <c r="O34" s="383">
        <v>17</v>
      </c>
      <c r="P34" s="384">
        <f t="shared" si="5"/>
        <v>3580200.0000000005</v>
      </c>
      <c r="Q34" s="532"/>
      <c r="T34" s="310"/>
    </row>
    <row r="35" spans="1:20" s="64" customFormat="1" ht="24.95" customHeight="1" x14ac:dyDescent="0.25">
      <c r="A35" s="532" t="s">
        <v>262</v>
      </c>
      <c r="B35" s="533"/>
      <c r="C35" s="335">
        <v>6</v>
      </c>
      <c r="D35" s="333">
        <v>12</v>
      </c>
      <c r="E35" s="334" t="s">
        <v>122</v>
      </c>
      <c r="F35" s="333">
        <v>0.97499999999999998</v>
      </c>
      <c r="G35" s="333">
        <v>2.2799999999999998</v>
      </c>
      <c r="H35" s="332">
        <f t="shared" si="0"/>
        <v>3.2549999999999999</v>
      </c>
      <c r="I35" s="534">
        <v>3.51</v>
      </c>
      <c r="J35" s="330">
        <f t="shared" si="1"/>
        <v>2.8079999999999998</v>
      </c>
      <c r="K35" s="329">
        <f t="shared" si="2"/>
        <v>0.2</v>
      </c>
      <c r="L35" s="328">
        <v>43768</v>
      </c>
      <c r="M35" s="327">
        <f t="shared" si="3"/>
        <v>28492.968000000001</v>
      </c>
      <c r="N35" s="383">
        <f t="shared" si="4"/>
        <v>2.2850099999999998</v>
      </c>
      <c r="O35" s="383">
        <v>17</v>
      </c>
      <c r="P35" s="384">
        <f t="shared" si="5"/>
        <v>38845.17</v>
      </c>
      <c r="Q35" s="532"/>
      <c r="T35" s="310"/>
    </row>
    <row r="36" spans="1:20" s="64" customFormat="1" ht="24.95" customHeight="1" x14ac:dyDescent="0.25">
      <c r="A36" s="532" t="s">
        <v>27</v>
      </c>
      <c r="B36" s="533"/>
      <c r="C36" s="335">
        <v>15</v>
      </c>
      <c r="D36" s="333">
        <v>17.5</v>
      </c>
      <c r="E36" s="334" t="s">
        <v>122</v>
      </c>
      <c r="F36" s="333"/>
      <c r="G36" s="333">
        <v>17.5</v>
      </c>
      <c r="H36" s="332">
        <f t="shared" si="0"/>
        <v>17.5</v>
      </c>
      <c r="I36" s="534">
        <v>3.51</v>
      </c>
      <c r="J36" s="330">
        <f t="shared" si="1"/>
        <v>2.8079999999999998</v>
      </c>
      <c r="K36" s="329">
        <f t="shared" si="2"/>
        <v>0.2</v>
      </c>
      <c r="L36" s="328">
        <v>43768</v>
      </c>
      <c r="M36" s="327">
        <f t="shared" si="3"/>
        <v>153188</v>
      </c>
      <c r="N36" s="383">
        <f t="shared" si="4"/>
        <v>12.285</v>
      </c>
      <c r="O36" s="383">
        <v>17</v>
      </c>
      <c r="P36" s="384">
        <f t="shared" si="5"/>
        <v>208845</v>
      </c>
      <c r="Q36" s="532"/>
      <c r="T36" s="310"/>
    </row>
    <row r="37" spans="1:20" s="64" customFormat="1" ht="24.95" customHeight="1" x14ac:dyDescent="0.25">
      <c r="A37" s="532" t="s">
        <v>100</v>
      </c>
      <c r="B37" s="533"/>
      <c r="C37" s="335">
        <v>1450</v>
      </c>
      <c r="D37" s="333">
        <v>1426.4</v>
      </c>
      <c r="E37" s="334" t="s">
        <v>122</v>
      </c>
      <c r="F37" s="333"/>
      <c r="G37" s="333">
        <v>1426.4</v>
      </c>
      <c r="H37" s="332">
        <f t="shared" si="0"/>
        <v>1426.4</v>
      </c>
      <c r="I37" s="534">
        <v>3.51</v>
      </c>
      <c r="J37" s="330">
        <f t="shared" si="1"/>
        <v>2.8079999999999998</v>
      </c>
      <c r="K37" s="329">
        <f t="shared" si="2"/>
        <v>0.2</v>
      </c>
      <c r="L37" s="328">
        <v>43768</v>
      </c>
      <c r="M37" s="327">
        <f t="shared" si="3"/>
        <v>12486135.040000001</v>
      </c>
      <c r="N37" s="383">
        <f t="shared" si="4"/>
        <v>1001.3328</v>
      </c>
      <c r="O37" s="383">
        <v>17</v>
      </c>
      <c r="P37" s="384">
        <f t="shared" si="5"/>
        <v>17022657.600000001</v>
      </c>
      <c r="Q37" s="532"/>
      <c r="T37" s="310"/>
    </row>
    <row r="38" spans="1:20" s="64" customFormat="1" ht="24.95" customHeight="1" x14ac:dyDescent="0.25">
      <c r="A38" s="532" t="s">
        <v>22</v>
      </c>
      <c r="B38" s="533"/>
      <c r="C38" s="335">
        <v>400</v>
      </c>
      <c r="D38" s="333">
        <v>404</v>
      </c>
      <c r="E38" s="334" t="s">
        <v>122</v>
      </c>
      <c r="F38" s="333"/>
      <c r="G38" s="333">
        <v>404</v>
      </c>
      <c r="H38" s="332">
        <f t="shared" si="0"/>
        <v>404</v>
      </c>
      <c r="I38" s="534">
        <v>3.51</v>
      </c>
      <c r="J38" s="330">
        <f t="shared" si="1"/>
        <v>2.8079999999999998</v>
      </c>
      <c r="K38" s="329">
        <f t="shared" si="2"/>
        <v>0.2</v>
      </c>
      <c r="L38" s="328">
        <v>43768</v>
      </c>
      <c r="M38" s="327">
        <f t="shared" si="3"/>
        <v>3536454.4000000004</v>
      </c>
      <c r="N38" s="383">
        <f t="shared" si="4"/>
        <v>283.608</v>
      </c>
      <c r="O38" s="383">
        <v>17</v>
      </c>
      <c r="P38" s="384">
        <f t="shared" si="5"/>
        <v>4821336</v>
      </c>
      <c r="Q38" s="532"/>
      <c r="T38" s="310"/>
    </row>
    <row r="39" spans="1:20" s="461" customFormat="1" ht="24.95" customHeight="1" x14ac:dyDescent="0.25">
      <c r="A39" s="546" t="s">
        <v>23</v>
      </c>
      <c r="B39" s="547"/>
      <c r="C39" s="448">
        <v>0</v>
      </c>
      <c r="D39" s="448">
        <v>297</v>
      </c>
      <c r="E39" s="448">
        <v>0</v>
      </c>
      <c r="F39" s="448">
        <v>113.5</v>
      </c>
      <c r="G39" s="448">
        <v>183.5</v>
      </c>
      <c r="H39" s="448">
        <v>297</v>
      </c>
      <c r="I39" s="448">
        <v>10.53</v>
      </c>
      <c r="J39" s="448">
        <v>8.7749999999999986</v>
      </c>
      <c r="K39" s="448">
        <v>0.5</v>
      </c>
      <c r="L39" s="448">
        <v>84702</v>
      </c>
      <c r="M39" s="448">
        <v>691172.60000000009</v>
      </c>
      <c r="N39" s="448">
        <v>129.51900000000001</v>
      </c>
      <c r="O39" s="448">
        <v>51</v>
      </c>
      <c r="P39" s="448">
        <v>2201823</v>
      </c>
      <c r="Q39" s="546"/>
      <c r="T39" s="462"/>
    </row>
    <row r="40" spans="1:20" s="64" customFormat="1" ht="24.95" customHeight="1" x14ac:dyDescent="0.25">
      <c r="A40" s="536" t="s">
        <v>261</v>
      </c>
      <c r="B40" s="533"/>
      <c r="C40" s="335">
        <v>1205</v>
      </c>
      <c r="D40" s="333">
        <v>1202</v>
      </c>
      <c r="E40" s="334" t="s">
        <v>122</v>
      </c>
      <c r="F40" s="333"/>
      <c r="G40" s="333">
        <v>1202</v>
      </c>
      <c r="H40" s="332">
        <f>SUM(F40:G40)</f>
        <v>1202</v>
      </c>
      <c r="I40" s="534">
        <v>3.51</v>
      </c>
      <c r="J40" s="330">
        <f>3.51*0.8</f>
        <v>2.8079999999999998</v>
      </c>
      <c r="K40" s="329">
        <f>(I40-J40)/I40</f>
        <v>0.2</v>
      </c>
      <c r="L40" s="328">
        <v>43768</v>
      </c>
      <c r="M40" s="327">
        <f>(H40*L40)*K40</f>
        <v>10521827.200000001</v>
      </c>
      <c r="N40" s="383">
        <f>H40*I40*K40</f>
        <v>843.80399999999997</v>
      </c>
      <c r="O40" s="383">
        <v>17</v>
      </c>
      <c r="P40" s="384">
        <f>N40*1000*17</f>
        <v>14344668</v>
      </c>
      <c r="Q40" s="532"/>
      <c r="T40" s="310"/>
    </row>
    <row r="41" spans="1:20" s="64" customFormat="1" ht="24.95" customHeight="1" x14ac:dyDescent="0.25">
      <c r="A41" s="532" t="s">
        <v>260</v>
      </c>
      <c r="B41" s="533"/>
      <c r="C41" s="335">
        <v>45</v>
      </c>
      <c r="D41" s="333">
        <v>44</v>
      </c>
      <c r="E41" s="334" t="s">
        <v>122</v>
      </c>
      <c r="F41" s="333"/>
      <c r="G41" s="333">
        <v>44</v>
      </c>
      <c r="H41" s="332">
        <f>SUM(F41:G41)</f>
        <v>44</v>
      </c>
      <c r="I41" s="534">
        <v>3.51</v>
      </c>
      <c r="J41" s="330">
        <f>3.51*0.8</f>
        <v>2.8079999999999998</v>
      </c>
      <c r="K41" s="329">
        <f>(I41-J41)/I41</f>
        <v>0.2</v>
      </c>
      <c r="L41" s="328">
        <v>43768</v>
      </c>
      <c r="M41" s="327">
        <f>(H41*L41)*K41</f>
        <v>385158.40000000002</v>
      </c>
      <c r="N41" s="383">
        <f>H41*I41*K41</f>
        <v>30.888000000000002</v>
      </c>
      <c r="O41" s="383">
        <v>17</v>
      </c>
      <c r="P41" s="384">
        <f>N41*1000*17</f>
        <v>525096</v>
      </c>
      <c r="Q41" s="788"/>
      <c r="T41" s="310"/>
    </row>
    <row r="42" spans="1:20" s="64" customFormat="1" ht="24.95" customHeight="1" x14ac:dyDescent="0.25">
      <c r="A42" s="532" t="s">
        <v>259</v>
      </c>
      <c r="B42" s="533"/>
      <c r="C42" s="335">
        <v>1619</v>
      </c>
      <c r="D42" s="333">
        <v>2254.4299999999998</v>
      </c>
      <c r="E42" s="334" t="s">
        <v>123</v>
      </c>
      <c r="F42" s="333">
        <v>834.11</v>
      </c>
      <c r="G42" s="333">
        <f>2254-834</f>
        <v>1420</v>
      </c>
      <c r="H42" s="332">
        <f>SUM(F42:G42)</f>
        <v>2254.11</v>
      </c>
      <c r="I42" s="534">
        <v>3.51</v>
      </c>
      <c r="J42" s="330">
        <f>3.51*0.9</f>
        <v>3.1589999999999998</v>
      </c>
      <c r="K42" s="329">
        <f>(I42-J42)/I42</f>
        <v>0.1</v>
      </c>
      <c r="L42" s="328">
        <v>7470</v>
      </c>
      <c r="M42" s="327">
        <f>(H42*L42)*K42</f>
        <v>1683820.17</v>
      </c>
      <c r="N42" s="383">
        <f>H42*I42*K42</f>
        <v>791.19261000000006</v>
      </c>
      <c r="O42" s="383">
        <v>17</v>
      </c>
      <c r="P42" s="384">
        <f>N42*1000*17</f>
        <v>13450274.370000001</v>
      </c>
      <c r="Q42" s="788"/>
      <c r="T42" s="310"/>
    </row>
    <row r="43" spans="1:20" s="64" customFormat="1" ht="19.5" customHeight="1" x14ac:dyDescent="0.25">
      <c r="A43" s="377"/>
      <c r="B43" s="533"/>
      <c r="C43" s="378"/>
      <c r="D43" s="378"/>
      <c r="E43" s="380"/>
      <c r="F43" s="378"/>
      <c r="G43" s="378"/>
      <c r="H43" s="379"/>
      <c r="I43" s="375"/>
      <c r="J43" s="330"/>
      <c r="K43" s="329"/>
      <c r="L43" s="378"/>
      <c r="M43" s="378"/>
      <c r="N43" s="378"/>
      <c r="O43" s="381"/>
      <c r="P43" s="378"/>
      <c r="Q43" s="337"/>
      <c r="T43" s="310"/>
    </row>
    <row r="44" spans="1:20" s="64" customFormat="1" ht="24.95" customHeight="1" x14ac:dyDescent="0.25">
      <c r="A44" s="385" t="s">
        <v>48</v>
      </c>
      <c r="B44" s="535"/>
      <c r="C44" s="371"/>
      <c r="D44" s="369"/>
      <c r="E44" s="370"/>
      <c r="F44" s="369"/>
      <c r="G44" s="368"/>
      <c r="H44" s="367"/>
      <c r="I44" s="366"/>
      <c r="J44" s="365"/>
      <c r="K44" s="364"/>
      <c r="L44" s="363"/>
      <c r="M44" s="362"/>
      <c r="N44" s="361"/>
      <c r="O44" s="361"/>
      <c r="P44" s="360"/>
      <c r="Q44" s="359"/>
      <c r="T44" s="310"/>
    </row>
    <row r="45" spans="1:20" s="461" customFormat="1" ht="24.95" customHeight="1" x14ac:dyDescent="0.25">
      <c r="A45" s="447" t="s">
        <v>49</v>
      </c>
      <c r="B45" s="547"/>
      <c r="C45" s="448">
        <v>171</v>
      </c>
      <c r="D45" s="448">
        <v>119</v>
      </c>
      <c r="E45" s="448">
        <v>0</v>
      </c>
      <c r="F45" s="448">
        <v>119</v>
      </c>
      <c r="G45" s="448">
        <v>0</v>
      </c>
      <c r="H45" s="448">
        <v>119</v>
      </c>
      <c r="I45" s="448">
        <v>7.02</v>
      </c>
      <c r="J45" s="448">
        <v>5.9669999999999996</v>
      </c>
      <c r="K45" s="448">
        <v>0.30000000000000004</v>
      </c>
      <c r="L45" s="448">
        <v>77232</v>
      </c>
      <c r="M45" s="448">
        <v>603695.20000000007</v>
      </c>
      <c r="N45" s="448">
        <v>55.106999999999999</v>
      </c>
      <c r="O45" s="448">
        <v>34</v>
      </c>
      <c r="P45" s="448">
        <v>936819</v>
      </c>
      <c r="Q45" s="460"/>
      <c r="T45" s="462"/>
    </row>
    <row r="46" spans="1:20" s="64" customFormat="1" ht="24.95" customHeight="1" x14ac:dyDescent="0.25">
      <c r="A46" s="532" t="s">
        <v>50</v>
      </c>
      <c r="B46" s="533"/>
      <c r="C46" s="335">
        <v>579</v>
      </c>
      <c r="D46" s="333">
        <v>791</v>
      </c>
      <c r="E46" s="334" t="s">
        <v>123</v>
      </c>
      <c r="F46" s="333">
        <v>791</v>
      </c>
      <c r="G46" s="333"/>
      <c r="H46" s="332">
        <f>SUM(F46:G46)</f>
        <v>791</v>
      </c>
      <c r="I46" s="534">
        <v>3.51</v>
      </c>
      <c r="J46" s="330">
        <f>3.51*0.9</f>
        <v>3.1589999999999998</v>
      </c>
      <c r="K46" s="329">
        <f>(I46-J46)/I46</f>
        <v>0.1</v>
      </c>
      <c r="L46" s="328">
        <v>7470</v>
      </c>
      <c r="M46" s="327">
        <f>(H46*L46)*K46</f>
        <v>590877</v>
      </c>
      <c r="N46" s="383">
        <f>H46*I46*K46</f>
        <v>277.64100000000002</v>
      </c>
      <c r="O46" s="383">
        <v>17</v>
      </c>
      <c r="P46" s="384">
        <f>N46*1000*17</f>
        <v>4719897</v>
      </c>
      <c r="Q46" s="532"/>
      <c r="T46" s="310"/>
    </row>
    <row r="47" spans="1:20" s="64" customFormat="1" ht="24.95" customHeight="1" x14ac:dyDescent="0.25">
      <c r="A47" s="532" t="s">
        <v>51</v>
      </c>
      <c r="B47" s="533"/>
      <c r="C47" s="335">
        <v>218</v>
      </c>
      <c r="D47" s="333">
        <v>94</v>
      </c>
      <c r="E47" s="334" t="s">
        <v>123</v>
      </c>
      <c r="F47" s="333">
        <v>94</v>
      </c>
      <c r="G47" s="333"/>
      <c r="H47" s="332">
        <f>SUM(F47:G47)</f>
        <v>94</v>
      </c>
      <c r="I47" s="534">
        <v>3.51</v>
      </c>
      <c r="J47" s="330">
        <f>3.51*0.9</f>
        <v>3.1589999999999998</v>
      </c>
      <c r="K47" s="329">
        <f>(I47-J47)/I47</f>
        <v>0.1</v>
      </c>
      <c r="L47" s="328">
        <v>7470</v>
      </c>
      <c r="M47" s="327">
        <f>(H47*L47)*K47</f>
        <v>70218</v>
      </c>
      <c r="N47" s="383">
        <f>H47*I47*K47</f>
        <v>32.994</v>
      </c>
      <c r="O47" s="383">
        <v>17</v>
      </c>
      <c r="P47" s="384">
        <f>N47*1000*17</f>
        <v>560898</v>
      </c>
      <c r="Q47" s="532"/>
      <c r="T47" s="310"/>
    </row>
    <row r="48" spans="1:20" s="64" customFormat="1" ht="24.95" customHeight="1" x14ac:dyDescent="0.25">
      <c r="A48" s="532" t="s">
        <v>47</v>
      </c>
      <c r="B48" s="533"/>
      <c r="C48" s="335">
        <v>3</v>
      </c>
      <c r="D48" s="333">
        <v>5</v>
      </c>
      <c r="E48" s="334" t="s">
        <v>123</v>
      </c>
      <c r="F48" s="333">
        <v>5</v>
      </c>
      <c r="G48" s="333"/>
      <c r="H48" s="332">
        <f>SUM(F48:G48)</f>
        <v>5</v>
      </c>
      <c r="I48" s="534">
        <v>3.51</v>
      </c>
      <c r="J48" s="330">
        <f>3.51*0.9</f>
        <v>3.1589999999999998</v>
      </c>
      <c r="K48" s="329">
        <f>(I48-J48)/I48</f>
        <v>0.1</v>
      </c>
      <c r="L48" s="328">
        <v>43768</v>
      </c>
      <c r="M48" s="327">
        <f>(H48*L48)*K48</f>
        <v>21884</v>
      </c>
      <c r="N48" s="383">
        <f>H48*I48*K48</f>
        <v>1.7549999999999999</v>
      </c>
      <c r="O48" s="383">
        <v>17</v>
      </c>
      <c r="P48" s="384">
        <f>N48*1000*17</f>
        <v>29835</v>
      </c>
      <c r="Q48" s="532"/>
      <c r="T48" s="310"/>
    </row>
    <row r="49" spans="1:20" s="64" customFormat="1" ht="24.95" customHeight="1" x14ac:dyDescent="0.25">
      <c r="A49" s="532" t="s">
        <v>48</v>
      </c>
      <c r="B49" s="533"/>
      <c r="C49" s="335">
        <v>52</v>
      </c>
      <c r="D49" s="333">
        <v>40</v>
      </c>
      <c r="E49" s="334" t="s">
        <v>123</v>
      </c>
      <c r="F49" s="333">
        <v>40</v>
      </c>
      <c r="G49" s="333"/>
      <c r="H49" s="332">
        <f>SUM(F49:G49)</f>
        <v>40</v>
      </c>
      <c r="I49" s="534">
        <v>3.51</v>
      </c>
      <c r="J49" s="330">
        <f>3.51*0.9</f>
        <v>3.1589999999999998</v>
      </c>
      <c r="K49" s="329">
        <f>(I49-J49)/I49</f>
        <v>0.1</v>
      </c>
      <c r="L49" s="328">
        <v>7470</v>
      </c>
      <c r="M49" s="327">
        <f>(H49*L49)*K49</f>
        <v>29880</v>
      </c>
      <c r="N49" s="383">
        <f>H49*I49*K49</f>
        <v>14.04</v>
      </c>
      <c r="O49" s="383">
        <v>17</v>
      </c>
      <c r="P49" s="384">
        <f>N49*1000*17</f>
        <v>238680</v>
      </c>
      <c r="Q49" s="532"/>
      <c r="T49" s="310"/>
    </row>
    <row r="50" spans="1:20" s="64" customFormat="1" ht="24.95" customHeight="1" x14ac:dyDescent="0.25">
      <c r="A50" s="532" t="s">
        <v>52</v>
      </c>
      <c r="B50" s="533"/>
      <c r="C50" s="335">
        <v>15</v>
      </c>
      <c r="D50" s="333">
        <v>5.25</v>
      </c>
      <c r="E50" s="334" t="s">
        <v>123</v>
      </c>
      <c r="F50" s="333">
        <v>5.25</v>
      </c>
      <c r="G50" s="333"/>
      <c r="H50" s="332">
        <f>SUM(F50:G50)</f>
        <v>5.25</v>
      </c>
      <c r="I50" s="534">
        <v>3.51</v>
      </c>
      <c r="J50" s="330">
        <f>3.51*0.9</f>
        <v>3.1589999999999998</v>
      </c>
      <c r="K50" s="329">
        <f>(I50-J50)/I50</f>
        <v>0.1</v>
      </c>
      <c r="L50" s="328">
        <v>7470</v>
      </c>
      <c r="M50" s="327">
        <f>(H50*L50)*K50</f>
        <v>3921.75</v>
      </c>
      <c r="N50" s="383">
        <f>H50*I50*K50</f>
        <v>1.8427499999999999</v>
      </c>
      <c r="O50" s="383">
        <v>17</v>
      </c>
      <c r="P50" s="384">
        <f>N50*1000*17</f>
        <v>31326.75</v>
      </c>
      <c r="Q50" s="532"/>
      <c r="T50" s="310"/>
    </row>
    <row r="51" spans="1:20" s="461" customFormat="1" ht="24.95" customHeight="1" x14ac:dyDescent="0.25">
      <c r="A51" s="546" t="s">
        <v>53</v>
      </c>
      <c r="B51" s="547"/>
      <c r="C51" s="448">
        <v>1210</v>
      </c>
      <c r="D51" s="448">
        <v>983</v>
      </c>
      <c r="E51" s="448">
        <v>0</v>
      </c>
      <c r="F51" s="448">
        <v>879.83</v>
      </c>
      <c r="G51" s="448">
        <v>102.67</v>
      </c>
      <c r="H51" s="448">
        <v>982.5</v>
      </c>
      <c r="I51" s="448">
        <v>7.02</v>
      </c>
      <c r="J51" s="448">
        <v>5.9669999999999996</v>
      </c>
      <c r="K51" s="448">
        <v>0.30000000000000004</v>
      </c>
      <c r="L51" s="448">
        <v>40934</v>
      </c>
      <c r="M51" s="448">
        <v>2856578.1</v>
      </c>
      <c r="N51" s="448">
        <v>470.16449999999998</v>
      </c>
      <c r="O51" s="448">
        <v>34</v>
      </c>
      <c r="P51" s="448">
        <v>7992796.5</v>
      </c>
      <c r="Q51" s="546"/>
      <c r="T51" s="462"/>
    </row>
    <row r="52" spans="1:20" s="64" customFormat="1" ht="19.5" customHeight="1" x14ac:dyDescent="0.25">
      <c r="A52" s="377"/>
      <c r="B52" s="533"/>
      <c r="C52" s="378"/>
      <c r="D52" s="378"/>
      <c r="E52" s="380"/>
      <c r="F52" s="378"/>
      <c r="G52" s="378"/>
      <c r="H52" s="379"/>
      <c r="I52" s="375"/>
      <c r="J52" s="330"/>
      <c r="K52" s="329"/>
      <c r="L52" s="378"/>
      <c r="M52" s="378"/>
      <c r="N52" s="378"/>
      <c r="O52" s="381"/>
      <c r="P52" s="378"/>
      <c r="Q52" s="337"/>
      <c r="T52" s="310"/>
    </row>
    <row r="53" spans="1:20" s="64" customFormat="1" ht="19.5" customHeight="1" x14ac:dyDescent="0.25">
      <c r="A53" s="385" t="s">
        <v>242</v>
      </c>
      <c r="B53" s="535"/>
      <c r="C53" s="371"/>
      <c r="D53" s="369"/>
      <c r="E53" s="370"/>
      <c r="F53" s="369"/>
      <c r="G53" s="368"/>
      <c r="H53" s="367"/>
      <c r="I53" s="366"/>
      <c r="J53" s="365"/>
      <c r="K53" s="364"/>
      <c r="L53" s="363"/>
      <c r="M53" s="362"/>
      <c r="N53" s="361"/>
      <c r="O53" s="361"/>
      <c r="P53" s="360"/>
      <c r="Q53" s="359"/>
      <c r="T53" s="310"/>
    </row>
    <row r="54" spans="1:20" s="461" customFormat="1" ht="19.5" customHeight="1" x14ac:dyDescent="0.25">
      <c r="A54" s="447" t="s">
        <v>55</v>
      </c>
      <c r="B54" s="547"/>
      <c r="C54" s="448">
        <v>2620</v>
      </c>
      <c r="D54" s="448">
        <v>2606.5</v>
      </c>
      <c r="E54" s="448">
        <v>0</v>
      </c>
      <c r="F54" s="448">
        <v>1063</v>
      </c>
      <c r="G54" s="448">
        <v>1543.5</v>
      </c>
      <c r="H54" s="448">
        <v>2606.5</v>
      </c>
      <c r="I54" s="448">
        <v>7.02</v>
      </c>
      <c r="J54" s="448">
        <v>5.6159999999999997</v>
      </c>
      <c r="K54" s="448">
        <v>0.4</v>
      </c>
      <c r="L54" s="448">
        <v>51238</v>
      </c>
      <c r="M54" s="448">
        <v>21060833.399999999</v>
      </c>
      <c r="N54" s="448">
        <v>1998.4184999999998</v>
      </c>
      <c r="O54" s="448">
        <v>34</v>
      </c>
      <c r="P54" s="448">
        <v>33973114.5</v>
      </c>
      <c r="Q54" s="460"/>
      <c r="T54" s="462"/>
    </row>
    <row r="55" spans="1:20" s="461" customFormat="1" ht="24.95" customHeight="1" x14ac:dyDescent="0.25">
      <c r="A55" s="546" t="s">
        <v>102</v>
      </c>
      <c r="B55" s="547"/>
      <c r="C55" s="448">
        <v>1462</v>
      </c>
      <c r="D55" s="448">
        <v>1596.62</v>
      </c>
      <c r="E55" s="448">
        <v>0</v>
      </c>
      <c r="F55" s="448">
        <v>337</v>
      </c>
      <c r="G55" s="448">
        <v>1259.6199999999999</v>
      </c>
      <c r="H55" s="448">
        <v>1596.62</v>
      </c>
      <c r="I55" s="448">
        <v>14.04</v>
      </c>
      <c r="J55" s="448">
        <v>10.179</v>
      </c>
      <c r="K55" s="448">
        <v>1.1000000000000001</v>
      </c>
      <c r="L55" s="448">
        <v>128470</v>
      </c>
      <c r="M55" s="448">
        <v>13763841.939999999</v>
      </c>
      <c r="N55" s="448">
        <v>1331.2096200000001</v>
      </c>
      <c r="O55" s="448">
        <v>68</v>
      </c>
      <c r="P55" s="448">
        <v>22630563.539999999</v>
      </c>
      <c r="Q55" s="546"/>
      <c r="T55" s="462"/>
    </row>
    <row r="56" spans="1:20" s="64" customFormat="1" ht="24.95" customHeight="1" x14ac:dyDescent="0.25">
      <c r="A56" s="532" t="s">
        <v>56</v>
      </c>
      <c r="B56" s="533"/>
      <c r="C56" s="335"/>
      <c r="D56" s="333">
        <v>200</v>
      </c>
      <c r="E56" s="334" t="s">
        <v>123</v>
      </c>
      <c r="F56" s="333">
        <v>200</v>
      </c>
      <c r="G56" s="333"/>
      <c r="H56" s="332">
        <f>SUM(F56:G56)</f>
        <v>200</v>
      </c>
      <c r="I56" s="534">
        <v>3.51</v>
      </c>
      <c r="J56" s="330">
        <f>3.51*0.9</f>
        <v>3.1589999999999998</v>
      </c>
      <c r="K56" s="329">
        <f>(I56-J56)/I56</f>
        <v>0.1</v>
      </c>
      <c r="L56" s="328">
        <v>7470</v>
      </c>
      <c r="M56" s="327">
        <f>(H56*L56)*K56</f>
        <v>149400</v>
      </c>
      <c r="N56" s="383">
        <f>H56*I56*K56</f>
        <v>70.2</v>
      </c>
      <c r="O56" s="383">
        <v>17</v>
      </c>
      <c r="P56" s="384">
        <f>N56*1000*17</f>
        <v>1193400</v>
      </c>
      <c r="Q56" s="532"/>
      <c r="T56" s="310"/>
    </row>
    <row r="57" spans="1:20" s="64" customFormat="1" ht="24.95" customHeight="1" x14ac:dyDescent="0.25">
      <c r="A57" s="532" t="s">
        <v>124</v>
      </c>
      <c r="B57" s="533"/>
      <c r="C57" s="335">
        <v>165</v>
      </c>
      <c r="D57" s="333">
        <v>171</v>
      </c>
      <c r="E57" s="334" t="s">
        <v>123</v>
      </c>
      <c r="F57" s="333">
        <v>131</v>
      </c>
      <c r="G57" s="333">
        <v>40</v>
      </c>
      <c r="H57" s="332">
        <f>SUM(F57:G57)</f>
        <v>171</v>
      </c>
      <c r="I57" s="534">
        <v>3.51</v>
      </c>
      <c r="J57" s="330">
        <f>3.51*0.9</f>
        <v>3.1589999999999998</v>
      </c>
      <c r="K57" s="329">
        <f>(I57-J57)/I57</f>
        <v>0.1</v>
      </c>
      <c r="L57" s="328">
        <v>33464</v>
      </c>
      <c r="M57" s="327">
        <f>(H57*L57)*K57</f>
        <v>572234.4</v>
      </c>
      <c r="N57" s="383">
        <f>H57*I57*K57</f>
        <v>60.020999999999994</v>
      </c>
      <c r="O57" s="383">
        <v>17</v>
      </c>
      <c r="P57" s="384">
        <f>N57*1000*17</f>
        <v>1020356.9999999999</v>
      </c>
      <c r="Q57" s="532"/>
      <c r="T57" s="310"/>
    </row>
    <row r="58" spans="1:20" s="461" customFormat="1" ht="24.95" customHeight="1" x14ac:dyDescent="0.25">
      <c r="A58" s="546" t="s">
        <v>59</v>
      </c>
      <c r="B58" s="547"/>
      <c r="C58" s="448">
        <v>801</v>
      </c>
      <c r="D58" s="448">
        <v>777.64</v>
      </c>
      <c r="E58" s="448">
        <v>0</v>
      </c>
      <c r="F58" s="448">
        <v>405</v>
      </c>
      <c r="G58" s="448">
        <v>373</v>
      </c>
      <c r="H58" s="448">
        <v>778</v>
      </c>
      <c r="I58" s="448">
        <v>14.04</v>
      </c>
      <c r="J58" s="448">
        <v>9.8279999999999994</v>
      </c>
      <c r="K58" s="448">
        <v>1.2000000000000002</v>
      </c>
      <c r="L58" s="448">
        <v>133470</v>
      </c>
      <c r="M58" s="448">
        <v>5440002</v>
      </c>
      <c r="N58" s="448">
        <v>683.39699999999993</v>
      </c>
      <c r="O58" s="448">
        <v>68</v>
      </c>
      <c r="P58" s="448">
        <v>11617749</v>
      </c>
      <c r="Q58" s="546"/>
      <c r="T58" s="462"/>
    </row>
    <row r="59" spans="1:20" s="64" customFormat="1" ht="24.95" customHeight="1" x14ac:dyDescent="0.25">
      <c r="A59" s="532" t="s">
        <v>61</v>
      </c>
      <c r="B59" s="533"/>
      <c r="C59" s="335">
        <v>250</v>
      </c>
      <c r="D59" s="333">
        <v>274.2</v>
      </c>
      <c r="E59" s="334" t="s">
        <v>123</v>
      </c>
      <c r="F59" s="333"/>
      <c r="G59" s="333">
        <v>274.2</v>
      </c>
      <c r="H59" s="332">
        <f>SUM(F59:G59)</f>
        <v>274.2</v>
      </c>
      <c r="I59" s="534">
        <v>3.51</v>
      </c>
      <c r="J59" s="330">
        <f>3.51*0.9</f>
        <v>3.1589999999999998</v>
      </c>
      <c r="K59" s="329">
        <f>(I59-J59)/I59</f>
        <v>0.1</v>
      </c>
      <c r="L59" s="328">
        <v>7470</v>
      </c>
      <c r="M59" s="327">
        <f>(H59*L59)*K59</f>
        <v>204827.40000000002</v>
      </c>
      <c r="N59" s="383">
        <f>H59*I59*K59</f>
        <v>96.244199999999992</v>
      </c>
      <c r="O59" s="383">
        <v>17</v>
      </c>
      <c r="P59" s="384">
        <f>N59*1000*17</f>
        <v>1636151.4</v>
      </c>
      <c r="Q59" s="410"/>
      <c r="T59" s="310"/>
    </row>
    <row r="60" spans="1:20" s="64" customFormat="1" ht="24.95" customHeight="1" x14ac:dyDescent="0.25">
      <c r="A60" s="532" t="s">
        <v>128</v>
      </c>
      <c r="B60" s="533"/>
      <c r="C60" s="335">
        <v>6</v>
      </c>
      <c r="D60" s="333">
        <v>4</v>
      </c>
      <c r="E60" s="334" t="s">
        <v>123</v>
      </c>
      <c r="F60" s="333">
        <v>4</v>
      </c>
      <c r="G60" s="333"/>
      <c r="H60" s="332">
        <v>4</v>
      </c>
      <c r="I60" s="534">
        <v>3.51</v>
      </c>
      <c r="J60" s="330">
        <f>3.51*0.9</f>
        <v>3.1589999999999998</v>
      </c>
      <c r="K60" s="329">
        <f>(I60-J60)/I60</f>
        <v>0.1</v>
      </c>
      <c r="L60" s="328">
        <v>7470</v>
      </c>
      <c r="M60" s="327">
        <f>(H60*L60)*K60</f>
        <v>2988</v>
      </c>
      <c r="N60" s="383">
        <f>H60*I60*K60</f>
        <v>1.4039999999999999</v>
      </c>
      <c r="O60" s="383">
        <v>17</v>
      </c>
      <c r="P60" s="384">
        <f>N60*1000*17</f>
        <v>23868</v>
      </c>
      <c r="Q60" s="410"/>
      <c r="T60" s="310"/>
    </row>
    <row r="61" spans="1:20" s="461" customFormat="1" ht="24.95" customHeight="1" x14ac:dyDescent="0.25">
      <c r="A61" s="546" t="s">
        <v>63</v>
      </c>
      <c r="B61" s="547"/>
      <c r="C61" s="448">
        <v>265</v>
      </c>
      <c r="D61" s="448">
        <v>249</v>
      </c>
      <c r="E61" s="448">
        <v>0</v>
      </c>
      <c r="F61" s="448">
        <v>248.5</v>
      </c>
      <c r="G61" s="448">
        <v>0</v>
      </c>
      <c r="H61" s="448">
        <v>248.5</v>
      </c>
      <c r="I61" s="448">
        <v>10.53</v>
      </c>
      <c r="J61" s="448">
        <v>8.0730000000000004</v>
      </c>
      <c r="K61" s="448">
        <v>0.7</v>
      </c>
      <c r="L61" s="448">
        <v>84702</v>
      </c>
      <c r="M61" s="448">
        <v>1569553.5</v>
      </c>
      <c r="N61" s="448">
        <v>168.65549999999999</v>
      </c>
      <c r="O61" s="448">
        <v>51</v>
      </c>
      <c r="P61" s="448">
        <v>2867143.5</v>
      </c>
      <c r="Q61" s="549"/>
      <c r="T61" s="462"/>
    </row>
    <row r="62" spans="1:20" s="64" customFormat="1" ht="24.95" customHeight="1" x14ac:dyDescent="0.25">
      <c r="A62" s="532" t="s">
        <v>223</v>
      </c>
      <c r="B62" s="533"/>
      <c r="C62" s="335">
        <v>200</v>
      </c>
      <c r="D62" s="333">
        <v>191</v>
      </c>
      <c r="E62" s="334" t="s">
        <v>123</v>
      </c>
      <c r="F62" s="333">
        <v>191</v>
      </c>
      <c r="G62" s="333"/>
      <c r="H62" s="332">
        <f>SUM(F62:G62)</f>
        <v>191</v>
      </c>
      <c r="I62" s="534">
        <v>3.51</v>
      </c>
      <c r="J62" s="330">
        <f>3.51*0.9</f>
        <v>3.1589999999999998</v>
      </c>
      <c r="K62" s="329">
        <f>(I62-J62)/I62</f>
        <v>0.1</v>
      </c>
      <c r="L62" s="328">
        <v>7470</v>
      </c>
      <c r="M62" s="327">
        <f>(H62*L62)*K62</f>
        <v>142677</v>
      </c>
      <c r="N62" s="383">
        <f>H62*I62*K62</f>
        <v>67.040999999999997</v>
      </c>
      <c r="O62" s="383">
        <v>17</v>
      </c>
      <c r="P62" s="384">
        <f>N62*1000*17</f>
        <v>1139697</v>
      </c>
      <c r="Q62" s="410"/>
      <c r="T62" s="310"/>
    </row>
    <row r="63" spans="1:20" s="64" customFormat="1" ht="24.95" customHeight="1" x14ac:dyDescent="0.25">
      <c r="A63" s="532" t="s">
        <v>64</v>
      </c>
      <c r="B63" s="533"/>
      <c r="C63" s="335">
        <v>58</v>
      </c>
      <c r="D63" s="333">
        <v>48</v>
      </c>
      <c r="E63" s="334" t="s">
        <v>123</v>
      </c>
      <c r="F63" s="333"/>
      <c r="G63" s="333">
        <v>48</v>
      </c>
      <c r="H63" s="332">
        <f>SUM(F63:G63)</f>
        <v>48</v>
      </c>
      <c r="I63" s="534">
        <v>3.51</v>
      </c>
      <c r="J63" s="330">
        <f>3.51*0.9</f>
        <v>3.1589999999999998</v>
      </c>
      <c r="K63" s="329">
        <f>(I63-J63)/I63</f>
        <v>0.1</v>
      </c>
      <c r="L63" s="328">
        <v>7470</v>
      </c>
      <c r="M63" s="327">
        <f>(H63*L63)*K63</f>
        <v>35856</v>
      </c>
      <c r="N63" s="383">
        <f>H63*I63*K63</f>
        <v>16.847999999999999</v>
      </c>
      <c r="O63" s="383">
        <v>17</v>
      </c>
      <c r="P63" s="384">
        <f>N63*1000*17</f>
        <v>286416</v>
      </c>
      <c r="Q63" s="410"/>
      <c r="T63" s="310"/>
    </row>
    <row r="64" spans="1:20" s="461" customFormat="1" ht="24.95" customHeight="1" x14ac:dyDescent="0.25">
      <c r="A64" s="546" t="s">
        <v>127</v>
      </c>
      <c r="B64" s="547"/>
      <c r="C64" s="448">
        <v>1131</v>
      </c>
      <c r="D64" s="448">
        <v>1245.0999999999999</v>
      </c>
      <c r="E64" s="448">
        <v>0</v>
      </c>
      <c r="F64" s="448">
        <v>944.30000000000007</v>
      </c>
      <c r="G64" s="448">
        <v>305</v>
      </c>
      <c r="H64" s="448">
        <v>1249.3</v>
      </c>
      <c r="I64" s="448">
        <v>28.079999999999991</v>
      </c>
      <c r="J64" s="448">
        <v>20.358000000000004</v>
      </c>
      <c r="K64" s="448">
        <v>2.2000000000000002</v>
      </c>
      <c r="L64" s="448">
        <v>256940</v>
      </c>
      <c r="M64" s="448">
        <v>9998751.0799999982</v>
      </c>
      <c r="N64" s="448">
        <v>1014.2671499999999</v>
      </c>
      <c r="O64" s="448">
        <v>136</v>
      </c>
      <c r="P64" s="448">
        <v>17242541.550000001</v>
      </c>
      <c r="Q64" s="549"/>
      <c r="T64" s="462"/>
    </row>
    <row r="65" spans="1:20" s="64" customFormat="1" ht="33.75" customHeight="1" x14ac:dyDescent="0.25">
      <c r="A65" s="532" t="s">
        <v>65</v>
      </c>
      <c r="B65" s="533"/>
      <c r="C65" s="335">
        <v>40</v>
      </c>
      <c r="D65" s="333">
        <v>32</v>
      </c>
      <c r="E65" s="334" t="s">
        <v>123</v>
      </c>
      <c r="F65" s="333">
        <v>32</v>
      </c>
      <c r="G65" s="333"/>
      <c r="H65" s="332">
        <f>SUM(F65:G65)</f>
        <v>32</v>
      </c>
      <c r="I65" s="534">
        <v>3.51</v>
      </c>
      <c r="J65" s="330">
        <f>3.51*0.9</f>
        <v>3.1589999999999998</v>
      </c>
      <c r="K65" s="329">
        <f>(I65-J65)/I65</f>
        <v>0.1</v>
      </c>
      <c r="L65" s="328">
        <v>7470</v>
      </c>
      <c r="M65" s="327">
        <f>(H65*L65)*K65</f>
        <v>23904</v>
      </c>
      <c r="N65" s="383">
        <f>H65*I65*K65</f>
        <v>11.231999999999999</v>
      </c>
      <c r="O65" s="383">
        <v>17</v>
      </c>
      <c r="P65" s="384">
        <f>N65*1000*17</f>
        <v>190944</v>
      </c>
      <c r="Q65" s="532"/>
      <c r="T65" s="310"/>
    </row>
    <row r="66" spans="1:20" s="64" customFormat="1" ht="24.95" customHeight="1" x14ac:dyDescent="0.25">
      <c r="A66" s="532" t="s">
        <v>129</v>
      </c>
      <c r="B66" s="533"/>
      <c r="C66" s="335">
        <v>70</v>
      </c>
      <c r="D66" s="333">
        <v>62</v>
      </c>
      <c r="E66" s="334" t="s">
        <v>123</v>
      </c>
      <c r="F66" s="333"/>
      <c r="G66" s="333">
        <v>62</v>
      </c>
      <c r="H66" s="332">
        <f>SUM(F66:G66)</f>
        <v>62</v>
      </c>
      <c r="I66" s="534">
        <v>3.51</v>
      </c>
      <c r="J66" s="330">
        <f>3.51*0.9</f>
        <v>3.1589999999999998</v>
      </c>
      <c r="K66" s="329">
        <f>(I66-J66)/I66</f>
        <v>0.1</v>
      </c>
      <c r="L66" s="328">
        <v>7470</v>
      </c>
      <c r="M66" s="327">
        <f>(H66*L66)*K66</f>
        <v>46314</v>
      </c>
      <c r="N66" s="383">
        <f>H66*I66*K66</f>
        <v>21.762</v>
      </c>
      <c r="O66" s="383">
        <v>17</v>
      </c>
      <c r="P66" s="384">
        <f>N66*1000*17</f>
        <v>369954</v>
      </c>
      <c r="Q66" s="532"/>
      <c r="T66" s="310"/>
    </row>
    <row r="67" spans="1:20" s="64" customFormat="1" ht="24.95" customHeight="1" x14ac:dyDescent="0.25">
      <c r="A67" s="532" t="s">
        <v>258</v>
      </c>
      <c r="B67" s="533"/>
      <c r="C67" s="335">
        <v>16</v>
      </c>
      <c r="D67" s="333">
        <v>14</v>
      </c>
      <c r="E67" s="334" t="s">
        <v>219</v>
      </c>
      <c r="F67" s="333"/>
      <c r="G67" s="333">
        <v>14</v>
      </c>
      <c r="H67" s="332">
        <f>SUM(F67:G67)</f>
        <v>14</v>
      </c>
      <c r="I67" s="534">
        <v>3.51</v>
      </c>
      <c r="J67" s="330">
        <f>3.51*0.7</f>
        <v>2.4569999999999999</v>
      </c>
      <c r="K67" s="329">
        <f>(I67-J67)/I67</f>
        <v>0.3</v>
      </c>
      <c r="L67" s="328">
        <v>33464</v>
      </c>
      <c r="M67" s="327">
        <f>(H67*L67)*K67</f>
        <v>140548.79999999999</v>
      </c>
      <c r="N67" s="383">
        <f>H67*I67*K67</f>
        <v>14.741999999999999</v>
      </c>
      <c r="O67" s="383">
        <v>17</v>
      </c>
      <c r="P67" s="384">
        <f>N67*1000*17</f>
        <v>250614</v>
      </c>
      <c r="Q67" s="532"/>
      <c r="T67" s="310"/>
    </row>
    <row r="68" spans="1:20" s="461" customFormat="1" ht="24.95" customHeight="1" x14ac:dyDescent="0.25">
      <c r="A68" s="546" t="s">
        <v>66</v>
      </c>
      <c r="B68" s="547"/>
      <c r="C68" s="448">
        <v>523</v>
      </c>
      <c r="D68" s="448">
        <v>541.25</v>
      </c>
      <c r="E68" s="448">
        <v>0</v>
      </c>
      <c r="F68" s="448">
        <v>195.5</v>
      </c>
      <c r="G68" s="448">
        <v>345.75</v>
      </c>
      <c r="H68" s="448">
        <v>541.25</v>
      </c>
      <c r="I68" s="448">
        <v>7.02</v>
      </c>
      <c r="J68" s="448">
        <v>5.6159999999999997</v>
      </c>
      <c r="K68" s="448">
        <v>0.4</v>
      </c>
      <c r="L68" s="448">
        <v>51238</v>
      </c>
      <c r="M68" s="448">
        <v>2264919.5999999996</v>
      </c>
      <c r="N68" s="448">
        <v>295.45425</v>
      </c>
      <c r="O68" s="448">
        <v>34</v>
      </c>
      <c r="P68" s="448">
        <v>5022722.25</v>
      </c>
      <c r="Q68" s="546"/>
      <c r="T68" s="462"/>
    </row>
    <row r="69" spans="1:20" s="461" customFormat="1" ht="24.95" customHeight="1" x14ac:dyDescent="0.25">
      <c r="A69" s="546" t="s">
        <v>67</v>
      </c>
      <c r="B69" s="547"/>
      <c r="C69" s="448">
        <v>495</v>
      </c>
      <c r="D69" s="448">
        <v>612</v>
      </c>
      <c r="E69" s="448">
        <v>0</v>
      </c>
      <c r="F69" s="448">
        <v>225</v>
      </c>
      <c r="G69" s="448">
        <v>387</v>
      </c>
      <c r="H69" s="448">
        <v>612</v>
      </c>
      <c r="I69" s="448">
        <v>7.02</v>
      </c>
      <c r="J69" s="448">
        <v>5.6159999999999997</v>
      </c>
      <c r="K69" s="448">
        <v>0.4</v>
      </c>
      <c r="L69" s="448">
        <v>51238</v>
      </c>
      <c r="M69" s="448">
        <v>6487879.7999999998</v>
      </c>
      <c r="N69" s="448">
        <v>556.68599999999992</v>
      </c>
      <c r="O69" s="448">
        <v>34</v>
      </c>
      <c r="P69" s="448">
        <v>9463661.9999999981</v>
      </c>
      <c r="Q69" s="546"/>
      <c r="T69" s="462"/>
    </row>
    <row r="70" spans="1:20" s="64" customFormat="1" ht="24.95" customHeight="1" x14ac:dyDescent="0.25">
      <c r="A70" s="532" t="s">
        <v>257</v>
      </c>
      <c r="B70" s="533"/>
      <c r="C70" s="335">
        <v>2</v>
      </c>
      <c r="D70" s="333">
        <v>2</v>
      </c>
      <c r="E70" s="334" t="s">
        <v>122</v>
      </c>
      <c r="F70" s="333"/>
      <c r="G70" s="333">
        <v>2</v>
      </c>
      <c r="H70" s="332">
        <f>SUM(F70:G70)</f>
        <v>2</v>
      </c>
      <c r="I70" s="534">
        <v>3.51</v>
      </c>
      <c r="J70" s="330">
        <f>3.51*0.7</f>
        <v>2.4569999999999999</v>
      </c>
      <c r="K70" s="329">
        <f>(I70-J70)/I70</f>
        <v>0.3</v>
      </c>
      <c r="L70" s="328">
        <v>7470</v>
      </c>
      <c r="M70" s="327">
        <f>(H70*L70)*K70</f>
        <v>4482</v>
      </c>
      <c r="N70" s="383">
        <f>H70*I70*K70</f>
        <v>2.1059999999999999</v>
      </c>
      <c r="O70" s="383">
        <v>17</v>
      </c>
      <c r="P70" s="384">
        <f>N70*1000*17</f>
        <v>35802</v>
      </c>
      <c r="Q70" s="532"/>
      <c r="T70" s="310"/>
    </row>
    <row r="71" spans="1:20" s="64" customFormat="1" ht="24.95" customHeight="1" x14ac:dyDescent="0.25">
      <c r="A71" s="532" t="s">
        <v>68</v>
      </c>
      <c r="B71" s="533"/>
      <c r="C71" s="335"/>
      <c r="D71" s="333">
        <v>62.2</v>
      </c>
      <c r="E71" s="334" t="s">
        <v>123</v>
      </c>
      <c r="F71" s="333">
        <v>62</v>
      </c>
      <c r="G71" s="333"/>
      <c r="H71" s="332">
        <f>SUM(F71:G71)</f>
        <v>62</v>
      </c>
      <c r="I71" s="534">
        <v>3.51</v>
      </c>
      <c r="J71" s="330">
        <f>3.51*0.9</f>
        <v>3.1589999999999998</v>
      </c>
      <c r="K71" s="329">
        <f>(I71-J71)/I71</f>
        <v>0.1</v>
      </c>
      <c r="L71" s="328">
        <v>7470</v>
      </c>
      <c r="M71" s="327">
        <f>(H71*L71)*K71</f>
        <v>46314</v>
      </c>
      <c r="N71" s="383">
        <f>H71*I71*K71</f>
        <v>21.762</v>
      </c>
      <c r="O71" s="383">
        <v>17</v>
      </c>
      <c r="P71" s="384">
        <f>N71*1000*17</f>
        <v>369954</v>
      </c>
      <c r="Q71" s="532"/>
      <c r="T71" s="310"/>
    </row>
    <row r="72" spans="1:20" s="64" customFormat="1" ht="24.95" customHeight="1" x14ac:dyDescent="0.25">
      <c r="A72" s="532" t="s">
        <v>69</v>
      </c>
      <c r="B72" s="533"/>
      <c r="C72" s="335">
        <v>50</v>
      </c>
      <c r="D72" s="333">
        <v>50</v>
      </c>
      <c r="E72" s="334" t="s">
        <v>122</v>
      </c>
      <c r="F72" s="333"/>
      <c r="G72" s="333">
        <v>50</v>
      </c>
      <c r="H72" s="332">
        <f>SUM(F72:G72)</f>
        <v>50</v>
      </c>
      <c r="I72" s="534">
        <v>3.51</v>
      </c>
      <c r="J72" s="330">
        <f>3.51*0.7</f>
        <v>2.4569999999999999</v>
      </c>
      <c r="K72" s="329">
        <f>(I72-J72)/I72</f>
        <v>0.3</v>
      </c>
      <c r="L72" s="328">
        <v>43768</v>
      </c>
      <c r="M72" s="327">
        <f>(H72*L72)*K72</f>
        <v>656520</v>
      </c>
      <c r="N72" s="383">
        <f>H72*I72*K72</f>
        <v>52.65</v>
      </c>
      <c r="O72" s="383">
        <v>17</v>
      </c>
      <c r="P72" s="384">
        <f>N72*1000*17</f>
        <v>895050</v>
      </c>
      <c r="Q72" s="532"/>
      <c r="T72" s="310"/>
    </row>
    <row r="73" spans="1:20" s="64" customFormat="1" ht="24.95" customHeight="1" x14ac:dyDescent="0.25">
      <c r="A73" s="532" t="s">
        <v>70</v>
      </c>
      <c r="B73" s="533"/>
      <c r="C73" s="335">
        <v>10</v>
      </c>
      <c r="D73" s="333">
        <v>10</v>
      </c>
      <c r="E73" s="334" t="s">
        <v>123</v>
      </c>
      <c r="F73" s="333">
        <v>10</v>
      </c>
      <c r="G73" s="333"/>
      <c r="H73" s="332">
        <f>SUM(F73:G73)</f>
        <v>10</v>
      </c>
      <c r="I73" s="534">
        <v>3.51</v>
      </c>
      <c r="J73" s="330">
        <f>3.51*0.9</f>
        <v>3.1589999999999998</v>
      </c>
      <c r="K73" s="329">
        <f>(I73-J73)/I73</f>
        <v>0.1</v>
      </c>
      <c r="L73" s="328">
        <v>7470</v>
      </c>
      <c r="M73" s="327">
        <f>(H73*L73)*K73</f>
        <v>7470</v>
      </c>
      <c r="N73" s="383">
        <f>H73*I73*K73</f>
        <v>3.51</v>
      </c>
      <c r="O73" s="383">
        <v>17</v>
      </c>
      <c r="P73" s="384">
        <f>N73*1000*17</f>
        <v>59670</v>
      </c>
      <c r="Q73" s="532"/>
      <c r="T73" s="310"/>
    </row>
    <row r="74" spans="1:20" s="64" customFormat="1" ht="19.5" customHeight="1" x14ac:dyDescent="0.25">
      <c r="A74" s="377"/>
      <c r="B74" s="533"/>
      <c r="C74" s="378"/>
      <c r="D74" s="378"/>
      <c r="E74" s="380"/>
      <c r="F74" s="378"/>
      <c r="G74" s="378"/>
      <c r="H74" s="378"/>
      <c r="I74" s="375"/>
      <c r="J74" s="330"/>
      <c r="K74" s="329"/>
      <c r="L74" s="378"/>
      <c r="M74" s="378"/>
      <c r="N74" s="378"/>
      <c r="O74" s="381"/>
      <c r="P74" s="378"/>
      <c r="Q74" s="337"/>
      <c r="T74" s="310"/>
    </row>
    <row r="75" spans="1:20" s="64" customFormat="1" ht="19.5" customHeight="1" x14ac:dyDescent="0.25">
      <c r="A75" s="385" t="s">
        <v>256</v>
      </c>
      <c r="B75" s="535"/>
      <c r="C75" s="371"/>
      <c r="D75" s="369"/>
      <c r="E75" s="370"/>
      <c r="F75" s="369"/>
      <c r="G75" s="368"/>
      <c r="H75" s="367"/>
      <c r="I75" s="366"/>
      <c r="J75" s="365"/>
      <c r="K75" s="364"/>
      <c r="L75" s="363"/>
      <c r="M75" s="362"/>
      <c r="N75" s="361"/>
      <c r="O75" s="361"/>
      <c r="P75" s="360"/>
      <c r="Q75" s="359"/>
      <c r="T75" s="310"/>
    </row>
    <row r="76" spans="1:20" s="64" customFormat="1" ht="24.95" customHeight="1" x14ac:dyDescent="0.25">
      <c r="A76" s="532" t="s">
        <v>255</v>
      </c>
      <c r="B76" s="533"/>
      <c r="C76" s="335">
        <v>45</v>
      </c>
      <c r="D76" s="333">
        <v>36</v>
      </c>
      <c r="E76" s="334" t="s">
        <v>122</v>
      </c>
      <c r="F76" s="333"/>
      <c r="G76" s="333">
        <v>36</v>
      </c>
      <c r="H76" s="332">
        <f>SUM(F76:G76)</f>
        <v>36</v>
      </c>
      <c r="I76" s="534">
        <v>3.51</v>
      </c>
      <c r="J76" s="330">
        <f>3.51*0.7</f>
        <v>2.4569999999999999</v>
      </c>
      <c r="K76" s="329">
        <f>(I76-J76)/I76</f>
        <v>0.3</v>
      </c>
      <c r="L76" s="328">
        <v>43768</v>
      </c>
      <c r="M76" s="327">
        <f>(H76*L76)*K76</f>
        <v>472694.39999999997</v>
      </c>
      <c r="N76" s="383">
        <f>H76*I76*K76</f>
        <v>37.907999999999994</v>
      </c>
      <c r="O76" s="383">
        <v>17</v>
      </c>
      <c r="P76" s="384">
        <f>N76*1000*17</f>
        <v>644435.99999999988</v>
      </c>
      <c r="Q76" s="532"/>
      <c r="T76" s="310"/>
    </row>
    <row r="77" spans="1:20" s="64" customFormat="1" ht="24.95" customHeight="1" x14ac:dyDescent="0.25">
      <c r="A77" s="532" t="s">
        <v>72</v>
      </c>
      <c r="B77" s="533"/>
      <c r="C77" s="335">
        <v>47</v>
      </c>
      <c r="D77" s="333">
        <v>52</v>
      </c>
      <c r="E77" s="334" t="s">
        <v>123</v>
      </c>
      <c r="F77" s="333">
        <v>42</v>
      </c>
      <c r="G77" s="333">
        <v>10</v>
      </c>
      <c r="H77" s="332">
        <f>SUM(F77:G77)</f>
        <v>52</v>
      </c>
      <c r="I77" s="534">
        <v>3.51</v>
      </c>
      <c r="J77" s="330">
        <f>3.51*0.9</f>
        <v>3.1589999999999998</v>
      </c>
      <c r="K77" s="329">
        <f>(I77-J77)/I77</f>
        <v>0.1</v>
      </c>
      <c r="L77" s="328">
        <v>7470</v>
      </c>
      <c r="M77" s="327">
        <f>(H77*L77)*K77</f>
        <v>38844</v>
      </c>
      <c r="N77" s="383">
        <f>H77*I77*K77</f>
        <v>18.251999999999999</v>
      </c>
      <c r="O77" s="383">
        <v>17</v>
      </c>
      <c r="P77" s="384">
        <f>N77*1000*17</f>
        <v>310284</v>
      </c>
      <c r="Q77" s="532"/>
      <c r="T77" s="310"/>
    </row>
    <row r="78" spans="1:20" s="64" customFormat="1" ht="24.95" customHeight="1" x14ac:dyDescent="0.25">
      <c r="A78" s="532" t="s">
        <v>73</v>
      </c>
      <c r="B78" s="533"/>
      <c r="C78" s="335">
        <v>1200</v>
      </c>
      <c r="D78" s="333">
        <v>1071</v>
      </c>
      <c r="E78" s="334" t="s">
        <v>123</v>
      </c>
      <c r="F78" s="333">
        <v>1071</v>
      </c>
      <c r="G78" s="333"/>
      <c r="H78" s="332">
        <f>SUM(F78:G78)</f>
        <v>1071</v>
      </c>
      <c r="I78" s="534">
        <v>3.51</v>
      </c>
      <c r="J78" s="330">
        <f>3.51*0.9</f>
        <v>3.1589999999999998</v>
      </c>
      <c r="K78" s="329">
        <f>(I78-J78)/I78</f>
        <v>0.1</v>
      </c>
      <c r="L78" s="328">
        <v>7470</v>
      </c>
      <c r="M78" s="327">
        <f>(H78*L78)*K78</f>
        <v>800037</v>
      </c>
      <c r="N78" s="383">
        <f>H78*I78*K78</f>
        <v>375.92099999999999</v>
      </c>
      <c r="O78" s="383">
        <v>17</v>
      </c>
      <c r="P78" s="384">
        <f>N78*1000*17</f>
        <v>6390657</v>
      </c>
      <c r="Q78" s="532"/>
      <c r="T78" s="310"/>
    </row>
    <row r="79" spans="1:20" s="461" customFormat="1" ht="24.95" customHeight="1" x14ac:dyDescent="0.25">
      <c r="A79" s="546" t="s">
        <v>103</v>
      </c>
      <c r="B79" s="547"/>
      <c r="C79" s="448">
        <v>295</v>
      </c>
      <c r="D79" s="448">
        <v>1030.0900000000001</v>
      </c>
      <c r="E79" s="448">
        <v>0</v>
      </c>
      <c r="F79" s="448">
        <v>824</v>
      </c>
      <c r="G79" s="448">
        <v>206</v>
      </c>
      <c r="H79" s="448">
        <v>1030</v>
      </c>
      <c r="I79" s="448">
        <v>7.02</v>
      </c>
      <c r="J79" s="448">
        <v>5.6159999999999997</v>
      </c>
      <c r="K79" s="448">
        <v>0.4</v>
      </c>
      <c r="L79" s="448">
        <v>51238</v>
      </c>
      <c r="M79" s="448">
        <v>4385362.8</v>
      </c>
      <c r="N79" s="448">
        <v>566.5139999999999</v>
      </c>
      <c r="O79" s="448">
        <v>34</v>
      </c>
      <c r="P79" s="448">
        <v>9630737.9999999981</v>
      </c>
      <c r="Q79" s="546"/>
      <c r="T79" s="462"/>
    </row>
    <row r="80" spans="1:20" s="64" customFormat="1" ht="24.95" customHeight="1" x14ac:dyDescent="0.25">
      <c r="A80" s="532" t="s">
        <v>74</v>
      </c>
      <c r="B80" s="533"/>
      <c r="C80" s="335">
        <v>2982</v>
      </c>
      <c r="D80" s="333">
        <v>6429</v>
      </c>
      <c r="E80" s="334" t="s">
        <v>123</v>
      </c>
      <c r="F80" s="333">
        <v>4628.25</v>
      </c>
      <c r="G80" s="333">
        <v>1800.75</v>
      </c>
      <c r="H80" s="332">
        <f t="shared" ref="H80:H87" si="6">SUM(F80:G80)</f>
        <v>6429</v>
      </c>
      <c r="I80" s="534">
        <v>3.51</v>
      </c>
      <c r="J80" s="330">
        <f>3.51*0.9</f>
        <v>3.1589999999999998</v>
      </c>
      <c r="K80" s="329">
        <f t="shared" ref="K80:K87" si="7">(I80-J80)/I80</f>
        <v>0.1</v>
      </c>
      <c r="L80" s="328">
        <v>7470</v>
      </c>
      <c r="M80" s="327">
        <f t="shared" ref="M80:M87" si="8">(H80*L80)*K80</f>
        <v>4802463</v>
      </c>
      <c r="N80" s="383">
        <f t="shared" ref="N80:N87" si="9">H80*I80*K80</f>
        <v>2256.5789999999997</v>
      </c>
      <c r="O80" s="383">
        <v>17</v>
      </c>
      <c r="P80" s="384">
        <f t="shared" ref="P80:P87" si="10">N80*1000*17</f>
        <v>38361842.999999993</v>
      </c>
      <c r="Q80" s="532"/>
      <c r="T80" s="310"/>
    </row>
    <row r="81" spans="1:20" s="64" customFormat="1" ht="24.95" customHeight="1" x14ac:dyDescent="0.25">
      <c r="A81" s="532" t="s">
        <v>254</v>
      </c>
      <c r="B81" s="533"/>
      <c r="C81" s="335">
        <v>2</v>
      </c>
      <c r="D81" s="333">
        <v>2</v>
      </c>
      <c r="E81" s="334" t="s">
        <v>123</v>
      </c>
      <c r="F81" s="333">
        <v>2</v>
      </c>
      <c r="G81" s="333"/>
      <c r="H81" s="332">
        <f t="shared" si="6"/>
        <v>2</v>
      </c>
      <c r="I81" s="534">
        <v>3.51</v>
      </c>
      <c r="J81" s="330">
        <f>3.51*0.9</f>
        <v>3.1589999999999998</v>
      </c>
      <c r="K81" s="329">
        <f t="shared" si="7"/>
        <v>0.1</v>
      </c>
      <c r="L81" s="328">
        <v>7470</v>
      </c>
      <c r="M81" s="327">
        <f t="shared" si="8"/>
        <v>1494</v>
      </c>
      <c r="N81" s="383">
        <f t="shared" si="9"/>
        <v>0.70199999999999996</v>
      </c>
      <c r="O81" s="383">
        <v>17</v>
      </c>
      <c r="P81" s="384">
        <f t="shared" si="10"/>
        <v>11934</v>
      </c>
      <c r="Q81" s="532"/>
      <c r="T81" s="310"/>
    </row>
    <row r="82" spans="1:20" s="64" customFormat="1" ht="24.95" customHeight="1" x14ac:dyDescent="0.25">
      <c r="A82" s="410" t="s">
        <v>75</v>
      </c>
      <c r="B82" s="533"/>
      <c r="C82" s="335">
        <v>3</v>
      </c>
      <c r="D82" s="333">
        <v>3</v>
      </c>
      <c r="E82" s="334" t="s">
        <v>219</v>
      </c>
      <c r="F82" s="333"/>
      <c r="G82" s="333">
        <v>2.5</v>
      </c>
      <c r="H82" s="332">
        <f t="shared" si="6"/>
        <v>2.5</v>
      </c>
      <c r="I82" s="534">
        <v>3.51</v>
      </c>
      <c r="J82" s="330">
        <f>3.51*0.7</f>
        <v>2.4569999999999999</v>
      </c>
      <c r="K82" s="329">
        <f t="shared" si="7"/>
        <v>0.3</v>
      </c>
      <c r="L82" s="328">
        <v>33464</v>
      </c>
      <c r="M82" s="327">
        <f t="shared" si="8"/>
        <v>25098</v>
      </c>
      <c r="N82" s="383">
        <f t="shared" si="9"/>
        <v>2.6324999999999994</v>
      </c>
      <c r="O82" s="383">
        <v>17</v>
      </c>
      <c r="P82" s="384">
        <f t="shared" si="10"/>
        <v>44752.499999999993</v>
      </c>
      <c r="Q82" s="532"/>
      <c r="T82" s="310"/>
    </row>
    <row r="83" spans="1:20" s="64" customFormat="1" ht="24.95" customHeight="1" x14ac:dyDescent="0.25">
      <c r="A83" s="532" t="s">
        <v>76</v>
      </c>
      <c r="B83" s="533"/>
      <c r="C83" s="335">
        <v>25</v>
      </c>
      <c r="D83" s="333">
        <v>15</v>
      </c>
      <c r="E83" s="334" t="s">
        <v>219</v>
      </c>
      <c r="F83" s="333"/>
      <c r="G83" s="333">
        <v>15</v>
      </c>
      <c r="H83" s="332">
        <f t="shared" si="6"/>
        <v>15</v>
      </c>
      <c r="I83" s="534">
        <v>3.51</v>
      </c>
      <c r="J83" s="330">
        <f>3.51*0.7</f>
        <v>2.4569999999999999</v>
      </c>
      <c r="K83" s="329">
        <f t="shared" si="7"/>
        <v>0.3</v>
      </c>
      <c r="L83" s="328">
        <v>43768</v>
      </c>
      <c r="M83" s="327">
        <f t="shared" si="8"/>
        <v>196956</v>
      </c>
      <c r="N83" s="383">
        <f t="shared" si="9"/>
        <v>15.794999999999998</v>
      </c>
      <c r="O83" s="383">
        <v>17</v>
      </c>
      <c r="P83" s="384">
        <f t="shared" si="10"/>
        <v>268514.99999999994</v>
      </c>
      <c r="Q83" s="532"/>
      <c r="T83" s="310"/>
    </row>
    <row r="84" spans="1:20" s="64" customFormat="1" ht="24.95" customHeight="1" x14ac:dyDescent="0.25">
      <c r="A84" s="532" t="s">
        <v>253</v>
      </c>
      <c r="B84" s="533"/>
      <c r="C84" s="335">
        <v>165</v>
      </c>
      <c r="D84" s="333">
        <v>188</v>
      </c>
      <c r="E84" s="334" t="s">
        <v>123</v>
      </c>
      <c r="F84" s="333">
        <v>188</v>
      </c>
      <c r="G84" s="333"/>
      <c r="H84" s="332">
        <f t="shared" si="6"/>
        <v>188</v>
      </c>
      <c r="I84" s="534">
        <v>3.51</v>
      </c>
      <c r="J84" s="330">
        <f>3.51*0.9</f>
        <v>3.1589999999999998</v>
      </c>
      <c r="K84" s="329">
        <f t="shared" si="7"/>
        <v>0.1</v>
      </c>
      <c r="L84" s="328">
        <v>7470</v>
      </c>
      <c r="M84" s="327">
        <f t="shared" si="8"/>
        <v>140436</v>
      </c>
      <c r="N84" s="383">
        <f t="shared" si="9"/>
        <v>65.988</v>
      </c>
      <c r="O84" s="383">
        <v>17</v>
      </c>
      <c r="P84" s="384">
        <f t="shared" si="10"/>
        <v>1121796</v>
      </c>
      <c r="Q84" s="532"/>
      <c r="T84" s="310"/>
    </row>
    <row r="85" spans="1:20" s="64" customFormat="1" ht="24.95" customHeight="1" x14ac:dyDescent="0.25">
      <c r="A85" s="532" t="s">
        <v>77</v>
      </c>
      <c r="B85" s="533"/>
      <c r="C85" s="335">
        <v>10</v>
      </c>
      <c r="D85" s="333">
        <v>8</v>
      </c>
      <c r="E85" s="334" t="s">
        <v>123</v>
      </c>
      <c r="F85" s="333">
        <v>4</v>
      </c>
      <c r="G85" s="333">
        <v>4</v>
      </c>
      <c r="H85" s="332">
        <f t="shared" si="6"/>
        <v>8</v>
      </c>
      <c r="I85" s="534">
        <v>3.51</v>
      </c>
      <c r="J85" s="330">
        <f>3.51*0.9</f>
        <v>3.1589999999999998</v>
      </c>
      <c r="K85" s="329">
        <f t="shared" si="7"/>
        <v>0.1</v>
      </c>
      <c r="L85" s="328">
        <v>7470</v>
      </c>
      <c r="M85" s="327">
        <f t="shared" si="8"/>
        <v>5976</v>
      </c>
      <c r="N85" s="383">
        <f t="shared" si="9"/>
        <v>2.8079999999999998</v>
      </c>
      <c r="O85" s="383">
        <v>17</v>
      </c>
      <c r="P85" s="384">
        <f t="shared" si="10"/>
        <v>47736</v>
      </c>
      <c r="Q85" s="532"/>
      <c r="T85" s="310"/>
    </row>
    <row r="86" spans="1:20" s="64" customFormat="1" ht="24.95" customHeight="1" x14ac:dyDescent="0.25">
      <c r="A86" s="532" t="s">
        <v>2</v>
      </c>
      <c r="B86" s="533"/>
      <c r="C86" s="335">
        <v>5</v>
      </c>
      <c r="D86" s="333">
        <v>5</v>
      </c>
      <c r="E86" s="334" t="s">
        <v>123</v>
      </c>
      <c r="F86" s="333">
        <v>5</v>
      </c>
      <c r="G86" s="333"/>
      <c r="H86" s="332">
        <f t="shared" si="6"/>
        <v>5</v>
      </c>
      <c r="I86" s="534">
        <v>3.51</v>
      </c>
      <c r="J86" s="330">
        <f>3.51*0.9</f>
        <v>3.1589999999999998</v>
      </c>
      <c r="K86" s="329">
        <f t="shared" si="7"/>
        <v>0.1</v>
      </c>
      <c r="L86" s="328">
        <v>7470</v>
      </c>
      <c r="M86" s="327">
        <f t="shared" si="8"/>
        <v>3735</v>
      </c>
      <c r="N86" s="383">
        <f t="shared" si="9"/>
        <v>1.7549999999999999</v>
      </c>
      <c r="O86" s="383">
        <v>17</v>
      </c>
      <c r="P86" s="384">
        <f t="shared" si="10"/>
        <v>29835</v>
      </c>
      <c r="Q86" s="532"/>
      <c r="T86" s="310"/>
    </row>
    <row r="87" spans="1:20" s="64" customFormat="1" ht="24.95" customHeight="1" x14ac:dyDescent="0.25">
      <c r="A87" s="532" t="s">
        <v>252</v>
      </c>
      <c r="B87" s="533"/>
      <c r="C87" s="335">
        <v>384</v>
      </c>
      <c r="D87" s="333">
        <v>199</v>
      </c>
      <c r="E87" s="334" t="s">
        <v>123</v>
      </c>
      <c r="F87" s="333">
        <v>199</v>
      </c>
      <c r="G87" s="333"/>
      <c r="H87" s="332">
        <f t="shared" si="6"/>
        <v>199</v>
      </c>
      <c r="I87" s="534">
        <v>3.51</v>
      </c>
      <c r="J87" s="330">
        <f>3.51*0.9</f>
        <v>3.1589999999999998</v>
      </c>
      <c r="K87" s="329">
        <f t="shared" si="7"/>
        <v>0.1</v>
      </c>
      <c r="L87" s="328">
        <v>33464</v>
      </c>
      <c r="M87" s="327">
        <f t="shared" si="8"/>
        <v>665933.60000000009</v>
      </c>
      <c r="N87" s="383">
        <f t="shared" si="9"/>
        <v>69.849000000000004</v>
      </c>
      <c r="O87" s="383">
        <v>17</v>
      </c>
      <c r="P87" s="384">
        <f t="shared" si="10"/>
        <v>1187433</v>
      </c>
      <c r="Q87" s="532"/>
      <c r="T87" s="310"/>
    </row>
    <row r="88" spans="1:20" s="461" customFormat="1" ht="24.95" customHeight="1" x14ac:dyDescent="0.25">
      <c r="A88" s="546" t="s">
        <v>79</v>
      </c>
      <c r="B88" s="547"/>
      <c r="C88" s="448">
        <v>275</v>
      </c>
      <c r="D88" s="448">
        <v>270</v>
      </c>
      <c r="E88" s="448">
        <v>0</v>
      </c>
      <c r="F88" s="448">
        <v>200</v>
      </c>
      <c r="G88" s="448">
        <v>70</v>
      </c>
      <c r="H88" s="448">
        <v>270</v>
      </c>
      <c r="I88" s="448">
        <v>7.02</v>
      </c>
      <c r="J88" s="448">
        <v>5.6159999999999997</v>
      </c>
      <c r="K88" s="448">
        <v>0.4</v>
      </c>
      <c r="L88" s="448">
        <v>77232</v>
      </c>
      <c r="M88" s="448">
        <v>2860328</v>
      </c>
      <c r="N88" s="448">
        <v>235.17</v>
      </c>
      <c r="O88" s="448">
        <v>34</v>
      </c>
      <c r="P88" s="448">
        <v>3997890</v>
      </c>
      <c r="Q88" s="546"/>
      <c r="T88" s="462"/>
    </row>
    <row r="89" spans="1:20" s="64" customFormat="1" ht="24.95" customHeight="1" x14ac:dyDescent="0.25">
      <c r="A89" s="532" t="s">
        <v>80</v>
      </c>
      <c r="B89" s="533"/>
      <c r="C89" s="335">
        <v>155</v>
      </c>
      <c r="D89" s="333">
        <v>152</v>
      </c>
      <c r="E89" s="334" t="s">
        <v>122</v>
      </c>
      <c r="F89" s="333">
        <v>152</v>
      </c>
      <c r="G89" s="333"/>
      <c r="H89" s="332">
        <f>SUM(F89:G89)</f>
        <v>152</v>
      </c>
      <c r="I89" s="534">
        <v>3.51</v>
      </c>
      <c r="J89" s="330">
        <f>3.51*0.7</f>
        <v>2.4569999999999999</v>
      </c>
      <c r="K89" s="329">
        <f>(I89-J89)/I89</f>
        <v>0.3</v>
      </c>
      <c r="L89" s="328">
        <v>43768</v>
      </c>
      <c r="M89" s="327">
        <f>(H89*L89)*K89</f>
        <v>1995820.7999999998</v>
      </c>
      <c r="N89" s="383">
        <f>H89*I89*K89</f>
        <v>160.05599999999998</v>
      </c>
      <c r="O89" s="383">
        <v>17</v>
      </c>
      <c r="P89" s="384">
        <f>N89*1000*17</f>
        <v>2720951.9999999995</v>
      </c>
      <c r="Q89" s="532"/>
      <c r="T89" s="310"/>
    </row>
    <row r="90" spans="1:20" s="64" customFormat="1" ht="24.95" customHeight="1" x14ac:dyDescent="0.25">
      <c r="A90" s="532" t="s">
        <v>251</v>
      </c>
      <c r="B90" s="533"/>
      <c r="C90" s="335">
        <v>34</v>
      </c>
      <c r="D90" s="333">
        <v>36</v>
      </c>
      <c r="E90" s="334" t="s">
        <v>123</v>
      </c>
      <c r="F90" s="333">
        <v>36</v>
      </c>
      <c r="G90" s="332"/>
      <c r="H90" s="332">
        <f>SUM(F90:G90)</f>
        <v>36</v>
      </c>
      <c r="I90" s="534">
        <v>3.51</v>
      </c>
      <c r="J90" s="330">
        <f>3.51*0.9</f>
        <v>3.1589999999999998</v>
      </c>
      <c r="K90" s="329">
        <f>(I90-J90)/I90</f>
        <v>0.1</v>
      </c>
      <c r="L90" s="328">
        <v>33464</v>
      </c>
      <c r="M90" s="327">
        <f>(H90*L90)*K90</f>
        <v>120470.40000000001</v>
      </c>
      <c r="N90" s="383">
        <f>H90*I90*K90</f>
        <v>12.635999999999999</v>
      </c>
      <c r="O90" s="383">
        <v>17</v>
      </c>
      <c r="P90" s="384">
        <f>N90*1000*17</f>
        <v>214812</v>
      </c>
      <c r="Q90" s="532"/>
      <c r="T90" s="310"/>
    </row>
    <row r="91" spans="1:20" s="461" customFormat="1" ht="24.95" customHeight="1" x14ac:dyDescent="0.25">
      <c r="A91" s="546" t="s">
        <v>250</v>
      </c>
      <c r="B91" s="547"/>
      <c r="C91" s="448">
        <v>428</v>
      </c>
      <c r="D91" s="448">
        <v>415.5</v>
      </c>
      <c r="E91" s="448">
        <v>0</v>
      </c>
      <c r="F91" s="448">
        <v>350</v>
      </c>
      <c r="G91" s="448">
        <v>65.5</v>
      </c>
      <c r="H91" s="448">
        <v>415.5</v>
      </c>
      <c r="I91" s="448">
        <v>7.02</v>
      </c>
      <c r="J91" s="448">
        <v>5.6159999999999997</v>
      </c>
      <c r="K91" s="448">
        <v>0.4</v>
      </c>
      <c r="L91" s="448">
        <v>77232</v>
      </c>
      <c r="M91" s="448">
        <v>2031281.2</v>
      </c>
      <c r="N91" s="448">
        <v>191.82150000000001</v>
      </c>
      <c r="O91" s="448">
        <v>34</v>
      </c>
      <c r="P91" s="448">
        <v>3260965.5</v>
      </c>
      <c r="Q91" s="546"/>
      <c r="T91" s="462"/>
    </row>
    <row r="92" spans="1:20" s="461" customFormat="1" ht="24.95" customHeight="1" x14ac:dyDescent="0.25">
      <c r="A92" s="546" t="s">
        <v>116</v>
      </c>
      <c r="B92" s="547"/>
      <c r="C92" s="448">
        <v>557</v>
      </c>
      <c r="D92" s="448">
        <v>542.5</v>
      </c>
      <c r="E92" s="448">
        <v>0</v>
      </c>
      <c r="F92" s="448">
        <v>490.5</v>
      </c>
      <c r="G92" s="448">
        <v>52</v>
      </c>
      <c r="H92" s="448">
        <v>542.5</v>
      </c>
      <c r="I92" s="448">
        <v>7.02</v>
      </c>
      <c r="J92" s="448">
        <v>5.6159999999999997</v>
      </c>
      <c r="K92" s="448">
        <v>0.4</v>
      </c>
      <c r="L92" s="448">
        <v>66928</v>
      </c>
      <c r="M92" s="448">
        <v>2163447.6</v>
      </c>
      <c r="N92" s="448">
        <v>226.92150000000001</v>
      </c>
      <c r="O92" s="448">
        <v>34</v>
      </c>
      <c r="P92" s="448">
        <v>3857665.5</v>
      </c>
      <c r="Q92" s="546"/>
      <c r="T92" s="462"/>
    </row>
    <row r="93" spans="1:20" s="64" customFormat="1" ht="24.95" customHeight="1" x14ac:dyDescent="0.25">
      <c r="A93" s="532" t="s">
        <v>82</v>
      </c>
      <c r="B93" s="533"/>
      <c r="C93" s="335">
        <v>1341</v>
      </c>
      <c r="D93" s="333">
        <v>1283</v>
      </c>
      <c r="E93" s="334" t="s">
        <v>123</v>
      </c>
      <c r="F93" s="333">
        <v>1283</v>
      </c>
      <c r="G93" s="333"/>
      <c r="H93" s="332">
        <f>SUM(F93:G93)</f>
        <v>1283</v>
      </c>
      <c r="I93" s="534">
        <v>3.51</v>
      </c>
      <c r="J93" s="330">
        <f>3.51*0.9</f>
        <v>3.1589999999999998</v>
      </c>
      <c r="K93" s="329">
        <f>(I93-J93)/I93</f>
        <v>0.1</v>
      </c>
      <c r="L93" s="328">
        <v>33464</v>
      </c>
      <c r="M93" s="327">
        <f>(H93*L93)*K93</f>
        <v>4293431.2</v>
      </c>
      <c r="N93" s="383">
        <f>H93*I93*K93</f>
        <v>450.33300000000003</v>
      </c>
      <c r="O93" s="383">
        <v>17</v>
      </c>
      <c r="P93" s="384">
        <f>N93*1000*17</f>
        <v>7655661</v>
      </c>
      <c r="Q93" s="532"/>
      <c r="T93" s="310"/>
    </row>
    <row r="94" spans="1:20" s="64" customFormat="1" ht="24.95" customHeight="1" x14ac:dyDescent="0.25">
      <c r="A94" s="377"/>
      <c r="B94" s="533"/>
      <c r="C94" s="378"/>
      <c r="D94" s="378"/>
      <c r="E94" s="380"/>
      <c r="F94" s="378"/>
      <c r="G94" s="378"/>
      <c r="H94" s="378"/>
      <c r="I94" s="375"/>
      <c r="J94" s="330"/>
      <c r="K94" s="329"/>
      <c r="L94" s="378"/>
      <c r="M94" s="378"/>
      <c r="N94" s="378"/>
      <c r="O94" s="381"/>
      <c r="P94" s="378"/>
      <c r="Q94" s="337"/>
      <c r="T94" s="310"/>
    </row>
    <row r="95" spans="1:20" s="64" customFormat="1" ht="19.5" customHeight="1" x14ac:dyDescent="0.25">
      <c r="A95" s="385" t="s">
        <v>249</v>
      </c>
      <c r="B95" s="535"/>
      <c r="C95" s="371"/>
      <c r="D95" s="369"/>
      <c r="E95" s="370"/>
      <c r="F95" s="369"/>
      <c r="G95" s="368"/>
      <c r="H95" s="367"/>
      <c r="I95" s="366"/>
      <c r="J95" s="365"/>
      <c r="K95" s="364"/>
      <c r="L95" s="363"/>
      <c r="M95" s="362"/>
      <c r="N95" s="361"/>
      <c r="O95" s="361"/>
      <c r="P95" s="360"/>
      <c r="Q95" s="359"/>
      <c r="T95" s="310"/>
    </row>
    <row r="96" spans="1:20" s="64" customFormat="1" ht="24.95" customHeight="1" x14ac:dyDescent="0.25">
      <c r="A96" s="532" t="s">
        <v>85</v>
      </c>
      <c r="B96" s="533"/>
      <c r="C96" s="335">
        <v>13</v>
      </c>
      <c r="D96" s="333">
        <v>13</v>
      </c>
      <c r="E96" s="334" t="s">
        <v>122</v>
      </c>
      <c r="F96" s="333">
        <v>13</v>
      </c>
      <c r="G96" s="333"/>
      <c r="H96" s="332">
        <f t="shared" ref="H96:H106" si="11">SUM(F96:G96)</f>
        <v>13</v>
      </c>
      <c r="I96" s="534">
        <v>3.51</v>
      </c>
      <c r="J96" s="330">
        <f>3.51*0.8</f>
        <v>2.8079999999999998</v>
      </c>
      <c r="K96" s="329">
        <f t="shared" ref="K96:K106" si="12">(I96-J96)/I96</f>
        <v>0.2</v>
      </c>
      <c r="L96" s="328">
        <v>43768</v>
      </c>
      <c r="M96" s="327">
        <f t="shared" ref="M96:M106" si="13">(H96*L96)*K96</f>
        <v>113796.8</v>
      </c>
      <c r="N96" s="383">
        <f t="shared" ref="N96:N106" si="14">H96*I96*K96</f>
        <v>9.1259999999999994</v>
      </c>
      <c r="O96" s="383">
        <v>17</v>
      </c>
      <c r="P96" s="384">
        <f t="shared" ref="P96:P106" si="15">N96*1000*17</f>
        <v>155142</v>
      </c>
      <c r="Q96" s="532"/>
      <c r="T96" s="310"/>
    </row>
    <row r="97" spans="1:20" s="64" customFormat="1" ht="24.95" customHeight="1" x14ac:dyDescent="0.25">
      <c r="A97" s="532" t="s">
        <v>188</v>
      </c>
      <c r="B97" s="533"/>
      <c r="C97" s="335">
        <v>314</v>
      </c>
      <c r="D97" s="333">
        <v>515</v>
      </c>
      <c r="E97" s="334" t="s">
        <v>123</v>
      </c>
      <c r="F97" s="333">
        <v>252.35</v>
      </c>
      <c r="G97" s="333">
        <v>262.64999999999998</v>
      </c>
      <c r="H97" s="332">
        <f t="shared" si="11"/>
        <v>515</v>
      </c>
      <c r="I97" s="534">
        <v>3.51</v>
      </c>
      <c r="J97" s="330">
        <f t="shared" ref="J97:J106" si="16">3.51*0.9</f>
        <v>3.1589999999999998</v>
      </c>
      <c r="K97" s="329">
        <f t="shared" si="12"/>
        <v>0.1</v>
      </c>
      <c r="L97" s="328">
        <v>7470</v>
      </c>
      <c r="M97" s="327">
        <f t="shared" si="13"/>
        <v>384705</v>
      </c>
      <c r="N97" s="383">
        <f t="shared" si="14"/>
        <v>180.76499999999999</v>
      </c>
      <c r="O97" s="383">
        <v>17</v>
      </c>
      <c r="P97" s="384">
        <f t="shared" si="15"/>
        <v>3073005</v>
      </c>
      <c r="Q97" s="532"/>
      <c r="T97" s="310"/>
    </row>
    <row r="98" spans="1:20" s="64" customFormat="1" ht="24.95" customHeight="1" x14ac:dyDescent="0.25">
      <c r="A98" s="532" t="s">
        <v>87</v>
      </c>
      <c r="B98" s="533"/>
      <c r="C98" s="335">
        <v>123</v>
      </c>
      <c r="D98" s="333">
        <v>100</v>
      </c>
      <c r="E98" s="334" t="s">
        <v>123</v>
      </c>
      <c r="F98" s="333">
        <v>100</v>
      </c>
      <c r="G98" s="333"/>
      <c r="H98" s="332">
        <f t="shared" si="11"/>
        <v>100</v>
      </c>
      <c r="I98" s="534">
        <v>3.51</v>
      </c>
      <c r="J98" s="330">
        <f t="shared" si="16"/>
        <v>3.1589999999999998</v>
      </c>
      <c r="K98" s="329">
        <f t="shared" si="12"/>
        <v>0.1</v>
      </c>
      <c r="L98" s="328">
        <v>7470</v>
      </c>
      <c r="M98" s="327">
        <f t="shared" si="13"/>
        <v>74700</v>
      </c>
      <c r="N98" s="383">
        <f t="shared" si="14"/>
        <v>35.1</v>
      </c>
      <c r="O98" s="383">
        <v>17</v>
      </c>
      <c r="P98" s="384">
        <f t="shared" si="15"/>
        <v>596700</v>
      </c>
      <c r="Q98" s="532"/>
      <c r="T98" s="310"/>
    </row>
    <row r="99" spans="1:20" s="64" customFormat="1" ht="24.95" customHeight="1" x14ac:dyDescent="0.25">
      <c r="A99" s="532" t="s">
        <v>86</v>
      </c>
      <c r="B99" s="533"/>
      <c r="C99" s="335">
        <v>58</v>
      </c>
      <c r="D99" s="333">
        <v>55</v>
      </c>
      <c r="E99" s="334" t="s">
        <v>123</v>
      </c>
      <c r="F99" s="333">
        <v>55</v>
      </c>
      <c r="G99" s="333"/>
      <c r="H99" s="332">
        <f t="shared" si="11"/>
        <v>55</v>
      </c>
      <c r="I99" s="534">
        <v>3.51</v>
      </c>
      <c r="J99" s="330">
        <f t="shared" si="16"/>
        <v>3.1589999999999998</v>
      </c>
      <c r="K99" s="329">
        <f t="shared" si="12"/>
        <v>0.1</v>
      </c>
      <c r="L99" s="328">
        <v>7470</v>
      </c>
      <c r="M99" s="327">
        <f t="shared" si="13"/>
        <v>41085</v>
      </c>
      <c r="N99" s="383">
        <f t="shared" si="14"/>
        <v>19.305</v>
      </c>
      <c r="O99" s="383">
        <v>17</v>
      </c>
      <c r="P99" s="384">
        <f t="shared" si="15"/>
        <v>328185</v>
      </c>
      <c r="Q99" s="532"/>
      <c r="T99" s="310"/>
    </row>
    <row r="100" spans="1:20" s="64" customFormat="1" ht="24.95" customHeight="1" x14ac:dyDescent="0.25">
      <c r="A100" s="532" t="s">
        <v>101</v>
      </c>
      <c r="B100" s="533"/>
      <c r="C100" s="335">
        <v>104</v>
      </c>
      <c r="D100" s="333">
        <v>134</v>
      </c>
      <c r="E100" s="334" t="s">
        <v>123</v>
      </c>
      <c r="F100" s="333">
        <v>97</v>
      </c>
      <c r="G100" s="333">
        <v>37</v>
      </c>
      <c r="H100" s="332">
        <f t="shared" si="11"/>
        <v>134</v>
      </c>
      <c r="I100" s="534">
        <v>3.51</v>
      </c>
      <c r="J100" s="330">
        <f t="shared" si="16"/>
        <v>3.1589999999999998</v>
      </c>
      <c r="K100" s="329">
        <f t="shared" si="12"/>
        <v>0.1</v>
      </c>
      <c r="L100" s="328">
        <v>7470</v>
      </c>
      <c r="M100" s="327">
        <f t="shared" si="13"/>
        <v>100098</v>
      </c>
      <c r="N100" s="383">
        <f t="shared" si="14"/>
        <v>47.033999999999999</v>
      </c>
      <c r="O100" s="383">
        <v>17</v>
      </c>
      <c r="P100" s="384">
        <f t="shared" si="15"/>
        <v>799578</v>
      </c>
      <c r="Q100" s="532"/>
      <c r="T100" s="310"/>
    </row>
    <row r="101" spans="1:20" s="64" customFormat="1" ht="24.95" customHeight="1" x14ac:dyDescent="0.25">
      <c r="A101" s="532" t="s">
        <v>112</v>
      </c>
      <c r="B101" s="533"/>
      <c r="C101" s="335">
        <v>298</v>
      </c>
      <c r="D101" s="333">
        <v>310</v>
      </c>
      <c r="E101" s="334" t="s">
        <v>123</v>
      </c>
      <c r="F101" s="333">
        <v>270</v>
      </c>
      <c r="G101" s="333">
        <v>40</v>
      </c>
      <c r="H101" s="332">
        <f t="shared" si="11"/>
        <v>310</v>
      </c>
      <c r="I101" s="534">
        <v>3.51</v>
      </c>
      <c r="J101" s="330">
        <f t="shared" si="16"/>
        <v>3.1589999999999998</v>
      </c>
      <c r="K101" s="329">
        <f t="shared" si="12"/>
        <v>0.1</v>
      </c>
      <c r="L101" s="328">
        <v>7470</v>
      </c>
      <c r="M101" s="327">
        <f t="shared" si="13"/>
        <v>231570</v>
      </c>
      <c r="N101" s="383">
        <f t="shared" si="14"/>
        <v>108.81</v>
      </c>
      <c r="O101" s="383">
        <v>17</v>
      </c>
      <c r="P101" s="384">
        <f t="shared" si="15"/>
        <v>1849770</v>
      </c>
      <c r="Q101" s="532"/>
      <c r="T101" s="310"/>
    </row>
    <row r="102" spans="1:20" s="64" customFormat="1" ht="24.95" customHeight="1" x14ac:dyDescent="0.25">
      <c r="A102" s="532" t="s">
        <v>248</v>
      </c>
      <c r="B102" s="533"/>
      <c r="C102" s="335">
        <v>69</v>
      </c>
      <c r="D102" s="333">
        <v>83</v>
      </c>
      <c r="E102" s="334" t="s">
        <v>123</v>
      </c>
      <c r="F102" s="333">
        <v>83</v>
      </c>
      <c r="G102" s="333"/>
      <c r="H102" s="332">
        <f t="shared" si="11"/>
        <v>83</v>
      </c>
      <c r="I102" s="534">
        <v>3.51</v>
      </c>
      <c r="J102" s="330">
        <f t="shared" si="16"/>
        <v>3.1589999999999998</v>
      </c>
      <c r="K102" s="329">
        <f t="shared" si="12"/>
        <v>0.1</v>
      </c>
      <c r="L102" s="328">
        <v>7470</v>
      </c>
      <c r="M102" s="327">
        <f t="shared" si="13"/>
        <v>62001</v>
      </c>
      <c r="N102" s="383">
        <f t="shared" si="14"/>
        <v>29.132999999999999</v>
      </c>
      <c r="O102" s="383">
        <v>17</v>
      </c>
      <c r="P102" s="384">
        <f t="shared" si="15"/>
        <v>495261</v>
      </c>
      <c r="Q102" s="532"/>
      <c r="T102" s="310"/>
    </row>
    <row r="103" spans="1:20" s="64" customFormat="1" ht="24.95" customHeight="1" x14ac:dyDescent="0.25">
      <c r="A103" s="532" t="s">
        <v>106</v>
      </c>
      <c r="B103" s="533"/>
      <c r="C103" s="335">
        <v>90</v>
      </c>
      <c r="D103" s="333">
        <v>75</v>
      </c>
      <c r="E103" s="334" t="s">
        <v>123</v>
      </c>
      <c r="F103" s="333">
        <v>75</v>
      </c>
      <c r="G103" s="333"/>
      <c r="H103" s="332">
        <f t="shared" si="11"/>
        <v>75</v>
      </c>
      <c r="I103" s="534">
        <v>3.51</v>
      </c>
      <c r="J103" s="330">
        <f t="shared" si="16"/>
        <v>3.1589999999999998</v>
      </c>
      <c r="K103" s="329">
        <f t="shared" si="12"/>
        <v>0.1</v>
      </c>
      <c r="L103" s="328">
        <v>7470</v>
      </c>
      <c r="M103" s="327">
        <f t="shared" si="13"/>
        <v>56025</v>
      </c>
      <c r="N103" s="383">
        <f t="shared" si="14"/>
        <v>26.325000000000003</v>
      </c>
      <c r="O103" s="383">
        <v>17</v>
      </c>
      <c r="P103" s="384">
        <f t="shared" si="15"/>
        <v>447525.00000000006</v>
      </c>
      <c r="Q103" s="532"/>
      <c r="T103" s="310"/>
    </row>
    <row r="104" spans="1:20" s="64" customFormat="1" ht="24.95" customHeight="1" x14ac:dyDescent="0.25">
      <c r="A104" s="532" t="s">
        <v>240</v>
      </c>
      <c r="B104" s="533"/>
      <c r="C104" s="335"/>
      <c r="D104" s="333">
        <v>693.5</v>
      </c>
      <c r="E104" s="334" t="s">
        <v>123</v>
      </c>
      <c r="F104" s="333">
        <v>104.02500000000001</v>
      </c>
      <c r="G104" s="333">
        <v>589.47500000000002</v>
      </c>
      <c r="H104" s="332">
        <f t="shared" si="11"/>
        <v>693.5</v>
      </c>
      <c r="I104" s="534">
        <v>3.51</v>
      </c>
      <c r="J104" s="330">
        <f t="shared" si="16"/>
        <v>3.1589999999999998</v>
      </c>
      <c r="K104" s="329">
        <f t="shared" si="12"/>
        <v>0.1</v>
      </c>
      <c r="L104" s="328">
        <v>7470</v>
      </c>
      <c r="M104" s="327">
        <f t="shared" si="13"/>
        <v>518044.5</v>
      </c>
      <c r="N104" s="383">
        <f t="shared" si="14"/>
        <v>243.41849999999999</v>
      </c>
      <c r="O104" s="383">
        <v>17</v>
      </c>
      <c r="P104" s="384">
        <f t="shared" si="15"/>
        <v>4138114.5</v>
      </c>
      <c r="Q104" s="532"/>
      <c r="T104" s="310"/>
    </row>
    <row r="105" spans="1:20" s="64" customFormat="1" ht="24.95" customHeight="1" x14ac:dyDescent="0.25">
      <c r="A105" s="532" t="s">
        <v>91</v>
      </c>
      <c r="B105" s="533"/>
      <c r="C105" s="335">
        <v>70</v>
      </c>
      <c r="D105" s="333">
        <v>480</v>
      </c>
      <c r="E105" s="334" t="s">
        <v>123</v>
      </c>
      <c r="F105" s="333">
        <v>360</v>
      </c>
      <c r="G105" s="333">
        <v>120</v>
      </c>
      <c r="H105" s="332">
        <f t="shared" si="11"/>
        <v>480</v>
      </c>
      <c r="I105" s="534">
        <v>3.51</v>
      </c>
      <c r="J105" s="330">
        <f t="shared" si="16"/>
        <v>3.1589999999999998</v>
      </c>
      <c r="K105" s="329">
        <f t="shared" si="12"/>
        <v>0.1</v>
      </c>
      <c r="L105" s="328">
        <v>7470</v>
      </c>
      <c r="M105" s="327">
        <f t="shared" si="13"/>
        <v>358560</v>
      </c>
      <c r="N105" s="383">
        <f t="shared" si="14"/>
        <v>168.48000000000002</v>
      </c>
      <c r="O105" s="383">
        <v>17</v>
      </c>
      <c r="P105" s="384">
        <f t="shared" si="15"/>
        <v>2864160.0000000005</v>
      </c>
      <c r="Q105" s="532"/>
      <c r="T105" s="310"/>
    </row>
    <row r="106" spans="1:20" s="64" customFormat="1" ht="24.95" customHeight="1" x14ac:dyDescent="0.25">
      <c r="A106" s="532" t="s">
        <v>110</v>
      </c>
      <c r="B106" s="533"/>
      <c r="C106" s="335">
        <v>190</v>
      </c>
      <c r="D106" s="333">
        <v>198</v>
      </c>
      <c r="E106" s="334" t="s">
        <v>123</v>
      </c>
      <c r="F106" s="333">
        <v>34</v>
      </c>
      <c r="G106" s="333">
        <v>42</v>
      </c>
      <c r="H106" s="332">
        <f t="shared" si="11"/>
        <v>76</v>
      </c>
      <c r="I106" s="534">
        <v>3.51</v>
      </c>
      <c r="J106" s="330">
        <f t="shared" si="16"/>
        <v>3.1589999999999998</v>
      </c>
      <c r="K106" s="329">
        <f t="shared" si="12"/>
        <v>0.1</v>
      </c>
      <c r="L106" s="328">
        <v>7470</v>
      </c>
      <c r="M106" s="327">
        <f t="shared" si="13"/>
        <v>56772</v>
      </c>
      <c r="N106" s="383">
        <f t="shared" si="14"/>
        <v>26.676000000000002</v>
      </c>
      <c r="O106" s="383">
        <v>17</v>
      </c>
      <c r="P106" s="384">
        <f t="shared" si="15"/>
        <v>453492.00000000006</v>
      </c>
      <c r="Q106" s="532"/>
      <c r="T106" s="310"/>
    </row>
    <row r="107" spans="1:20" s="461" customFormat="1" ht="24.95" customHeight="1" x14ac:dyDescent="0.25">
      <c r="A107" s="546" t="s">
        <v>220</v>
      </c>
      <c r="B107" s="547"/>
      <c r="C107" s="448">
        <v>105</v>
      </c>
      <c r="D107" s="448">
        <v>100</v>
      </c>
      <c r="E107" s="448">
        <v>0</v>
      </c>
      <c r="F107" s="448">
        <v>0</v>
      </c>
      <c r="G107" s="448">
        <v>100</v>
      </c>
      <c r="H107" s="448">
        <v>100</v>
      </c>
      <c r="I107" s="448">
        <v>7.02</v>
      </c>
      <c r="J107" s="448">
        <v>5.9669999999999996</v>
      </c>
      <c r="K107" s="448">
        <v>0.30000000000000004</v>
      </c>
      <c r="L107" s="448">
        <v>51238</v>
      </c>
      <c r="M107" s="448">
        <v>226825.40000000002</v>
      </c>
      <c r="N107" s="448">
        <v>41.769000000000005</v>
      </c>
      <c r="O107" s="448">
        <v>34</v>
      </c>
      <c r="P107" s="448">
        <v>710073</v>
      </c>
      <c r="Q107" s="546"/>
      <c r="T107" s="462"/>
    </row>
    <row r="108" spans="1:20" s="64" customFormat="1" ht="24.95" customHeight="1" x14ac:dyDescent="0.25">
      <c r="A108" s="532" t="s">
        <v>92</v>
      </c>
      <c r="B108" s="533"/>
      <c r="C108" s="335">
        <v>4</v>
      </c>
      <c r="D108" s="333">
        <v>6</v>
      </c>
      <c r="E108" s="334" t="s">
        <v>219</v>
      </c>
      <c r="F108" s="333">
        <v>3</v>
      </c>
      <c r="G108" s="332">
        <v>2.5</v>
      </c>
      <c r="H108" s="332">
        <f>G108+F108</f>
        <v>5.5</v>
      </c>
      <c r="I108" s="534">
        <v>3.51</v>
      </c>
      <c r="J108" s="330">
        <f>3.51*0.8</f>
        <v>2.8079999999999998</v>
      </c>
      <c r="K108" s="329">
        <f>(I108-J108)/I108</f>
        <v>0.2</v>
      </c>
      <c r="L108" s="328">
        <v>33464</v>
      </c>
      <c r="M108" s="327">
        <f>(H108*L108)*K108</f>
        <v>36810.400000000001</v>
      </c>
      <c r="N108" s="383">
        <f>H108*I108*K108</f>
        <v>3.8610000000000002</v>
      </c>
      <c r="O108" s="383">
        <v>17</v>
      </c>
      <c r="P108" s="384">
        <f>N108*1000*17</f>
        <v>65637</v>
      </c>
      <c r="Q108" s="532"/>
      <c r="T108" s="310"/>
    </row>
    <row r="109" spans="1:20" s="64" customFormat="1" ht="24.95" customHeight="1" x14ac:dyDescent="0.25">
      <c r="A109" s="532" t="s">
        <v>3</v>
      </c>
      <c r="B109" s="533"/>
      <c r="C109" s="335">
        <v>51</v>
      </c>
      <c r="D109" s="333">
        <v>35</v>
      </c>
      <c r="E109" s="334" t="s">
        <v>123</v>
      </c>
      <c r="F109" s="333">
        <v>26</v>
      </c>
      <c r="G109" s="332">
        <v>9</v>
      </c>
      <c r="H109" s="332">
        <f>SUM(F109:G109)</f>
        <v>35</v>
      </c>
      <c r="I109" s="534">
        <v>3.51</v>
      </c>
      <c r="J109" s="330">
        <f>3.51*0.9</f>
        <v>3.1589999999999998</v>
      </c>
      <c r="K109" s="329">
        <f>(I109-J109)/I109</f>
        <v>0.1</v>
      </c>
      <c r="L109" s="328">
        <v>7470</v>
      </c>
      <c r="M109" s="327">
        <f>(H109*L109)*K109</f>
        <v>26145</v>
      </c>
      <c r="N109" s="383">
        <f>H109*I109*K109</f>
        <v>12.285</v>
      </c>
      <c r="O109" s="383">
        <v>17</v>
      </c>
      <c r="P109" s="384">
        <f>N109*1000*17</f>
        <v>208845</v>
      </c>
      <c r="Q109" s="532"/>
      <c r="T109" s="310"/>
    </row>
    <row r="110" spans="1:20" s="64" customFormat="1" ht="24.95" customHeight="1" x14ac:dyDescent="0.25">
      <c r="A110" s="532" t="s">
        <v>109</v>
      </c>
      <c r="B110" s="533"/>
      <c r="C110" s="335">
        <v>591</v>
      </c>
      <c r="D110" s="333">
        <v>482.28</v>
      </c>
      <c r="E110" s="334" t="s">
        <v>123</v>
      </c>
      <c r="F110" s="333">
        <v>225</v>
      </c>
      <c r="G110" s="332">
        <f>482-225</f>
        <v>257</v>
      </c>
      <c r="H110" s="332">
        <f>SUM(F110:G110)</f>
        <v>482</v>
      </c>
      <c r="I110" s="534">
        <v>3.51</v>
      </c>
      <c r="J110" s="330">
        <f>3.51*0.9</f>
        <v>3.1589999999999998</v>
      </c>
      <c r="K110" s="329">
        <f>(I110-J110)/I110</f>
        <v>0.1</v>
      </c>
      <c r="L110" s="328">
        <v>7470</v>
      </c>
      <c r="M110" s="327">
        <f>(H110*L110)*K110</f>
        <v>360054</v>
      </c>
      <c r="N110" s="383">
        <f>H110*I110*K110</f>
        <v>169.18200000000002</v>
      </c>
      <c r="O110" s="383">
        <v>17</v>
      </c>
      <c r="P110" s="384">
        <f>N110*1000*17</f>
        <v>2876094.0000000005</v>
      </c>
      <c r="Q110" s="532"/>
      <c r="T110" s="310"/>
    </row>
    <row r="111" spans="1:20" s="64" customFormat="1" ht="24.95" customHeight="1" x14ac:dyDescent="0.25">
      <c r="A111" s="532" t="s">
        <v>94</v>
      </c>
      <c r="B111" s="533"/>
      <c r="C111" s="335">
        <v>17</v>
      </c>
      <c r="D111" s="333">
        <v>14.375</v>
      </c>
      <c r="E111" s="334" t="s">
        <v>123</v>
      </c>
      <c r="F111" s="333">
        <v>14.375</v>
      </c>
      <c r="G111" s="333"/>
      <c r="H111" s="332">
        <f>SUM(F111:G111)</f>
        <v>14.375</v>
      </c>
      <c r="I111" s="534">
        <v>3.51</v>
      </c>
      <c r="J111" s="330">
        <v>2.81</v>
      </c>
      <c r="K111" s="329">
        <f>(I111-J111)/I111</f>
        <v>0.19943019943019938</v>
      </c>
      <c r="L111" s="328">
        <v>7470</v>
      </c>
      <c r="M111" s="327">
        <f>(H111*L111)*K111</f>
        <v>21415.064102564098</v>
      </c>
      <c r="N111" s="383">
        <f>H111*I111*K111</f>
        <v>10.062499999999996</v>
      </c>
      <c r="O111" s="383">
        <v>17</v>
      </c>
      <c r="P111" s="384">
        <f>N111*1000*17</f>
        <v>171062.49999999994</v>
      </c>
      <c r="Q111" s="532"/>
      <c r="T111" s="310"/>
    </row>
    <row r="112" spans="1:20" s="461" customFormat="1" ht="24.95" customHeight="1" x14ac:dyDescent="0.25">
      <c r="A112" s="546" t="s">
        <v>88</v>
      </c>
      <c r="B112" s="547"/>
      <c r="C112" s="448">
        <v>287</v>
      </c>
      <c r="D112" s="448">
        <v>564.25</v>
      </c>
      <c r="E112" s="448">
        <v>0</v>
      </c>
      <c r="F112" s="448">
        <v>557.25</v>
      </c>
      <c r="G112" s="448">
        <v>7</v>
      </c>
      <c r="H112" s="448">
        <v>564.25</v>
      </c>
      <c r="I112" s="448">
        <v>7.02</v>
      </c>
      <c r="J112" s="448">
        <v>5.6180000000000003</v>
      </c>
      <c r="K112" s="448">
        <v>0.39943019943019942</v>
      </c>
      <c r="L112" s="448">
        <v>51238</v>
      </c>
      <c r="M112" s="448">
        <v>891434.8153846151</v>
      </c>
      <c r="N112" s="448">
        <v>394.98899999999986</v>
      </c>
      <c r="O112" s="448">
        <v>34</v>
      </c>
      <c r="P112" s="448">
        <v>6714812.9999999981</v>
      </c>
      <c r="Q112" s="546"/>
      <c r="T112" s="462"/>
    </row>
    <row r="113" spans="1:20" s="64" customFormat="1" ht="24.95" customHeight="1" x14ac:dyDescent="0.25">
      <c r="A113" s="532" t="s">
        <v>113</v>
      </c>
      <c r="B113" s="533"/>
      <c r="C113" s="335">
        <v>372</v>
      </c>
      <c r="D113" s="333">
        <v>238.5</v>
      </c>
      <c r="E113" s="334" t="s">
        <v>123</v>
      </c>
      <c r="F113" s="333">
        <v>35.25</v>
      </c>
      <c r="G113" s="333">
        <v>203.25</v>
      </c>
      <c r="H113" s="332">
        <f>SUM(F113:G113)</f>
        <v>238.5</v>
      </c>
      <c r="I113" s="534">
        <v>3.51</v>
      </c>
      <c r="J113" s="330">
        <f>3.51*0.9</f>
        <v>3.1589999999999998</v>
      </c>
      <c r="K113" s="329">
        <f>(I113-J113)/I113</f>
        <v>0.1</v>
      </c>
      <c r="L113" s="328">
        <v>7470</v>
      </c>
      <c r="M113" s="327">
        <f>(H113*L113)*K113</f>
        <v>178159.5</v>
      </c>
      <c r="N113" s="383">
        <f>H113*I113*K113</f>
        <v>83.71350000000001</v>
      </c>
      <c r="O113" s="383">
        <v>17</v>
      </c>
      <c r="P113" s="384">
        <f>N113*1000*17</f>
        <v>1423129.5000000002</v>
      </c>
      <c r="Q113" s="532"/>
      <c r="T113" s="310"/>
    </row>
    <row r="114" spans="1:20" s="64" customFormat="1" ht="24.95" customHeight="1" x14ac:dyDescent="0.25">
      <c r="A114" s="275"/>
      <c r="B114" s="526"/>
      <c r="C114" s="527"/>
      <c r="D114" s="527"/>
      <c r="E114" s="531"/>
      <c r="F114" s="529"/>
      <c r="G114" s="529"/>
      <c r="H114" s="527"/>
      <c r="I114" s="530"/>
      <c r="J114" s="269"/>
      <c r="K114" s="313"/>
      <c r="L114" s="529"/>
      <c r="M114" s="529"/>
      <c r="N114" s="529"/>
      <c r="O114" s="528"/>
      <c r="P114" s="527"/>
      <c r="Q114" s="264"/>
      <c r="T114" s="310"/>
    </row>
    <row r="115" spans="1:20" s="64" customFormat="1" ht="24.95" customHeight="1" x14ac:dyDescent="0.25">
      <c r="A115" s="275"/>
      <c r="B115" s="526"/>
      <c r="C115" s="527"/>
      <c r="D115" s="527"/>
      <c r="E115" s="531"/>
      <c r="F115" s="529"/>
      <c r="G115" s="529"/>
      <c r="H115" s="527"/>
      <c r="I115" s="530"/>
      <c r="J115" s="269"/>
      <c r="K115" s="313"/>
      <c r="L115" s="529"/>
      <c r="M115" s="529"/>
      <c r="N115" s="529"/>
      <c r="O115" s="528"/>
      <c r="P115" s="527"/>
      <c r="Q115" s="264"/>
      <c r="T115" s="310"/>
    </row>
    <row r="116" spans="1:20" s="64" customFormat="1" ht="19.5" customHeight="1" x14ac:dyDescent="0.25">
      <c r="A116" s="275"/>
      <c r="B116" s="526"/>
      <c r="C116" s="312"/>
      <c r="D116" s="312"/>
      <c r="E116" s="315"/>
      <c r="F116" s="312"/>
      <c r="G116" s="312"/>
      <c r="H116" s="312"/>
      <c r="I116" s="314"/>
      <c r="J116" s="269"/>
      <c r="K116" s="313"/>
      <c r="L116" s="312"/>
      <c r="M116" s="312"/>
      <c r="N116" s="312"/>
      <c r="O116" s="266"/>
      <c r="P116" s="312"/>
      <c r="Q116" s="311"/>
      <c r="T116" s="310"/>
    </row>
    <row r="117" spans="1:20" s="64" customFormat="1" ht="19.5" customHeight="1" x14ac:dyDescent="0.25">
      <c r="A117" s="785" t="s">
        <v>193</v>
      </c>
      <c r="B117" s="785"/>
      <c r="C117" s="785"/>
      <c r="D117" s="785"/>
      <c r="E117" s="278"/>
      <c r="F117" s="786" t="s">
        <v>192</v>
      </c>
      <c r="G117" s="786"/>
      <c r="H117" s="786"/>
      <c r="I117" s="786"/>
      <c r="J117" s="786"/>
      <c r="K117" s="278"/>
      <c r="L117" s="277"/>
      <c r="M117" s="786" t="s">
        <v>191</v>
      </c>
      <c r="N117" s="786"/>
      <c r="O117" s="786"/>
      <c r="P117" s="786"/>
      <c r="Q117" s="276"/>
    </row>
    <row r="118" spans="1:20" s="64" customFormat="1" ht="19.5" customHeight="1" x14ac:dyDescent="0.25">
      <c r="A118" s="783"/>
      <c r="B118" s="783"/>
      <c r="C118" s="783"/>
      <c r="D118" s="783"/>
      <c r="E118" s="278"/>
      <c r="F118" s="783" t="s">
        <v>190</v>
      </c>
      <c r="G118" s="783"/>
      <c r="H118" s="783"/>
      <c r="I118" s="783"/>
      <c r="J118" s="783"/>
      <c r="K118" s="278"/>
      <c r="L118" s="277"/>
      <c r="M118" s="783" t="s">
        <v>189</v>
      </c>
      <c r="N118" s="783"/>
      <c r="O118" s="783"/>
      <c r="P118" s="783"/>
      <c r="Q118" s="276"/>
    </row>
    <row r="119" spans="1:20" s="64" customFormat="1" ht="19.5" customHeight="1" x14ac:dyDescent="0.2">
      <c r="A119" s="275"/>
      <c r="B119" s="525"/>
      <c r="C119" s="273"/>
      <c r="D119" s="273"/>
      <c r="E119" s="274"/>
      <c r="F119" s="273"/>
      <c r="G119" s="272"/>
      <c r="H119" s="271"/>
      <c r="I119" s="270"/>
      <c r="J119" s="269"/>
      <c r="K119" s="266"/>
      <c r="L119" s="268"/>
      <c r="M119" s="267"/>
      <c r="N119" s="266"/>
      <c r="O119" s="266"/>
      <c r="P119" s="265"/>
      <c r="Q119" s="264"/>
    </row>
  </sheetData>
  <mergeCells count="24">
    <mergeCell ref="F12:H13"/>
    <mergeCell ref="I12:J13"/>
    <mergeCell ref="K12:K14"/>
    <mergeCell ref="A1:Q1"/>
    <mergeCell ref="A2:Q2"/>
    <mergeCell ref="A3:Q3"/>
    <mergeCell ref="A4:Q4"/>
    <mergeCell ref="A11:Q11"/>
    <mergeCell ref="A118:D118"/>
    <mergeCell ref="F118:J118"/>
    <mergeCell ref="M118:P118"/>
    <mergeCell ref="L12:P12"/>
    <mergeCell ref="Q12:Q14"/>
    <mergeCell ref="A117:D117"/>
    <mergeCell ref="F117:J117"/>
    <mergeCell ref="M117:P117"/>
    <mergeCell ref="L13:M13"/>
    <mergeCell ref="N13:P13"/>
    <mergeCell ref="Q41:Q42"/>
    <mergeCell ref="A12:A14"/>
    <mergeCell ref="B12:B14"/>
    <mergeCell ref="C12:C14"/>
    <mergeCell ref="D12:D14"/>
    <mergeCell ref="E12:E14"/>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67" customWidth="1"/>
    <col min="2" max="2" width="19.42578125" style="467" customWidth="1"/>
    <col min="3" max="3" width="16.42578125" style="468" customWidth="1"/>
    <col min="4" max="4" width="15.85546875" style="468" customWidth="1"/>
    <col min="5" max="5" width="25.140625" style="468" customWidth="1"/>
    <col min="6" max="6" width="15.28515625" style="467" customWidth="1"/>
    <col min="7" max="7" width="16.85546875" style="467" customWidth="1"/>
    <col min="8" max="8" width="19.140625" style="467" customWidth="1"/>
    <col min="9" max="9" width="15" style="467" customWidth="1"/>
    <col min="10" max="10" width="13.42578125" style="467" customWidth="1"/>
    <col min="11" max="11" width="11.140625" style="467" customWidth="1"/>
    <col min="12" max="12" width="25.140625" style="467" customWidth="1"/>
    <col min="13" max="13" width="26.42578125" style="467" customWidth="1"/>
    <col min="14" max="14" width="16.28515625" style="467" customWidth="1"/>
    <col min="15" max="15" width="12.140625" style="467" customWidth="1"/>
    <col min="16" max="16" width="29.42578125" style="467" customWidth="1"/>
    <col min="17" max="17" width="21.85546875" style="467" customWidth="1"/>
    <col min="18" max="18" width="9.140625" style="252"/>
    <col min="19" max="19" width="22.7109375" style="252" customWidth="1"/>
    <col min="20" max="20" width="29.28515625" style="252" customWidth="1"/>
    <col min="21" max="16384" width="9.140625" style="252"/>
  </cols>
  <sheetData>
    <row r="1" spans="1:20" ht="26.25" customHeight="1" x14ac:dyDescent="0.25">
      <c r="A1" s="810" t="s">
        <v>247</v>
      </c>
      <c r="B1" s="810"/>
      <c r="C1" s="810"/>
      <c r="D1" s="810"/>
      <c r="E1" s="810"/>
      <c r="F1" s="810"/>
      <c r="G1" s="810"/>
      <c r="H1" s="810"/>
      <c r="I1" s="810"/>
      <c r="J1" s="810"/>
      <c r="K1" s="810"/>
      <c r="L1" s="810"/>
      <c r="M1" s="810"/>
      <c r="N1" s="810"/>
      <c r="O1" s="810"/>
      <c r="P1" s="810"/>
      <c r="Q1" s="810"/>
    </row>
    <row r="2" spans="1:20" ht="18.95" customHeight="1" x14ac:dyDescent="0.25">
      <c r="A2" s="810" t="s">
        <v>246</v>
      </c>
      <c r="B2" s="810"/>
      <c r="C2" s="810"/>
      <c r="D2" s="810"/>
      <c r="E2" s="810"/>
      <c r="F2" s="810"/>
      <c r="G2" s="810"/>
      <c r="H2" s="810"/>
      <c r="I2" s="810"/>
      <c r="J2" s="810"/>
      <c r="K2" s="810"/>
      <c r="L2" s="810"/>
      <c r="M2" s="810"/>
      <c r="N2" s="810"/>
      <c r="O2" s="810"/>
      <c r="P2" s="810"/>
      <c r="Q2" s="810"/>
    </row>
    <row r="3" spans="1:20" ht="18.95" customHeight="1" x14ac:dyDescent="0.25">
      <c r="A3" s="810" t="s">
        <v>245</v>
      </c>
      <c r="B3" s="810"/>
      <c r="C3" s="810"/>
      <c r="D3" s="810"/>
      <c r="E3" s="810"/>
      <c r="F3" s="810"/>
      <c r="G3" s="810"/>
      <c r="H3" s="810"/>
      <c r="I3" s="810"/>
      <c r="J3" s="810"/>
      <c r="K3" s="810"/>
      <c r="L3" s="810"/>
      <c r="M3" s="810"/>
      <c r="N3" s="810"/>
      <c r="O3" s="810"/>
      <c r="P3" s="810"/>
      <c r="Q3" s="810"/>
    </row>
    <row r="4" spans="1:20" ht="18.75" customHeight="1" x14ac:dyDescent="0.25">
      <c r="A4" s="811" t="s">
        <v>244</v>
      </c>
      <c r="B4" s="811"/>
      <c r="C4" s="811"/>
      <c r="D4" s="811"/>
      <c r="E4" s="811"/>
      <c r="F4" s="811"/>
      <c r="G4" s="811"/>
      <c r="H4" s="811"/>
      <c r="I4" s="811"/>
      <c r="J4" s="811"/>
      <c r="K4" s="811"/>
      <c r="L4" s="811"/>
      <c r="M4" s="811"/>
      <c r="N4" s="811"/>
      <c r="O4" s="811"/>
      <c r="P4" s="811"/>
      <c r="Q4" s="811"/>
    </row>
    <row r="5" spans="1:20" ht="6" customHeight="1" thickBot="1" x14ac:dyDescent="0.3">
      <c r="A5" s="484"/>
      <c r="B5" s="484"/>
      <c r="C5" s="484"/>
      <c r="D5" s="484"/>
      <c r="E5" s="484"/>
      <c r="F5" s="484"/>
      <c r="G5" s="484"/>
      <c r="H5" s="484"/>
      <c r="I5" s="484"/>
      <c r="J5" s="484"/>
      <c r="K5" s="484"/>
      <c r="L5" s="484"/>
      <c r="M5" s="484"/>
      <c r="N5" s="484"/>
      <c r="O5" s="484"/>
      <c r="P5" s="484"/>
      <c r="Q5" s="484"/>
    </row>
    <row r="6" spans="1:20" ht="18.95" customHeight="1" x14ac:dyDescent="0.25">
      <c r="A6" s="516" t="s">
        <v>232</v>
      </c>
      <c r="B6" s="515"/>
      <c r="C6" s="512"/>
      <c r="D6" s="512"/>
      <c r="E6" s="512"/>
      <c r="F6" s="512"/>
      <c r="G6" s="512"/>
      <c r="H6" s="512"/>
      <c r="I6" s="512"/>
      <c r="J6" s="512"/>
      <c r="K6" s="512"/>
      <c r="L6" s="514"/>
      <c r="M6" s="513" t="s">
        <v>183</v>
      </c>
      <c r="N6" s="512"/>
      <c r="O6" s="512"/>
      <c r="P6" s="512"/>
      <c r="Q6" s="511"/>
    </row>
    <row r="7" spans="1:20" ht="18.95" customHeight="1" x14ac:dyDescent="0.25">
      <c r="A7" s="507"/>
      <c r="B7" s="510"/>
      <c r="C7" s="502"/>
      <c r="D7" s="502"/>
      <c r="E7" s="502"/>
      <c r="F7" s="502"/>
      <c r="G7" s="502"/>
      <c r="H7" s="502"/>
      <c r="I7" s="502"/>
      <c r="J7" s="502"/>
      <c r="K7" s="502"/>
      <c r="L7" s="505"/>
      <c r="M7" s="509" t="s">
        <v>182</v>
      </c>
      <c r="N7" s="508"/>
      <c r="O7" s="508" t="s">
        <v>181</v>
      </c>
      <c r="P7" s="502"/>
      <c r="Q7" s="501"/>
    </row>
    <row r="8" spans="1:20" ht="18.95" customHeight="1" x14ac:dyDescent="0.25">
      <c r="A8" s="507"/>
      <c r="B8" s="506"/>
      <c r="C8" s="502"/>
      <c r="D8" s="502"/>
      <c r="E8" s="502"/>
      <c r="F8" s="502"/>
      <c r="G8" s="502"/>
      <c r="H8" s="502"/>
      <c r="I8" s="502"/>
      <c r="J8" s="502"/>
      <c r="K8" s="502"/>
      <c r="L8" s="505"/>
      <c r="M8" s="504" t="s">
        <v>180</v>
      </c>
      <c r="N8" s="503"/>
      <c r="O8" s="502"/>
      <c r="P8" s="502" t="s">
        <v>179</v>
      </c>
      <c r="Q8" s="501"/>
    </row>
    <row r="9" spans="1:20" ht="18.95" customHeight="1" x14ac:dyDescent="0.25">
      <c r="A9" s="507"/>
      <c r="B9" s="506"/>
      <c r="C9" s="502"/>
      <c r="D9" s="502"/>
      <c r="E9" s="502"/>
      <c r="F9" s="502"/>
      <c r="G9" s="502"/>
      <c r="H9" s="502"/>
      <c r="I9" s="502"/>
      <c r="J9" s="502"/>
      <c r="K9" s="502"/>
      <c r="L9" s="505"/>
      <c r="M9" s="504" t="s">
        <v>178</v>
      </c>
      <c r="N9" s="503"/>
      <c r="O9" s="502"/>
      <c r="P9" s="502" t="s">
        <v>177</v>
      </c>
      <c r="Q9" s="501"/>
    </row>
    <row r="10" spans="1:20" ht="18.95" customHeight="1" thickBot="1" x14ac:dyDescent="0.3">
      <c r="A10" s="507"/>
      <c r="B10" s="506"/>
      <c r="C10" s="502"/>
      <c r="D10" s="502"/>
      <c r="E10" s="502"/>
      <c r="F10" s="502"/>
      <c r="G10" s="502"/>
      <c r="H10" s="502"/>
      <c r="I10" s="502"/>
      <c r="J10" s="502"/>
      <c r="K10" s="502"/>
      <c r="L10" s="505"/>
      <c r="M10" s="504" t="s">
        <v>176</v>
      </c>
      <c r="N10" s="503"/>
      <c r="O10" s="502"/>
      <c r="P10" s="502" t="s">
        <v>175</v>
      </c>
      <c r="Q10" s="501"/>
    </row>
    <row r="11" spans="1:20" s="497" customFormat="1" ht="18.95" customHeight="1" thickBot="1" x14ac:dyDescent="0.3">
      <c r="A11" s="812" t="s">
        <v>174</v>
      </c>
      <c r="B11" s="813"/>
      <c r="C11" s="813"/>
      <c r="D11" s="813"/>
      <c r="E11" s="813"/>
      <c r="F11" s="813"/>
      <c r="G11" s="813"/>
      <c r="H11" s="813"/>
      <c r="I11" s="813"/>
      <c r="J11" s="813"/>
      <c r="K11" s="813"/>
      <c r="L11" s="813"/>
      <c r="M11" s="813"/>
      <c r="N11" s="813"/>
      <c r="O11" s="813"/>
      <c r="P11" s="813"/>
      <c r="Q11" s="814"/>
    </row>
    <row r="12" spans="1:20" s="497" customFormat="1" ht="18.95" customHeight="1" x14ac:dyDescent="0.25">
      <c r="A12" s="804" t="s">
        <v>173</v>
      </c>
      <c r="B12" s="807" t="s">
        <v>172</v>
      </c>
      <c r="C12" s="807" t="s">
        <v>171</v>
      </c>
      <c r="D12" s="807" t="s">
        <v>170</v>
      </c>
      <c r="E12" s="807" t="s">
        <v>169</v>
      </c>
      <c r="F12" s="815" t="s">
        <v>168</v>
      </c>
      <c r="G12" s="816"/>
      <c r="H12" s="817"/>
      <c r="I12" s="815" t="s">
        <v>167</v>
      </c>
      <c r="J12" s="817"/>
      <c r="K12" s="807" t="s">
        <v>166</v>
      </c>
      <c r="L12" s="807" t="s">
        <v>165</v>
      </c>
      <c r="M12" s="807"/>
      <c r="N12" s="807"/>
      <c r="O12" s="807"/>
      <c r="P12" s="807"/>
      <c r="Q12" s="821" t="s">
        <v>164</v>
      </c>
    </row>
    <row r="13" spans="1:20" s="497" customFormat="1" ht="30" customHeight="1" x14ac:dyDescent="0.25">
      <c r="A13" s="805"/>
      <c r="B13" s="808"/>
      <c r="C13" s="808"/>
      <c r="D13" s="808"/>
      <c r="E13" s="808"/>
      <c r="F13" s="818"/>
      <c r="G13" s="819"/>
      <c r="H13" s="820"/>
      <c r="I13" s="818"/>
      <c r="J13" s="820"/>
      <c r="K13" s="808"/>
      <c r="L13" s="808" t="s">
        <v>163</v>
      </c>
      <c r="M13" s="808"/>
      <c r="N13" s="808" t="s">
        <v>231</v>
      </c>
      <c r="O13" s="808"/>
      <c r="P13" s="808"/>
      <c r="Q13" s="822"/>
    </row>
    <row r="14" spans="1:20" s="497" customFormat="1" ht="45.75" customHeight="1" thickBot="1" x14ac:dyDescent="0.3">
      <c r="A14" s="806"/>
      <c r="B14" s="809"/>
      <c r="C14" s="809"/>
      <c r="D14" s="809"/>
      <c r="E14" s="809"/>
      <c r="F14" s="500" t="s">
        <v>161</v>
      </c>
      <c r="G14" s="500" t="s">
        <v>160</v>
      </c>
      <c r="H14" s="500" t="s">
        <v>159</v>
      </c>
      <c r="I14" s="500" t="s">
        <v>158</v>
      </c>
      <c r="J14" s="500" t="s">
        <v>157</v>
      </c>
      <c r="K14" s="809"/>
      <c r="L14" s="498" t="s">
        <v>156</v>
      </c>
      <c r="M14" s="498" t="s">
        <v>155</v>
      </c>
      <c r="N14" s="499" t="s">
        <v>154</v>
      </c>
      <c r="O14" s="499" t="s">
        <v>153</v>
      </c>
      <c r="P14" s="498" t="s">
        <v>152</v>
      </c>
      <c r="Q14" s="823"/>
    </row>
    <row r="15" spans="1:20" s="475" customFormat="1" ht="19.5" customHeight="1" x14ac:dyDescent="0.25">
      <c r="A15" s="496" t="s">
        <v>151</v>
      </c>
      <c r="B15" s="496" t="s">
        <v>243</v>
      </c>
      <c r="C15" s="496" t="s">
        <v>150</v>
      </c>
      <c r="D15" s="496" t="s">
        <v>230</v>
      </c>
      <c r="E15" s="496" t="s">
        <v>149</v>
      </c>
      <c r="F15" s="496" t="s">
        <v>148</v>
      </c>
      <c r="G15" s="496" t="s">
        <v>147</v>
      </c>
      <c r="H15" s="496" t="s">
        <v>146</v>
      </c>
      <c r="I15" s="496" t="s">
        <v>145</v>
      </c>
      <c r="J15" s="496" t="s">
        <v>144</v>
      </c>
      <c r="K15" s="496" t="s">
        <v>143</v>
      </c>
      <c r="L15" s="496" t="s">
        <v>142</v>
      </c>
      <c r="M15" s="496" t="s">
        <v>141</v>
      </c>
      <c r="N15" s="496" t="s">
        <v>140</v>
      </c>
      <c r="O15" s="496" t="s">
        <v>139</v>
      </c>
      <c r="P15" s="496" t="s">
        <v>138</v>
      </c>
      <c r="Q15" s="495" t="s">
        <v>229</v>
      </c>
      <c r="T15" s="476"/>
    </row>
    <row r="16" spans="1:20" s="490" customFormat="1" ht="25.5" customHeight="1" x14ac:dyDescent="0.25">
      <c r="A16" s="493" t="s">
        <v>135</v>
      </c>
      <c r="B16" s="494"/>
      <c r="C16" s="493">
        <f>C20+C24+C17+C27</f>
        <v>8250</v>
      </c>
      <c r="D16" s="493">
        <f>D20+D24+D17+D27</f>
        <v>10815.69</v>
      </c>
      <c r="E16" s="493"/>
      <c r="F16" s="493">
        <f>F20+F24+F17+F27</f>
        <v>7309.25</v>
      </c>
      <c r="G16" s="493">
        <f>G20+G24+G17+G27</f>
        <v>3418.5</v>
      </c>
      <c r="H16" s="493">
        <f>H20+H24+H17+H27</f>
        <v>10727.75</v>
      </c>
      <c r="I16" s="493"/>
      <c r="J16" s="493"/>
      <c r="K16" s="493"/>
      <c r="L16" s="493"/>
      <c r="M16" s="493">
        <f>M20+M24+M17+M27</f>
        <v>52375795.628496438</v>
      </c>
      <c r="N16" s="493">
        <f>N20+N24+N17+N27</f>
        <v>21282.391755000001</v>
      </c>
      <c r="O16" s="493"/>
      <c r="P16" s="493">
        <f>P20+P24+P17+P27</f>
        <v>361800659.83499998</v>
      </c>
      <c r="Q16" s="492"/>
      <c r="T16" s="491"/>
    </row>
    <row r="17" spans="1:20" s="483" customFormat="1" ht="19.5" customHeight="1" x14ac:dyDescent="0.25">
      <c r="A17" s="487" t="s">
        <v>48</v>
      </c>
      <c r="B17" s="487"/>
      <c r="C17" s="486">
        <f>SUM(C18:C19)</f>
        <v>63</v>
      </c>
      <c r="D17" s="486">
        <f>SUM(D18:D19)</f>
        <v>144.5</v>
      </c>
      <c r="E17" s="487"/>
      <c r="F17" s="486">
        <f>SUM(F18:F19)</f>
        <v>55</v>
      </c>
      <c r="G17" s="486">
        <f>SUM(G18:G19)</f>
        <v>12</v>
      </c>
      <c r="H17" s="486">
        <f>SUM(H18:H19)</f>
        <v>67</v>
      </c>
      <c r="I17" s="489"/>
      <c r="J17" s="489"/>
      <c r="K17" s="487"/>
      <c r="L17" s="485"/>
      <c r="M17" s="486">
        <f>SUM(M18:M19)</f>
        <v>2005741.7555205049</v>
      </c>
      <c r="N17" s="486">
        <f>SUM(N18:N19)</f>
        <v>210.33750000000001</v>
      </c>
      <c r="O17" s="487"/>
      <c r="P17" s="486">
        <f>SUM(P18:P19)</f>
        <v>3575737.5</v>
      </c>
      <c r="Q17" s="485"/>
      <c r="T17" s="484"/>
    </row>
    <row r="18" spans="1:20" s="475" customFormat="1" ht="18.75" customHeight="1" x14ac:dyDescent="0.25">
      <c r="A18" s="477" t="s">
        <v>52</v>
      </c>
      <c r="B18" s="477"/>
      <c r="C18" s="482">
        <v>40</v>
      </c>
      <c r="D18" s="477">
        <v>119.5</v>
      </c>
      <c r="E18" s="477" t="s">
        <v>241</v>
      </c>
      <c r="F18" s="477">
        <v>30</v>
      </c>
      <c r="G18" s="477">
        <v>12</v>
      </c>
      <c r="H18" s="478">
        <f>SUM(F18:G18)</f>
        <v>42</v>
      </c>
      <c r="I18" s="481">
        <v>3.17</v>
      </c>
      <c r="J18" s="480">
        <v>0.03</v>
      </c>
      <c r="K18" s="479">
        <f>(I18-J18)/I18</f>
        <v>0.99053627760252372</v>
      </c>
      <c r="L18" s="478">
        <v>43768</v>
      </c>
      <c r="M18" s="478">
        <f>(H18*L18)*K18</f>
        <v>1820859.2555205049</v>
      </c>
      <c r="N18" s="477">
        <f>H18*I18*K18</f>
        <v>131.88</v>
      </c>
      <c r="O18" s="477">
        <v>17</v>
      </c>
      <c r="P18" s="478">
        <f>N18*1000*17</f>
        <v>2241960</v>
      </c>
      <c r="Q18" s="477"/>
      <c r="T18" s="476"/>
    </row>
    <row r="19" spans="1:20" s="475" customFormat="1" ht="18.75" customHeight="1" x14ac:dyDescent="0.25">
      <c r="A19" s="477" t="s">
        <v>51</v>
      </c>
      <c r="B19" s="477"/>
      <c r="C19" s="482">
        <v>23</v>
      </c>
      <c r="D19" s="477">
        <v>25</v>
      </c>
      <c r="E19" s="477" t="s">
        <v>117</v>
      </c>
      <c r="F19" s="477">
        <v>25</v>
      </c>
      <c r="G19" s="477"/>
      <c r="H19" s="478">
        <f>SUM(F19:G19)</f>
        <v>25</v>
      </c>
      <c r="I19" s="481">
        <v>3.17</v>
      </c>
      <c r="J19" s="480">
        <f>3.17*0.01</f>
        <v>3.1699999999999999E-2</v>
      </c>
      <c r="K19" s="479">
        <f>(I19-J19)/I19</f>
        <v>0.9900000000000001</v>
      </c>
      <c r="L19" s="478">
        <v>7470</v>
      </c>
      <c r="M19" s="478">
        <f>(H19*L19)*K19</f>
        <v>184882.50000000003</v>
      </c>
      <c r="N19" s="477">
        <f>H19*I19*K19</f>
        <v>78.45750000000001</v>
      </c>
      <c r="O19" s="477">
        <v>17</v>
      </c>
      <c r="P19" s="478">
        <f>N19*1000*17</f>
        <v>1333777.5000000002</v>
      </c>
      <c r="Q19" s="477"/>
      <c r="T19" s="476"/>
    </row>
    <row r="20" spans="1:20" s="483" customFormat="1" ht="19.5" customHeight="1" x14ac:dyDescent="0.25">
      <c r="A20" s="487" t="s">
        <v>242</v>
      </c>
      <c r="B20" s="487"/>
      <c r="C20" s="486">
        <f>SUM(C21:C23)</f>
        <v>855</v>
      </c>
      <c r="D20" s="486">
        <f>SUM(D21:D23)</f>
        <v>869</v>
      </c>
      <c r="E20" s="487"/>
      <c r="F20" s="486">
        <f>SUM(F21:F23)</f>
        <v>0</v>
      </c>
      <c r="G20" s="486">
        <f>SUM(G21:G23)</f>
        <v>869</v>
      </c>
      <c r="H20" s="486">
        <f>SUM(H21:H23)</f>
        <v>869</v>
      </c>
      <c r="I20" s="489"/>
      <c r="J20" s="489"/>
      <c r="K20" s="488"/>
      <c r="L20" s="485"/>
      <c r="M20" s="486">
        <f>SUM(M21:M23)</f>
        <v>2208090.8000000003</v>
      </c>
      <c r="N20" s="486">
        <f>SUM(N21:N23)</f>
        <v>160.56050000000005</v>
      </c>
      <c r="O20" s="487"/>
      <c r="P20" s="486">
        <f>SUM(P21:P23)</f>
        <v>2729528.5000000009</v>
      </c>
      <c r="Q20" s="485"/>
      <c r="T20" s="484"/>
    </row>
    <row r="21" spans="1:20" s="475" customFormat="1" ht="18.75" customHeight="1" x14ac:dyDescent="0.25">
      <c r="A21" s="477" t="s">
        <v>129</v>
      </c>
      <c r="B21" s="477"/>
      <c r="C21" s="482">
        <v>150</v>
      </c>
      <c r="D21" s="477">
        <v>144</v>
      </c>
      <c r="E21" s="477" t="s">
        <v>241</v>
      </c>
      <c r="F21" s="477"/>
      <c r="G21" s="477">
        <v>144</v>
      </c>
      <c r="H21" s="478">
        <f>SUM(F21:G21)</f>
        <v>144</v>
      </c>
      <c r="I21" s="481">
        <v>3.17</v>
      </c>
      <c r="J21" s="480">
        <f>3.17*0.9</f>
        <v>2.8530000000000002</v>
      </c>
      <c r="K21" s="479">
        <f>(I21-J21)/I21</f>
        <v>9.9999999999999922E-2</v>
      </c>
      <c r="L21" s="478">
        <v>43768</v>
      </c>
      <c r="M21" s="478">
        <f>(H21*L21)*K21</f>
        <v>630259.19999999949</v>
      </c>
      <c r="N21" s="477">
        <f>H21*I21*K21</f>
        <v>45.647999999999968</v>
      </c>
      <c r="O21" s="477">
        <v>17</v>
      </c>
      <c r="P21" s="478">
        <f>N21*1000*17</f>
        <v>776015.99999999953</v>
      </c>
      <c r="Q21" s="477"/>
      <c r="T21" s="476"/>
    </row>
    <row r="22" spans="1:20" s="475" customFormat="1" ht="18.75" customHeight="1" x14ac:dyDescent="0.25">
      <c r="A22" s="477" t="s">
        <v>59</v>
      </c>
      <c r="B22" s="477"/>
      <c r="C22" s="482">
        <v>688</v>
      </c>
      <c r="D22" s="477">
        <v>708</v>
      </c>
      <c r="E22" s="477" t="s">
        <v>241</v>
      </c>
      <c r="F22" s="477"/>
      <c r="G22" s="477">
        <v>708</v>
      </c>
      <c r="H22" s="478">
        <f>SUM(F22:G22)</f>
        <v>708</v>
      </c>
      <c r="I22" s="481">
        <v>3.17</v>
      </c>
      <c r="J22" s="480">
        <f>3.17*0.95</f>
        <v>3.0114999999999998</v>
      </c>
      <c r="K22" s="479">
        <f>(I22-J22)/I22</f>
        <v>5.0000000000000031E-2</v>
      </c>
      <c r="L22" s="478">
        <v>43768</v>
      </c>
      <c r="M22" s="478">
        <f>(H22*L22)*K22</f>
        <v>1549387.2000000009</v>
      </c>
      <c r="N22" s="477">
        <f>H22*I22*K22</f>
        <v>112.21800000000007</v>
      </c>
      <c r="O22" s="477">
        <v>17</v>
      </c>
      <c r="P22" s="478">
        <f>N22*1000*17</f>
        <v>1907706.0000000012</v>
      </c>
      <c r="Q22" s="477"/>
      <c r="T22" s="476"/>
    </row>
    <row r="23" spans="1:20" s="475" customFormat="1" ht="18.75" customHeight="1" x14ac:dyDescent="0.25">
      <c r="A23" s="477" t="s">
        <v>127</v>
      </c>
      <c r="B23" s="477"/>
      <c r="C23" s="482">
        <v>17</v>
      </c>
      <c r="D23" s="477">
        <v>17</v>
      </c>
      <c r="E23" s="477" t="s">
        <v>241</v>
      </c>
      <c r="F23" s="477"/>
      <c r="G23" s="477">
        <v>17</v>
      </c>
      <c r="H23" s="478">
        <f>SUM(F23:G23)</f>
        <v>17</v>
      </c>
      <c r="I23" s="481">
        <v>3.17</v>
      </c>
      <c r="J23" s="480">
        <f>3.17*0.95</f>
        <v>3.0114999999999998</v>
      </c>
      <c r="K23" s="479">
        <f>(I23-J23)/I23</f>
        <v>5.0000000000000031E-2</v>
      </c>
      <c r="L23" s="478">
        <v>33464</v>
      </c>
      <c r="M23" s="478">
        <f>(H23*L23)*K23</f>
        <v>28444.400000000016</v>
      </c>
      <c r="N23" s="477">
        <f>H23*I23*K23</f>
        <v>2.6945000000000019</v>
      </c>
      <c r="O23" s="477">
        <v>17</v>
      </c>
      <c r="P23" s="478">
        <f>N23*1000*17</f>
        <v>45806.500000000029</v>
      </c>
      <c r="Q23" s="477"/>
      <c r="T23" s="476"/>
    </row>
    <row r="24" spans="1:20" s="483" customFormat="1" ht="19.5" customHeight="1" x14ac:dyDescent="0.25">
      <c r="A24" s="485" t="s">
        <v>121</v>
      </c>
      <c r="B24" s="487"/>
      <c r="C24" s="486">
        <f>SUM(C25:C26)</f>
        <v>322</v>
      </c>
      <c r="D24" s="486">
        <f>SUM(D25:D26)</f>
        <v>348</v>
      </c>
      <c r="E24" s="487"/>
      <c r="F24" s="486">
        <f>SUM(F25:F26)</f>
        <v>348</v>
      </c>
      <c r="G24" s="486">
        <f>G25</f>
        <v>0</v>
      </c>
      <c r="H24" s="486">
        <f>SUM(H25:H26)</f>
        <v>348</v>
      </c>
      <c r="I24" s="489"/>
      <c r="J24" s="489"/>
      <c r="K24" s="488"/>
      <c r="L24" s="486"/>
      <c r="M24" s="486">
        <f>SUM(M25:M26)</f>
        <v>2536214.4000000004</v>
      </c>
      <c r="N24" s="486">
        <f>SUM(N25:N26)</f>
        <v>1076.2784000000001</v>
      </c>
      <c r="O24" s="487"/>
      <c r="P24" s="486">
        <f>SUM(P25:P26)</f>
        <v>18296732.800000001</v>
      </c>
      <c r="Q24" s="485"/>
      <c r="T24" s="484"/>
    </row>
    <row r="25" spans="1:20" s="475" customFormat="1" ht="18.75" customHeight="1" x14ac:dyDescent="0.25">
      <c r="A25" s="477" t="s">
        <v>104</v>
      </c>
      <c r="B25" s="477"/>
      <c r="C25" s="482">
        <v>122</v>
      </c>
      <c r="D25" s="477">
        <v>125</v>
      </c>
      <c r="E25" s="477" t="s">
        <v>117</v>
      </c>
      <c r="F25" s="477">
        <v>125</v>
      </c>
      <c r="G25" s="477"/>
      <c r="H25" s="478">
        <f>SUM(F25:G25)</f>
        <v>125</v>
      </c>
      <c r="I25" s="481">
        <v>3.17</v>
      </c>
      <c r="J25" s="480">
        <f>3.17*0.05</f>
        <v>0.1585</v>
      </c>
      <c r="K25" s="479">
        <f>(I25-J25)/I25</f>
        <v>0.95</v>
      </c>
      <c r="L25" s="478">
        <v>7470</v>
      </c>
      <c r="M25" s="478">
        <f>(H25*L25)*K25</f>
        <v>887062.5</v>
      </c>
      <c r="N25" s="477">
        <f>H25*I25*K25</f>
        <v>376.4375</v>
      </c>
      <c r="O25" s="477">
        <v>17</v>
      </c>
      <c r="P25" s="478">
        <f>N25*1000*17</f>
        <v>6399437.5</v>
      </c>
      <c r="Q25" s="477"/>
      <c r="T25" s="476"/>
    </row>
    <row r="26" spans="1:20" s="475" customFormat="1" ht="18.75" customHeight="1" x14ac:dyDescent="0.25">
      <c r="A26" s="477" t="s">
        <v>105</v>
      </c>
      <c r="B26" s="477"/>
      <c r="C26" s="482">
        <v>200</v>
      </c>
      <c r="D26" s="477">
        <v>223</v>
      </c>
      <c r="E26" s="477" t="s">
        <v>117</v>
      </c>
      <c r="F26" s="477">
        <v>223</v>
      </c>
      <c r="G26" s="477"/>
      <c r="H26" s="478">
        <f>SUM(F26:G26)</f>
        <v>223</v>
      </c>
      <c r="I26" s="481">
        <v>3.17</v>
      </c>
      <c r="J26" s="480">
        <f>3.17*0.01</f>
        <v>3.1699999999999999E-2</v>
      </c>
      <c r="K26" s="479">
        <f>(I26-J26)/I26</f>
        <v>0.9900000000000001</v>
      </c>
      <c r="L26" s="478">
        <v>7470</v>
      </c>
      <c r="M26" s="478">
        <f>(H26*L26)*K26</f>
        <v>1649151.9000000001</v>
      </c>
      <c r="N26" s="477">
        <f>H26*I26*K26</f>
        <v>699.84090000000003</v>
      </c>
      <c r="O26" s="477">
        <v>17</v>
      </c>
      <c r="P26" s="478">
        <f>N26*1000*17</f>
        <v>11897295.300000001</v>
      </c>
      <c r="Q26" s="477"/>
      <c r="T26" s="476"/>
    </row>
    <row r="27" spans="1:20" s="483" customFormat="1" ht="19.5" customHeight="1" x14ac:dyDescent="0.25">
      <c r="A27" s="485" t="s">
        <v>115</v>
      </c>
      <c r="B27" s="487"/>
      <c r="C27" s="486">
        <f>SUM(C30:C46)</f>
        <v>7010</v>
      </c>
      <c r="D27" s="486">
        <f>SUM(D30:D46)</f>
        <v>9454.19</v>
      </c>
      <c r="E27" s="487"/>
      <c r="F27" s="486">
        <f>SUM(F28:F46)</f>
        <v>6906.25</v>
      </c>
      <c r="G27" s="486">
        <f>SUM(G28:G46)</f>
        <v>2537.5</v>
      </c>
      <c r="H27" s="486">
        <f>SUM(H28:H46)</f>
        <v>9443.75</v>
      </c>
      <c r="I27" s="489"/>
      <c r="J27" s="489"/>
      <c r="K27" s="488"/>
      <c r="L27" s="486"/>
      <c r="M27" s="486">
        <f>SUM(M30:M46)</f>
        <v>45625748.672975935</v>
      </c>
      <c r="N27" s="486">
        <f>SUM(N30:N46)</f>
        <v>19835.215355</v>
      </c>
      <c r="O27" s="487"/>
      <c r="P27" s="486">
        <f>SUM(P30:P46)</f>
        <v>337198661.03499997</v>
      </c>
      <c r="Q27" s="485"/>
      <c r="T27" s="484"/>
    </row>
    <row r="28" spans="1:20" s="475" customFormat="1" ht="19.5" customHeight="1" x14ac:dyDescent="0.25">
      <c r="A28" s="477" t="s">
        <v>87</v>
      </c>
      <c r="B28" s="477"/>
      <c r="C28" s="482">
        <v>600</v>
      </c>
      <c r="D28" s="482">
        <v>635</v>
      </c>
      <c r="E28" s="482" t="s">
        <v>117</v>
      </c>
      <c r="F28" s="482">
        <v>630</v>
      </c>
      <c r="G28" s="482">
        <v>35</v>
      </c>
      <c r="H28" s="478">
        <f>SUM(F28:G28)</f>
        <v>665</v>
      </c>
      <c r="I28" s="481">
        <v>3.17</v>
      </c>
      <c r="J28" s="480">
        <v>0.03</v>
      </c>
      <c r="K28" s="479">
        <f>(I28-J28)/I28</f>
        <v>0.99053627760252372</v>
      </c>
      <c r="L28" s="478">
        <v>7470</v>
      </c>
      <c r="M28" s="478">
        <f>(H28*L28)*K28</f>
        <v>4920538.4858044162</v>
      </c>
      <c r="N28" s="477">
        <f>H28*I28*K28</f>
        <v>2088.1</v>
      </c>
      <c r="O28" s="477">
        <v>17</v>
      </c>
      <c r="P28" s="478">
        <f>N28*1000*17</f>
        <v>35497700</v>
      </c>
      <c r="Q28" s="478"/>
      <c r="T28" s="476"/>
    </row>
    <row r="29" spans="1:20" s="523" customFormat="1" ht="19.5" customHeight="1" x14ac:dyDescent="0.25">
      <c r="A29" s="517" t="s">
        <v>92</v>
      </c>
      <c r="B29" s="517"/>
      <c r="C29" s="518">
        <v>13</v>
      </c>
      <c r="D29" s="518">
        <v>21</v>
      </c>
      <c r="E29" s="518">
        <v>0</v>
      </c>
      <c r="F29" s="518">
        <v>0</v>
      </c>
      <c r="G29" s="518">
        <v>14.9</v>
      </c>
      <c r="H29" s="519">
        <v>14.9</v>
      </c>
      <c r="I29" s="520">
        <v>6.34</v>
      </c>
      <c r="J29" s="521">
        <v>2.883</v>
      </c>
      <c r="K29" s="522">
        <v>1.0905362776025236</v>
      </c>
      <c r="L29" s="519">
        <v>14940</v>
      </c>
      <c r="M29" s="519">
        <v>76988.129337539431</v>
      </c>
      <c r="N29" s="517">
        <v>32.670999999999999</v>
      </c>
      <c r="O29" s="517">
        <v>34</v>
      </c>
      <c r="P29" s="519">
        <v>555407.00000000012</v>
      </c>
      <c r="Q29" s="519"/>
      <c r="T29" s="524"/>
    </row>
    <row r="30" spans="1:20" s="475" customFormat="1" ht="19.5" customHeight="1" x14ac:dyDescent="0.25">
      <c r="A30" s="477" t="s">
        <v>188</v>
      </c>
      <c r="B30" s="477"/>
      <c r="C30" s="482">
        <v>170</v>
      </c>
      <c r="D30" s="482">
        <v>50</v>
      </c>
      <c r="E30" s="482" t="s">
        <v>117</v>
      </c>
      <c r="F30" s="482">
        <v>49.9</v>
      </c>
      <c r="G30" s="482"/>
      <c r="H30" s="478">
        <f>SUM(F30:G30)</f>
        <v>49.9</v>
      </c>
      <c r="I30" s="481">
        <v>3.17</v>
      </c>
      <c r="J30" s="480">
        <v>0.03</v>
      </c>
      <c r="K30" s="479">
        <f>(I30-J30)/I30</f>
        <v>0.99053627760252372</v>
      </c>
      <c r="L30" s="478">
        <v>7470</v>
      </c>
      <c r="M30" s="478">
        <f>(H30*L30)*K30</f>
        <v>369225.36908517353</v>
      </c>
      <c r="N30" s="477">
        <f>H30*I30*K30</f>
        <v>156.68600000000001</v>
      </c>
      <c r="O30" s="477">
        <v>17</v>
      </c>
      <c r="P30" s="478">
        <f>N30*1000*17</f>
        <v>2663662</v>
      </c>
      <c r="Q30" s="478"/>
      <c r="T30" s="476"/>
    </row>
    <row r="31" spans="1:20" s="523" customFormat="1" ht="19.5" customHeight="1" x14ac:dyDescent="0.25">
      <c r="A31" s="517" t="s">
        <v>84</v>
      </c>
      <c r="B31" s="517"/>
      <c r="C31" s="518">
        <v>617</v>
      </c>
      <c r="D31" s="518">
        <v>403</v>
      </c>
      <c r="E31" s="518">
        <v>0</v>
      </c>
      <c r="F31" s="518">
        <v>202.8</v>
      </c>
      <c r="G31" s="518">
        <v>153.80000000000001</v>
      </c>
      <c r="H31" s="518">
        <v>356.6</v>
      </c>
      <c r="I31" s="518">
        <v>9.51</v>
      </c>
      <c r="J31" s="518">
        <v>9.1700000000000004E-2</v>
      </c>
      <c r="K31" s="518">
        <v>2.9710725552050476</v>
      </c>
      <c r="L31" s="518">
        <v>58708</v>
      </c>
      <c r="M31" s="518">
        <v>2832619.9929842278</v>
      </c>
      <c r="N31" s="518">
        <v>1119.7148200000001</v>
      </c>
      <c r="O31" s="518">
        <v>51</v>
      </c>
      <c r="P31" s="518">
        <v>19035151.940000005</v>
      </c>
      <c r="Q31" s="519"/>
      <c r="T31" s="524"/>
    </row>
    <row r="32" spans="1:20" s="475" customFormat="1" ht="19.5" customHeight="1" x14ac:dyDescent="0.25">
      <c r="A32" s="477" t="s">
        <v>220</v>
      </c>
      <c r="B32" s="477"/>
      <c r="C32" s="482"/>
      <c r="D32" s="482">
        <v>30</v>
      </c>
      <c r="E32" s="482" t="s">
        <v>117</v>
      </c>
      <c r="F32" s="482">
        <v>29.8</v>
      </c>
      <c r="G32" s="482"/>
      <c r="H32" s="478">
        <f>SUM(F32:G32)</f>
        <v>29.8</v>
      </c>
      <c r="I32" s="481">
        <v>3.17</v>
      </c>
      <c r="J32" s="480">
        <v>0.03</v>
      </c>
      <c r="K32" s="479">
        <f>(I32-J32)/I32</f>
        <v>0.99053627760252372</v>
      </c>
      <c r="L32" s="478">
        <v>7470</v>
      </c>
      <c r="M32" s="478">
        <f>(H32*L32)*K32</f>
        <v>220499.3186119874</v>
      </c>
      <c r="N32" s="477">
        <f>H32*I32*K32</f>
        <v>93.572000000000003</v>
      </c>
      <c r="O32" s="477">
        <v>17</v>
      </c>
      <c r="P32" s="478">
        <f>N32*1000*17</f>
        <v>1590724</v>
      </c>
      <c r="Q32" s="478"/>
      <c r="T32" s="476"/>
    </row>
    <row r="33" spans="1:20" s="475" customFormat="1" ht="19.5" customHeight="1" x14ac:dyDescent="0.25">
      <c r="A33" s="477" t="s">
        <v>3</v>
      </c>
      <c r="B33" s="477"/>
      <c r="C33" s="482">
        <v>250</v>
      </c>
      <c r="D33" s="482">
        <v>238</v>
      </c>
      <c r="E33" s="482" t="s">
        <v>117</v>
      </c>
      <c r="F33" s="482"/>
      <c r="G33" s="482">
        <v>237.9</v>
      </c>
      <c r="H33" s="478">
        <f>SUM(F33:G33)</f>
        <v>237.9</v>
      </c>
      <c r="I33" s="481">
        <v>3.17</v>
      </c>
      <c r="J33" s="480">
        <v>0.03</v>
      </c>
      <c r="K33" s="479">
        <f>(I33-J33)/I33</f>
        <v>0.99053627760252372</v>
      </c>
      <c r="L33" s="478">
        <v>7470</v>
      </c>
      <c r="M33" s="478">
        <f>(H33*L33)*K33</f>
        <v>1760294.8958990537</v>
      </c>
      <c r="N33" s="477">
        <f>H33*I33*K33</f>
        <v>747.00600000000009</v>
      </c>
      <c r="O33" s="477">
        <v>17</v>
      </c>
      <c r="P33" s="478">
        <f>N33*1000*17</f>
        <v>12699102.000000002</v>
      </c>
      <c r="Q33" s="478"/>
      <c r="T33" s="476"/>
    </row>
    <row r="34" spans="1:20" s="475" customFormat="1" ht="19.5" customHeight="1" x14ac:dyDescent="0.25">
      <c r="A34" s="477" t="s">
        <v>111</v>
      </c>
      <c r="B34" s="477"/>
      <c r="C34" s="482">
        <v>260</v>
      </c>
      <c r="D34" s="482">
        <v>243.6</v>
      </c>
      <c r="E34" s="482" t="s">
        <v>117</v>
      </c>
      <c r="F34" s="482">
        <v>224.4</v>
      </c>
      <c r="G34" s="482"/>
      <c r="H34" s="478">
        <f>SUM(F34:G34)</f>
        <v>224.4</v>
      </c>
      <c r="I34" s="481">
        <v>3.17</v>
      </c>
      <c r="J34" s="480">
        <v>0.03</v>
      </c>
      <c r="K34" s="479">
        <f>(I34-J34)/I34</f>
        <v>0.99053627760252372</v>
      </c>
      <c r="L34" s="478">
        <v>7470</v>
      </c>
      <c r="M34" s="478">
        <f>(H34*L34)*K34</f>
        <v>1660404.2649842273</v>
      </c>
      <c r="N34" s="477">
        <f>H34*I34*K34</f>
        <v>704.61599999999999</v>
      </c>
      <c r="O34" s="477">
        <v>17</v>
      </c>
      <c r="P34" s="478">
        <f>N34*1000*17</f>
        <v>11978472</v>
      </c>
      <c r="Q34" s="478"/>
      <c r="T34" s="476"/>
    </row>
    <row r="35" spans="1:20" s="523" customFormat="1" ht="19.5" customHeight="1" x14ac:dyDescent="0.25">
      <c r="A35" s="517" t="s">
        <v>94</v>
      </c>
      <c r="B35" s="517"/>
      <c r="C35" s="518">
        <v>62</v>
      </c>
      <c r="D35" s="518">
        <v>93.75</v>
      </c>
      <c r="E35" s="518">
        <v>0</v>
      </c>
      <c r="F35" s="518">
        <v>92.75</v>
      </c>
      <c r="G35" s="518">
        <v>1</v>
      </c>
      <c r="H35" s="518">
        <v>93.75</v>
      </c>
      <c r="I35" s="518">
        <v>9.51</v>
      </c>
      <c r="J35" s="518">
        <v>9.1700000000000004E-2</v>
      </c>
      <c r="K35" s="518">
        <v>2.9710725552050476</v>
      </c>
      <c r="L35" s="518">
        <v>58708</v>
      </c>
      <c r="M35" s="518">
        <v>729271.87279179809</v>
      </c>
      <c r="N35" s="518">
        <v>294.21902499999999</v>
      </c>
      <c r="O35" s="518">
        <v>52</v>
      </c>
      <c r="P35" s="518">
        <v>5001723.4250000007</v>
      </c>
      <c r="Q35" s="519"/>
      <c r="T35" s="524"/>
    </row>
    <row r="36" spans="1:20" s="475" customFormat="1" ht="19.5" customHeight="1" x14ac:dyDescent="0.25">
      <c r="A36" s="477" t="s">
        <v>106</v>
      </c>
      <c r="B36" s="477"/>
      <c r="C36" s="482"/>
      <c r="D36" s="482">
        <v>500</v>
      </c>
      <c r="E36" s="482" t="s">
        <v>117</v>
      </c>
      <c r="F36" s="482">
        <v>500</v>
      </c>
      <c r="G36" s="482"/>
      <c r="H36" s="478">
        <f>SUM(F36:G36)</f>
        <v>500</v>
      </c>
      <c r="I36" s="481">
        <v>3.17</v>
      </c>
      <c r="J36" s="480">
        <v>0.03</v>
      </c>
      <c r="K36" s="479">
        <f>(I36-J36)/I36</f>
        <v>0.99053627760252372</v>
      </c>
      <c r="L36" s="478">
        <v>7470</v>
      </c>
      <c r="M36" s="478">
        <f>(H36*L36)*K36</f>
        <v>3699652.996845426</v>
      </c>
      <c r="N36" s="477">
        <f>H36*I36*K36</f>
        <v>1570</v>
      </c>
      <c r="O36" s="477">
        <v>17</v>
      </c>
      <c r="P36" s="478">
        <f>N36*1000*17</f>
        <v>26690000</v>
      </c>
      <c r="Q36" s="478"/>
      <c r="T36" s="476"/>
    </row>
    <row r="37" spans="1:20" s="475" customFormat="1" ht="19.5" customHeight="1" x14ac:dyDescent="0.25">
      <c r="A37" s="477" t="s">
        <v>110</v>
      </c>
      <c r="B37" s="477"/>
      <c r="C37" s="482">
        <v>266</v>
      </c>
      <c r="D37" s="482">
        <v>143</v>
      </c>
      <c r="E37" s="482" t="s">
        <v>117</v>
      </c>
      <c r="F37" s="482">
        <v>128.69999999999999</v>
      </c>
      <c r="G37" s="482"/>
      <c r="H37" s="478">
        <f>SUM(F37:G37)</f>
        <v>128.69999999999999</v>
      </c>
      <c r="I37" s="481">
        <v>3.17</v>
      </c>
      <c r="J37" s="480">
        <f>3.17*0.01</f>
        <v>3.1699999999999999E-2</v>
      </c>
      <c r="K37" s="479">
        <f>(I37-J37)/I37</f>
        <v>0.9900000000000001</v>
      </c>
      <c r="L37" s="478">
        <v>7470</v>
      </c>
      <c r="M37" s="478">
        <f>(H37*L37)*K37</f>
        <v>951775.11</v>
      </c>
      <c r="N37" s="477">
        <f>H37*I37*K37</f>
        <v>403.89920999999998</v>
      </c>
      <c r="O37" s="477">
        <v>17</v>
      </c>
      <c r="P37" s="478">
        <f>N37*1000*17</f>
        <v>6866286.5699999994</v>
      </c>
      <c r="Q37" s="478"/>
      <c r="T37" s="476"/>
    </row>
    <row r="38" spans="1:20" s="475" customFormat="1" ht="24.95" customHeight="1" x14ac:dyDescent="0.25">
      <c r="A38" s="477" t="s">
        <v>88</v>
      </c>
      <c r="B38" s="477"/>
      <c r="C38" s="482">
        <v>1305</v>
      </c>
      <c r="D38" s="477">
        <v>1593</v>
      </c>
      <c r="E38" s="477" t="s">
        <v>123</v>
      </c>
      <c r="F38" s="477">
        <v>1592.8</v>
      </c>
      <c r="G38" s="477"/>
      <c r="H38" s="478">
        <f>SUM(F38:G38)</f>
        <v>1592.8</v>
      </c>
      <c r="I38" s="481">
        <v>4.17</v>
      </c>
      <c r="J38" s="480">
        <f>3.17*0.9</f>
        <v>2.8530000000000002</v>
      </c>
      <c r="K38" s="479">
        <f>(I38-J38)/I38</f>
        <v>0.31582733812949632</v>
      </c>
      <c r="L38" s="478">
        <v>7471</v>
      </c>
      <c r="M38" s="478">
        <f>(H38*L38)*K38</f>
        <v>3758284.9375539552</v>
      </c>
      <c r="N38" s="477">
        <f>H38*I38*K38</f>
        <v>2097.7175999999995</v>
      </c>
      <c r="O38" s="477">
        <v>18</v>
      </c>
      <c r="P38" s="478">
        <f>N38*1000*17</f>
        <v>35661199.199999996</v>
      </c>
      <c r="Q38" s="477"/>
      <c r="T38" s="476"/>
    </row>
    <row r="39" spans="1:20" s="523" customFormat="1" ht="24.95" customHeight="1" x14ac:dyDescent="0.25">
      <c r="A39" s="517" t="s">
        <v>109</v>
      </c>
      <c r="B39" s="517"/>
      <c r="C39" s="518">
        <v>184</v>
      </c>
      <c r="D39" s="518">
        <v>1450</v>
      </c>
      <c r="E39" s="518">
        <v>0</v>
      </c>
      <c r="F39" s="518">
        <v>202.2</v>
      </c>
      <c r="G39" s="518">
        <v>806.4</v>
      </c>
      <c r="H39" s="518">
        <v>1008.5999999999999</v>
      </c>
      <c r="I39" s="518">
        <v>7.34</v>
      </c>
      <c r="J39" s="518">
        <v>5.7060000000000004</v>
      </c>
      <c r="K39" s="518">
        <v>0.41582733812949624</v>
      </c>
      <c r="L39" s="518">
        <v>14941</v>
      </c>
      <c r="M39" s="518">
        <v>882427.88345323666</v>
      </c>
      <c r="N39" s="518">
        <v>399.72619999999972</v>
      </c>
      <c r="O39" s="518">
        <v>35</v>
      </c>
      <c r="P39" s="518">
        <v>6795345.3999999966</v>
      </c>
      <c r="Q39" s="517"/>
      <c r="T39" s="524"/>
    </row>
    <row r="40" spans="1:20" s="475" customFormat="1" ht="24.95" customHeight="1" x14ac:dyDescent="0.25">
      <c r="A40" s="477" t="s">
        <v>240</v>
      </c>
      <c r="B40" s="477"/>
      <c r="C40" s="482">
        <v>1097</v>
      </c>
      <c r="D40" s="477">
        <v>1235.3399999999999</v>
      </c>
      <c r="E40" s="477" t="s">
        <v>123</v>
      </c>
      <c r="F40" s="477">
        <v>636.79999999999995</v>
      </c>
      <c r="G40" s="477">
        <v>599</v>
      </c>
      <c r="H40" s="478">
        <f t="shared" ref="H40:H46" si="0">SUM(F40:G40)</f>
        <v>1235.8</v>
      </c>
      <c r="I40" s="481">
        <v>3.17</v>
      </c>
      <c r="J40" s="480">
        <v>0.03</v>
      </c>
      <c r="K40" s="479">
        <f t="shared" ref="K40:K46" si="1">(I40-J40)/I40</f>
        <v>0.99053627760252372</v>
      </c>
      <c r="L40" s="478">
        <v>7471</v>
      </c>
      <c r="M40" s="478">
        <f t="shared" ref="M40:M46" si="2">(H40*L40)*K40</f>
        <v>9145286.451735016</v>
      </c>
      <c r="N40" s="477">
        <f t="shared" ref="N40:N46" si="3">H40*I40*K40</f>
        <v>3880.4120000000003</v>
      </c>
      <c r="O40" s="477">
        <v>17</v>
      </c>
      <c r="P40" s="478">
        <f t="shared" ref="P40:P46" si="4">N40*1000*17</f>
        <v>65967004.000000007</v>
      </c>
      <c r="Q40" s="477"/>
      <c r="T40" s="476"/>
    </row>
    <row r="41" spans="1:20" s="475" customFormat="1" ht="24.95" customHeight="1" x14ac:dyDescent="0.25">
      <c r="A41" s="477" t="s">
        <v>90</v>
      </c>
      <c r="B41" s="477"/>
      <c r="C41" s="482">
        <v>194</v>
      </c>
      <c r="D41" s="477">
        <v>274</v>
      </c>
      <c r="E41" s="477" t="s">
        <v>123</v>
      </c>
      <c r="F41" s="477">
        <v>244.6</v>
      </c>
      <c r="G41" s="477"/>
      <c r="H41" s="478">
        <f t="shared" si="0"/>
        <v>244.6</v>
      </c>
      <c r="I41" s="481">
        <v>3.17</v>
      </c>
      <c r="J41" s="480">
        <v>0.03</v>
      </c>
      <c r="K41" s="479">
        <f t="shared" si="1"/>
        <v>0.99053627760252372</v>
      </c>
      <c r="L41" s="478">
        <v>7471</v>
      </c>
      <c r="M41" s="478">
        <f t="shared" si="2"/>
        <v>1810112.5312302839</v>
      </c>
      <c r="N41" s="477">
        <f t="shared" si="3"/>
        <v>768.04399999999998</v>
      </c>
      <c r="O41" s="477">
        <v>17</v>
      </c>
      <c r="P41" s="478">
        <f t="shared" si="4"/>
        <v>13056748</v>
      </c>
      <c r="Q41" s="477"/>
      <c r="T41" s="476"/>
    </row>
    <row r="42" spans="1:20" s="475" customFormat="1" ht="24.95" customHeight="1" x14ac:dyDescent="0.25">
      <c r="A42" s="477" t="s">
        <v>112</v>
      </c>
      <c r="B42" s="477"/>
      <c r="C42" s="482">
        <v>1195</v>
      </c>
      <c r="D42" s="477">
        <v>1350</v>
      </c>
      <c r="E42" s="477" t="s">
        <v>123</v>
      </c>
      <c r="F42" s="477">
        <v>1210</v>
      </c>
      <c r="G42" s="477"/>
      <c r="H42" s="478">
        <f t="shared" si="0"/>
        <v>1210</v>
      </c>
      <c r="I42" s="481">
        <v>3.17</v>
      </c>
      <c r="J42" s="480">
        <v>0.03</v>
      </c>
      <c r="K42" s="479">
        <f t="shared" si="1"/>
        <v>0.99053627760252372</v>
      </c>
      <c r="L42" s="478">
        <v>7471</v>
      </c>
      <c r="M42" s="478">
        <f t="shared" si="2"/>
        <v>8954358.8012618311</v>
      </c>
      <c r="N42" s="477">
        <f t="shared" si="3"/>
        <v>3799.4</v>
      </c>
      <c r="O42" s="477">
        <v>17</v>
      </c>
      <c r="P42" s="478">
        <f t="shared" si="4"/>
        <v>64589800</v>
      </c>
      <c r="Q42" s="477"/>
      <c r="T42" s="476"/>
    </row>
    <row r="43" spans="1:20" s="475" customFormat="1" ht="24.95" customHeight="1" x14ac:dyDescent="0.25">
      <c r="A43" s="477" t="s">
        <v>221</v>
      </c>
      <c r="B43" s="477"/>
      <c r="C43" s="482">
        <v>798</v>
      </c>
      <c r="D43" s="477">
        <v>1088.5</v>
      </c>
      <c r="E43" s="477" t="s">
        <v>123</v>
      </c>
      <c r="F43" s="477">
        <v>533</v>
      </c>
      <c r="G43" s="477">
        <v>555.5</v>
      </c>
      <c r="H43" s="478">
        <f t="shared" si="0"/>
        <v>1088.5</v>
      </c>
      <c r="I43" s="481">
        <v>3.17</v>
      </c>
      <c r="J43" s="480">
        <v>0.03</v>
      </c>
      <c r="K43" s="479">
        <f t="shared" si="1"/>
        <v>0.99053627760252372</v>
      </c>
      <c r="L43" s="478">
        <v>7471</v>
      </c>
      <c r="M43" s="478">
        <f t="shared" si="2"/>
        <v>8055222.7728706626</v>
      </c>
      <c r="N43" s="477">
        <f t="shared" si="3"/>
        <v>3417.8900000000003</v>
      </c>
      <c r="O43" s="477">
        <v>17</v>
      </c>
      <c r="P43" s="478">
        <f t="shared" si="4"/>
        <v>58104130.000000007</v>
      </c>
      <c r="Q43" s="477"/>
      <c r="T43" s="476"/>
    </row>
    <row r="44" spans="1:20" s="475" customFormat="1" ht="24.95" customHeight="1" x14ac:dyDescent="0.25">
      <c r="A44" s="477" t="s">
        <v>114</v>
      </c>
      <c r="B44" s="477"/>
      <c r="C44" s="482"/>
      <c r="D44" s="482">
        <v>40</v>
      </c>
      <c r="E44" s="477" t="s">
        <v>219</v>
      </c>
      <c r="F44" s="477">
        <v>12.6</v>
      </c>
      <c r="G44" s="477">
        <v>28</v>
      </c>
      <c r="H44" s="478">
        <f t="shared" si="0"/>
        <v>40.6</v>
      </c>
      <c r="I44" s="481">
        <v>4.17</v>
      </c>
      <c r="J44" s="480">
        <f>3.17*0.9</f>
        <v>2.8530000000000002</v>
      </c>
      <c r="K44" s="479">
        <f t="shared" si="1"/>
        <v>0.31582733812949632</v>
      </c>
      <c r="L44" s="478">
        <v>7471</v>
      </c>
      <c r="M44" s="478">
        <f t="shared" si="2"/>
        <v>95797.569352517967</v>
      </c>
      <c r="N44" s="477">
        <f t="shared" si="3"/>
        <v>53.470199999999984</v>
      </c>
      <c r="O44" s="477">
        <v>17</v>
      </c>
      <c r="P44" s="478">
        <f t="shared" si="4"/>
        <v>908993.39999999967</v>
      </c>
      <c r="Q44" s="477"/>
      <c r="T44" s="476"/>
    </row>
    <row r="45" spans="1:20" s="475" customFormat="1" ht="24.95" customHeight="1" x14ac:dyDescent="0.25">
      <c r="A45" s="477" t="s">
        <v>113</v>
      </c>
      <c r="B45" s="477"/>
      <c r="C45" s="482"/>
      <c r="D45" s="477">
        <v>100</v>
      </c>
      <c r="E45" s="477" t="s">
        <v>219</v>
      </c>
      <c r="F45" s="477">
        <v>100</v>
      </c>
      <c r="G45" s="477"/>
      <c r="H45" s="478">
        <f t="shared" si="0"/>
        <v>100</v>
      </c>
      <c r="I45" s="481">
        <v>4.17</v>
      </c>
      <c r="J45" s="480">
        <f>3.17*0.9</f>
        <v>2.8530000000000002</v>
      </c>
      <c r="K45" s="479">
        <f t="shared" si="1"/>
        <v>0.31582733812949632</v>
      </c>
      <c r="L45" s="478">
        <v>7471</v>
      </c>
      <c r="M45" s="478">
        <f t="shared" si="2"/>
        <v>235954.6043165467</v>
      </c>
      <c r="N45" s="477">
        <f t="shared" si="3"/>
        <v>131.69999999999996</v>
      </c>
      <c r="O45" s="477">
        <v>18</v>
      </c>
      <c r="P45" s="478">
        <f t="shared" si="4"/>
        <v>2238899.9999999995</v>
      </c>
      <c r="Q45" s="477"/>
      <c r="T45" s="476"/>
    </row>
    <row r="46" spans="1:20" s="475" customFormat="1" ht="24.95" customHeight="1" x14ac:dyDescent="0.25">
      <c r="A46" s="477" t="s">
        <v>91</v>
      </c>
      <c r="B46" s="477"/>
      <c r="C46" s="482">
        <v>612</v>
      </c>
      <c r="D46" s="477">
        <v>622</v>
      </c>
      <c r="E46" s="477" t="s">
        <v>123</v>
      </c>
      <c r="F46" s="477">
        <v>515.9</v>
      </c>
      <c r="G46" s="477">
        <v>106</v>
      </c>
      <c r="H46" s="478">
        <f t="shared" si="0"/>
        <v>621.9</v>
      </c>
      <c r="I46" s="481">
        <v>3.17</v>
      </c>
      <c r="J46" s="480">
        <f>3.17*0.9</f>
        <v>2.8530000000000002</v>
      </c>
      <c r="K46" s="479">
        <f t="shared" si="1"/>
        <v>9.9999999999999922E-2</v>
      </c>
      <c r="L46" s="478">
        <v>7470</v>
      </c>
      <c r="M46" s="478">
        <f t="shared" si="2"/>
        <v>464559.29999999964</v>
      </c>
      <c r="N46" s="477">
        <f t="shared" si="3"/>
        <v>197.14229999999984</v>
      </c>
      <c r="O46" s="477">
        <v>17</v>
      </c>
      <c r="P46" s="478">
        <f t="shared" si="4"/>
        <v>3351419.0999999973</v>
      </c>
      <c r="Q46" s="477"/>
      <c r="T46" s="476"/>
    </row>
    <row r="48" spans="1:20" s="469" customFormat="1" ht="18.95" customHeight="1" x14ac:dyDescent="0.25">
      <c r="A48" s="470" t="s">
        <v>195</v>
      </c>
      <c r="B48" s="470"/>
      <c r="C48" s="471"/>
      <c r="D48" s="471"/>
      <c r="E48" s="471"/>
      <c r="F48" s="470"/>
      <c r="G48" s="470" t="s">
        <v>239</v>
      </c>
      <c r="H48" s="470"/>
      <c r="I48" s="470"/>
      <c r="J48" s="470"/>
      <c r="K48" s="470"/>
      <c r="L48" s="470"/>
      <c r="M48" s="470"/>
      <c r="N48" s="470"/>
      <c r="O48" s="470"/>
      <c r="P48" s="470"/>
      <c r="Q48" s="470"/>
    </row>
    <row r="49" spans="1:17" s="469" customFormat="1" ht="18.95" customHeight="1" x14ac:dyDescent="0.25">
      <c r="A49" s="470"/>
      <c r="B49" s="470"/>
      <c r="C49" s="471"/>
      <c r="D49" s="471"/>
      <c r="E49" s="471"/>
      <c r="F49" s="470"/>
      <c r="G49" s="470"/>
      <c r="H49" s="470"/>
      <c r="I49" s="470"/>
      <c r="J49" s="470"/>
      <c r="K49" s="470"/>
      <c r="L49" s="470"/>
      <c r="M49" s="470"/>
      <c r="N49" s="470"/>
      <c r="O49" s="470"/>
      <c r="P49" s="470"/>
      <c r="Q49" s="470"/>
    </row>
    <row r="50" spans="1:17" s="469" customFormat="1" ht="18.95" customHeight="1" x14ac:dyDescent="0.25">
      <c r="A50" s="470"/>
      <c r="B50" s="470"/>
      <c r="C50" s="471"/>
      <c r="D50" s="471"/>
      <c r="E50" s="471"/>
      <c r="F50" s="470"/>
      <c r="G50" s="470"/>
      <c r="H50" s="470"/>
      <c r="I50" s="470"/>
      <c r="J50" s="470"/>
      <c r="K50" s="470"/>
      <c r="L50" s="470"/>
      <c r="M50" s="470"/>
      <c r="N50" s="470"/>
      <c r="O50" s="470"/>
      <c r="P50" s="470"/>
      <c r="Q50" s="470"/>
    </row>
    <row r="51" spans="1:17" s="469" customFormat="1" ht="18.95" customHeight="1" x14ac:dyDescent="0.25">
      <c r="A51" s="470"/>
      <c r="B51" s="470"/>
      <c r="C51" s="471"/>
      <c r="D51" s="471"/>
      <c r="E51" s="471"/>
      <c r="F51" s="470"/>
      <c r="G51" s="470"/>
      <c r="H51" s="470"/>
      <c r="I51" s="470"/>
      <c r="J51" s="470"/>
      <c r="K51" s="470"/>
      <c r="L51" s="470"/>
      <c r="M51" s="470"/>
      <c r="N51" s="470"/>
      <c r="O51" s="470"/>
      <c r="P51" s="470"/>
      <c r="Q51" s="470"/>
    </row>
    <row r="52" spans="1:17" s="472" customFormat="1" ht="18.95" customHeight="1" x14ac:dyDescent="0.25">
      <c r="A52" s="473"/>
      <c r="B52" s="473"/>
      <c r="C52" s="474" t="s">
        <v>238</v>
      </c>
      <c r="D52" s="474"/>
      <c r="E52" s="474"/>
      <c r="F52" s="473"/>
      <c r="G52" s="473" t="s">
        <v>237</v>
      </c>
      <c r="H52" s="473"/>
      <c r="I52" s="473"/>
      <c r="J52" s="473"/>
      <c r="K52" s="473"/>
      <c r="L52" s="473"/>
      <c r="M52" s="473"/>
      <c r="N52" s="473"/>
      <c r="O52" s="473"/>
      <c r="P52" s="473"/>
      <c r="Q52" s="473"/>
    </row>
    <row r="53" spans="1:17" s="469" customFormat="1" ht="18.95" customHeight="1" x14ac:dyDescent="0.25">
      <c r="A53" s="470"/>
      <c r="B53" s="470"/>
      <c r="C53" s="471"/>
      <c r="D53" s="471"/>
      <c r="E53" s="471"/>
      <c r="F53" s="470"/>
      <c r="G53" s="470" t="s">
        <v>189</v>
      </c>
      <c r="H53" s="470"/>
      <c r="I53" s="470"/>
      <c r="J53" s="470"/>
      <c r="K53" s="470"/>
      <c r="L53" s="470"/>
      <c r="M53" s="470"/>
      <c r="N53" s="470"/>
      <c r="O53" s="470"/>
      <c r="P53" s="470"/>
      <c r="Q53" s="470"/>
    </row>
  </sheetData>
  <mergeCells count="17">
    <mergeCell ref="F12:H13"/>
    <mergeCell ref="I12:J13"/>
    <mergeCell ref="K12:K14"/>
    <mergeCell ref="L12:P12"/>
    <mergeCell ref="Q12:Q14"/>
    <mergeCell ref="L13:M13"/>
    <mergeCell ref="N13:P13"/>
    <mergeCell ref="A1:Q1"/>
    <mergeCell ref="A2:Q2"/>
    <mergeCell ref="A3:Q3"/>
    <mergeCell ref="A4:Q4"/>
    <mergeCell ref="A11:Q11"/>
    <mergeCell ref="A12:A14"/>
    <mergeCell ref="B12:B14"/>
    <mergeCell ref="C12:C14"/>
    <mergeCell ref="D12:D14"/>
    <mergeCell ref="E12:E14"/>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4" customWidth="1"/>
    <col min="2" max="2" width="16.42578125" style="14" hidden="1" customWidth="1"/>
    <col min="3" max="3" width="15.28515625" style="22" customWidth="1"/>
    <col min="4" max="4" width="14.85546875" style="22" customWidth="1"/>
    <col min="5" max="5" width="28.7109375" style="15" customWidth="1"/>
    <col min="6" max="6" width="11.85546875" style="18" customWidth="1"/>
    <col min="7" max="7" width="12" style="18" customWidth="1"/>
    <col min="8" max="8" width="11" style="18" customWidth="1"/>
    <col min="9" max="9" width="11" style="14" bestFit="1" customWidth="1"/>
    <col min="10" max="10" width="12" style="21" customWidth="1"/>
    <col min="11" max="11" width="9.28515625" style="20" customWidth="1"/>
    <col min="12" max="12" width="14.85546875" style="19" customWidth="1"/>
    <col min="13" max="13" width="19.28515625" style="16" customWidth="1"/>
    <col min="14" max="14" width="11.42578125" style="18" customWidth="1"/>
    <col min="15" max="15" width="7.85546875" style="17" customWidth="1"/>
    <col min="16" max="16" width="18.140625" style="16" customWidth="1"/>
    <col min="17" max="17" width="15.42578125" style="16" hidden="1" customWidth="1"/>
    <col min="18" max="18" width="34.42578125" style="14" customWidth="1"/>
    <col min="19" max="19" width="18" style="14" customWidth="1"/>
    <col min="20" max="20" width="22.7109375" style="15" customWidth="1"/>
    <col min="21" max="21" width="29.28515625" style="14" customWidth="1"/>
    <col min="22" max="16384" width="11.42578125" style="14"/>
  </cols>
  <sheetData>
    <row r="1" spans="1:21" ht="36" customHeight="1" x14ac:dyDescent="0.25">
      <c r="A1" s="824" t="s">
        <v>187</v>
      </c>
      <c r="B1" s="824"/>
      <c r="C1" s="824"/>
      <c r="D1" s="824"/>
      <c r="E1" s="824"/>
      <c r="F1" s="824"/>
      <c r="G1" s="824"/>
      <c r="H1" s="824"/>
      <c r="I1" s="824"/>
      <c r="J1" s="824"/>
      <c r="K1" s="824"/>
      <c r="L1" s="824"/>
      <c r="M1" s="824"/>
      <c r="N1" s="824"/>
      <c r="O1" s="824"/>
      <c r="P1" s="824"/>
      <c r="Q1" s="824"/>
      <c r="R1" s="824"/>
    </row>
    <row r="2" spans="1:21" ht="18.75" customHeight="1" x14ac:dyDescent="0.25">
      <c r="A2" s="773" t="s">
        <v>186</v>
      </c>
      <c r="B2" s="773"/>
      <c r="C2" s="773"/>
      <c r="D2" s="773"/>
      <c r="E2" s="773"/>
      <c r="F2" s="773"/>
      <c r="G2" s="773"/>
      <c r="H2" s="773"/>
      <c r="I2" s="773"/>
      <c r="J2" s="773"/>
      <c r="K2" s="773"/>
      <c r="L2" s="773"/>
      <c r="M2" s="773"/>
      <c r="N2" s="773"/>
      <c r="O2" s="773"/>
      <c r="P2" s="773"/>
      <c r="Q2" s="773"/>
      <c r="R2" s="773"/>
    </row>
    <row r="3" spans="1:21" ht="18.75" customHeight="1" x14ac:dyDescent="0.25">
      <c r="A3" s="773" t="s">
        <v>185</v>
      </c>
      <c r="B3" s="773"/>
      <c r="C3" s="773"/>
      <c r="D3" s="773"/>
      <c r="E3" s="773"/>
      <c r="F3" s="773"/>
      <c r="G3" s="773"/>
      <c r="H3" s="773"/>
      <c r="I3" s="773"/>
      <c r="J3" s="773"/>
      <c r="K3" s="773"/>
      <c r="L3" s="773"/>
      <c r="M3" s="773"/>
      <c r="N3" s="773"/>
      <c r="O3" s="773"/>
      <c r="P3" s="773"/>
      <c r="Q3" s="773"/>
      <c r="R3" s="773"/>
    </row>
    <row r="4" spans="1:21" ht="18.75" customHeight="1" thickBot="1" x14ac:dyDescent="0.3">
      <c r="A4" s="186"/>
      <c r="B4" s="186"/>
      <c r="C4" s="222"/>
      <c r="D4" s="222"/>
      <c r="E4" s="194"/>
      <c r="F4" s="219"/>
      <c r="G4" s="219"/>
      <c r="H4" s="219"/>
      <c r="I4" s="221"/>
      <c r="J4" s="220"/>
      <c r="K4" s="186"/>
      <c r="L4" s="186"/>
      <c r="M4" s="219"/>
      <c r="N4" s="219"/>
      <c r="O4" s="186"/>
      <c r="P4" s="218"/>
      <c r="Q4" s="218"/>
      <c r="R4" s="186"/>
    </row>
    <row r="5" spans="1:21" ht="21" customHeight="1" x14ac:dyDescent="0.25">
      <c r="A5" s="217" t="s">
        <v>184</v>
      </c>
      <c r="B5" s="216"/>
      <c r="C5" s="215"/>
      <c r="D5" s="215"/>
      <c r="E5" s="214"/>
      <c r="F5" s="208"/>
      <c r="G5" s="208"/>
      <c r="H5" s="213" t="s">
        <v>183</v>
      </c>
      <c r="I5" s="212"/>
      <c r="J5" s="211"/>
      <c r="K5" s="207"/>
      <c r="L5" s="210"/>
      <c r="M5" s="209"/>
      <c r="N5" s="208"/>
      <c r="O5" s="207"/>
      <c r="P5" s="206"/>
      <c r="Q5" s="206"/>
      <c r="R5" s="205"/>
      <c r="T5" s="204"/>
    </row>
    <row r="6" spans="1:21" ht="18.75" customHeight="1" x14ac:dyDescent="0.25">
      <c r="A6" s="197"/>
      <c r="B6" s="196"/>
      <c r="C6" s="195"/>
      <c r="D6" s="195"/>
      <c r="E6" s="194"/>
      <c r="F6" s="193"/>
      <c r="G6" s="193"/>
      <c r="H6" s="203" t="s">
        <v>182</v>
      </c>
      <c r="I6" s="202"/>
      <c r="J6" s="201" t="s">
        <v>181</v>
      </c>
      <c r="K6" s="186"/>
      <c r="L6" s="186"/>
      <c r="M6" s="200"/>
      <c r="N6" s="199"/>
      <c r="O6" s="198"/>
      <c r="P6" s="185"/>
      <c r="Q6" s="185"/>
      <c r="R6" s="184"/>
    </row>
    <row r="7" spans="1:21" ht="18.75" customHeight="1" x14ac:dyDescent="0.25">
      <c r="A7" s="197"/>
      <c r="B7" s="196"/>
      <c r="C7" s="195"/>
      <c r="D7" s="195"/>
      <c r="E7" s="194"/>
      <c r="F7" s="193"/>
      <c r="G7" s="193"/>
      <c r="H7" s="191" t="s">
        <v>180</v>
      </c>
      <c r="I7" s="190"/>
      <c r="J7" s="189"/>
      <c r="K7" s="186" t="s">
        <v>179</v>
      </c>
      <c r="L7" s="186"/>
      <c r="M7" s="188"/>
      <c r="N7" s="187"/>
      <c r="O7" s="186"/>
      <c r="P7" s="185"/>
      <c r="Q7" s="185"/>
      <c r="R7" s="184"/>
    </row>
    <row r="8" spans="1:21" ht="18.75" customHeight="1" x14ac:dyDescent="0.25">
      <c r="A8" s="197"/>
      <c r="B8" s="196"/>
      <c r="C8" s="195"/>
      <c r="D8" s="195"/>
      <c r="E8" s="194"/>
      <c r="F8" s="193"/>
      <c r="G8" s="192"/>
      <c r="H8" s="191" t="s">
        <v>178</v>
      </c>
      <c r="I8" s="190"/>
      <c r="J8" s="189"/>
      <c r="K8" s="186" t="s">
        <v>177</v>
      </c>
      <c r="L8" s="186"/>
      <c r="M8" s="188"/>
      <c r="N8" s="187"/>
      <c r="O8" s="186"/>
      <c r="P8" s="185"/>
      <c r="Q8" s="185"/>
      <c r="R8" s="184"/>
    </row>
    <row r="9" spans="1:21" ht="18.75" customHeight="1" thickBot="1" x14ac:dyDescent="0.3">
      <c r="A9" s="183"/>
      <c r="B9" s="182"/>
      <c r="C9" s="181"/>
      <c r="D9" s="181"/>
      <c r="E9" s="180"/>
      <c r="F9" s="179"/>
      <c r="G9" s="179"/>
      <c r="H9" s="178" t="s">
        <v>176</v>
      </c>
      <c r="I9" s="177"/>
      <c r="J9" s="176"/>
      <c r="K9" s="173" t="s">
        <v>175</v>
      </c>
      <c r="L9" s="173"/>
      <c r="M9" s="175"/>
      <c r="N9" s="174"/>
      <c r="O9" s="173"/>
      <c r="P9" s="172"/>
      <c r="Q9" s="172"/>
      <c r="R9" s="171"/>
    </row>
    <row r="10" spans="1:21" ht="18.600000000000001" customHeight="1" thickBot="1" x14ac:dyDescent="0.3">
      <c r="A10" s="738" t="s">
        <v>174</v>
      </c>
      <c r="B10" s="739"/>
      <c r="C10" s="739"/>
      <c r="D10" s="739"/>
      <c r="E10" s="739"/>
      <c r="F10" s="739"/>
      <c r="G10" s="739"/>
      <c r="H10" s="739"/>
      <c r="I10" s="739"/>
      <c r="J10" s="739"/>
      <c r="K10" s="739"/>
      <c r="L10" s="739"/>
      <c r="M10" s="739"/>
      <c r="N10" s="739"/>
      <c r="O10" s="739"/>
      <c r="P10" s="739"/>
      <c r="Q10" s="739"/>
      <c r="R10" s="740"/>
      <c r="T10" s="170"/>
    </row>
    <row r="11" spans="1:21" ht="18.75" customHeight="1" x14ac:dyDescent="0.25">
      <c r="A11" s="741" t="s">
        <v>173</v>
      </c>
      <c r="B11" s="747" t="s">
        <v>172</v>
      </c>
      <c r="C11" s="744" t="s">
        <v>171</v>
      </c>
      <c r="D11" s="745" t="s">
        <v>170</v>
      </c>
      <c r="E11" s="753" t="s">
        <v>169</v>
      </c>
      <c r="F11" s="755" t="s">
        <v>168</v>
      </c>
      <c r="G11" s="756"/>
      <c r="H11" s="757"/>
      <c r="I11" s="761" t="s">
        <v>167</v>
      </c>
      <c r="J11" s="762"/>
      <c r="K11" s="765" t="s">
        <v>166</v>
      </c>
      <c r="L11" s="748" t="s">
        <v>165</v>
      </c>
      <c r="M11" s="749"/>
      <c r="N11" s="749"/>
      <c r="O11" s="749"/>
      <c r="P11" s="749"/>
      <c r="Q11" s="169"/>
      <c r="R11" s="750" t="s">
        <v>164</v>
      </c>
      <c r="T11" s="168"/>
    </row>
    <row r="12" spans="1:21" ht="15.75" customHeight="1" x14ac:dyDescent="0.25">
      <c r="A12" s="742"/>
      <c r="B12" s="747"/>
      <c r="C12" s="745"/>
      <c r="D12" s="745"/>
      <c r="E12" s="747"/>
      <c r="F12" s="758"/>
      <c r="G12" s="759"/>
      <c r="H12" s="760"/>
      <c r="I12" s="763"/>
      <c r="J12" s="764"/>
      <c r="K12" s="766"/>
      <c r="L12" s="768" t="s">
        <v>163</v>
      </c>
      <c r="M12" s="769"/>
      <c r="N12" s="768" t="s">
        <v>162</v>
      </c>
      <c r="O12" s="769"/>
      <c r="P12" s="770"/>
      <c r="Q12" s="771" t="s">
        <v>152</v>
      </c>
      <c r="R12" s="751"/>
    </row>
    <row r="13" spans="1:21" s="20" customFormat="1" ht="78.599999999999994" customHeight="1" thickBot="1" x14ac:dyDescent="0.3">
      <c r="A13" s="743"/>
      <c r="B13" s="747"/>
      <c r="C13" s="746"/>
      <c r="D13" s="745"/>
      <c r="E13" s="754"/>
      <c r="F13" s="167" t="s">
        <v>161</v>
      </c>
      <c r="G13" s="167" t="s">
        <v>160</v>
      </c>
      <c r="H13" s="167" t="s">
        <v>159</v>
      </c>
      <c r="I13" s="166" t="s">
        <v>158</v>
      </c>
      <c r="J13" s="165" t="s">
        <v>157</v>
      </c>
      <c r="K13" s="767"/>
      <c r="L13" s="164" t="s">
        <v>156</v>
      </c>
      <c r="M13" s="163" t="s">
        <v>155</v>
      </c>
      <c r="N13" s="163" t="s">
        <v>154</v>
      </c>
      <c r="O13" s="164" t="s">
        <v>153</v>
      </c>
      <c r="P13" s="163" t="s">
        <v>152</v>
      </c>
      <c r="Q13" s="772"/>
      <c r="R13" s="752"/>
    </row>
    <row r="14" spans="1:21" s="64" customFormat="1" ht="19.350000000000001" customHeight="1" x14ac:dyDescent="0.25">
      <c r="A14" s="162" t="s">
        <v>151</v>
      </c>
      <c r="B14" s="161"/>
      <c r="C14" s="160" t="s">
        <v>150</v>
      </c>
      <c r="D14" s="160"/>
      <c r="E14" s="159" t="s">
        <v>149</v>
      </c>
      <c r="F14" s="156" t="s">
        <v>148</v>
      </c>
      <c r="G14" s="156" t="s">
        <v>147</v>
      </c>
      <c r="H14" s="156" t="s">
        <v>146</v>
      </c>
      <c r="I14" s="157" t="s">
        <v>145</v>
      </c>
      <c r="J14" s="158" t="s">
        <v>144</v>
      </c>
      <c r="K14" s="157" t="s">
        <v>143</v>
      </c>
      <c r="L14" s="157" t="s">
        <v>142</v>
      </c>
      <c r="M14" s="156" t="s">
        <v>141</v>
      </c>
      <c r="N14" s="156" t="s">
        <v>140</v>
      </c>
      <c r="O14" s="157" t="s">
        <v>139</v>
      </c>
      <c r="P14" s="156" t="s">
        <v>138</v>
      </c>
      <c r="Q14" s="156" t="s">
        <v>137</v>
      </c>
      <c r="R14" s="155" t="s">
        <v>136</v>
      </c>
      <c r="S14" s="20"/>
      <c r="U14" s="65"/>
    </row>
    <row r="15" spans="1:21" s="144" customFormat="1" ht="20.45" customHeight="1" x14ac:dyDescent="0.25">
      <c r="A15" s="224" t="s">
        <v>135</v>
      </c>
      <c r="B15" s="225"/>
      <c r="C15" s="226">
        <f>C27+C60+C69+C19+C16</f>
        <v>3441</v>
      </c>
      <c r="D15" s="226">
        <f>D27+D60+D69+D19+D16</f>
        <v>4551</v>
      </c>
      <c r="E15" s="224"/>
      <c r="F15" s="227">
        <f>F27+F60+F69+F19+F16</f>
        <v>1495.25</v>
      </c>
      <c r="G15" s="227">
        <f>G27+G60+G69+G19+G16</f>
        <v>1175.51</v>
      </c>
      <c r="H15" s="227">
        <f>H27+H60+H69+H19+H16</f>
        <v>2670.76</v>
      </c>
      <c r="I15" s="228"/>
      <c r="J15" s="227"/>
      <c r="K15" s="227"/>
      <c r="L15" s="229"/>
      <c r="M15" s="227">
        <f>M27+M60+M69+M19+M16</f>
        <v>10883407.833709756</v>
      </c>
      <c r="N15" s="227">
        <f>N27+N60+N69+N19+N16</f>
        <v>2512.8225000000002</v>
      </c>
      <c r="O15" s="227"/>
      <c r="P15" s="227">
        <f>P27+P60+P69+P19+P16</f>
        <v>42717982.5</v>
      </c>
      <c r="Q15" s="148"/>
      <c r="R15" s="147"/>
      <c r="S15" s="146"/>
      <c r="U15" s="145"/>
    </row>
    <row r="16" spans="1:21" s="64" customFormat="1" ht="20.45" hidden="1" customHeight="1" x14ac:dyDescent="0.25">
      <c r="A16" s="230" t="s">
        <v>134</v>
      </c>
      <c r="B16" s="231"/>
      <c r="C16" s="232"/>
      <c r="D16" s="232"/>
      <c r="E16" s="230"/>
      <c r="F16" s="233"/>
      <c r="G16" s="233"/>
      <c r="H16" s="233"/>
      <c r="I16" s="234"/>
      <c r="J16" s="233"/>
      <c r="K16" s="233"/>
      <c r="L16" s="235"/>
      <c r="M16" s="233"/>
      <c r="N16" s="233"/>
      <c r="O16" s="233"/>
      <c r="P16" s="233"/>
      <c r="Q16" s="129"/>
      <c r="R16" s="128"/>
      <c r="S16" s="20"/>
      <c r="U16" s="65"/>
    </row>
    <row r="17" spans="1:21" s="136" customFormat="1" ht="20.45" hidden="1" customHeight="1" x14ac:dyDescent="0.25">
      <c r="A17" s="33"/>
      <c r="B17" s="236"/>
      <c r="C17" s="96"/>
      <c r="D17" s="96"/>
      <c r="E17" s="33"/>
      <c r="F17" s="13"/>
      <c r="G17" s="13"/>
      <c r="H17" s="13"/>
      <c r="I17" s="114"/>
      <c r="J17" s="13"/>
      <c r="K17" s="13"/>
      <c r="L17" s="25"/>
      <c r="M17" s="13"/>
      <c r="N17" s="13"/>
      <c r="O17" s="13"/>
      <c r="P17" s="13"/>
      <c r="Q17" s="121"/>
      <c r="R17" s="120"/>
      <c r="S17" s="138"/>
      <c r="U17" s="137"/>
    </row>
    <row r="18" spans="1:21" s="136" customFormat="1" ht="20.45" hidden="1" customHeight="1" x14ac:dyDescent="0.25">
      <c r="A18" s="33"/>
      <c r="B18" s="236"/>
      <c r="C18" s="96"/>
      <c r="D18" s="96"/>
      <c r="E18" s="33"/>
      <c r="F18" s="13"/>
      <c r="G18" s="13"/>
      <c r="H18" s="13"/>
      <c r="I18" s="114"/>
      <c r="J18" s="13"/>
      <c r="K18" s="13"/>
      <c r="L18" s="25"/>
      <c r="M18" s="13"/>
      <c r="N18" s="13"/>
      <c r="O18" s="13"/>
      <c r="P18" s="13"/>
      <c r="Q18" s="121"/>
      <c r="R18" s="120"/>
      <c r="S18" s="138"/>
      <c r="U18" s="137"/>
    </row>
    <row r="19" spans="1:21" s="64" customFormat="1" ht="20.45" customHeight="1" x14ac:dyDescent="0.25">
      <c r="A19" s="230" t="s">
        <v>48</v>
      </c>
      <c r="B19" s="231"/>
      <c r="C19" s="232">
        <f>SUM(C20:C25)</f>
        <v>852</v>
      </c>
      <c r="D19" s="232">
        <f>SUM(D20:D25)</f>
        <v>1007</v>
      </c>
      <c r="E19" s="230"/>
      <c r="F19" s="233">
        <f>SUM(F20:F25)</f>
        <v>262.83</v>
      </c>
      <c r="G19" s="233">
        <f>SUM(G20:G25)</f>
        <v>360.51</v>
      </c>
      <c r="H19" s="233">
        <f>SUM(H20:H25)</f>
        <v>623.34</v>
      </c>
      <c r="I19" s="234"/>
      <c r="J19" s="233"/>
      <c r="K19" s="233"/>
      <c r="L19" s="235"/>
      <c r="M19" s="233"/>
      <c r="N19" s="233">
        <f>SUM(N20:N25)</f>
        <v>1662.6375</v>
      </c>
      <c r="O19" s="233"/>
      <c r="P19" s="233">
        <f>SUM(P20:P25)</f>
        <v>28264837.5</v>
      </c>
      <c r="Q19" s="129"/>
      <c r="R19" s="128"/>
      <c r="S19" s="20"/>
      <c r="U19" s="65"/>
    </row>
    <row r="20" spans="1:21" s="136" customFormat="1" ht="20.45" customHeight="1" x14ac:dyDescent="0.25">
      <c r="A20" s="87" t="s">
        <v>47</v>
      </c>
      <c r="B20" s="86"/>
      <c r="C20" s="85">
        <v>35</v>
      </c>
      <c r="D20" s="85">
        <v>23</v>
      </c>
      <c r="E20" s="140" t="s">
        <v>132</v>
      </c>
      <c r="F20" s="139">
        <v>23</v>
      </c>
      <c r="G20" s="139">
        <v>0</v>
      </c>
      <c r="H20" s="30">
        <f t="shared" ref="H20:H25" si="0">F20+G20</f>
        <v>23</v>
      </c>
      <c r="I20" s="114">
        <v>4.5</v>
      </c>
      <c r="J20" s="28"/>
      <c r="K20" s="27">
        <f t="shared" ref="K20:K25" si="1">(I20-J20)/I20</f>
        <v>1</v>
      </c>
      <c r="L20" s="26"/>
      <c r="M20" s="25"/>
      <c r="N20" s="237">
        <f t="shared" ref="N20:N25" si="2">(F20*I20)+(G20*K20*I20)</f>
        <v>103.5</v>
      </c>
      <c r="O20" s="24">
        <v>17</v>
      </c>
      <c r="P20" s="9">
        <f t="shared" ref="P20:P25" si="3">N20*1000*O20</f>
        <v>1759500</v>
      </c>
      <c r="Q20" s="121"/>
      <c r="R20" s="120"/>
      <c r="S20" s="138"/>
      <c r="U20" s="137"/>
    </row>
    <row r="21" spans="1:21" s="136" customFormat="1" ht="20.45" customHeight="1" x14ac:dyDescent="0.25">
      <c r="A21" s="87" t="s">
        <v>48</v>
      </c>
      <c r="B21" s="86"/>
      <c r="C21" s="85">
        <v>383</v>
      </c>
      <c r="D21" s="143">
        <v>367.2</v>
      </c>
      <c r="E21" s="140" t="s">
        <v>122</v>
      </c>
      <c r="F21" s="139">
        <v>13.04</v>
      </c>
      <c r="G21" s="139">
        <v>0</v>
      </c>
      <c r="H21" s="30">
        <f t="shared" si="0"/>
        <v>13.04</v>
      </c>
      <c r="I21" s="114">
        <v>4.5</v>
      </c>
      <c r="J21" s="28"/>
      <c r="K21" s="27">
        <f t="shared" si="1"/>
        <v>1</v>
      </c>
      <c r="L21" s="26"/>
      <c r="M21" s="25"/>
      <c r="N21" s="237">
        <f t="shared" si="2"/>
        <v>58.679999999999993</v>
      </c>
      <c r="O21" s="24">
        <v>17</v>
      </c>
      <c r="P21" s="9">
        <f t="shared" si="3"/>
        <v>997559.99999999988</v>
      </c>
      <c r="Q21" s="121"/>
      <c r="R21" s="120"/>
      <c r="S21" s="138"/>
      <c r="U21" s="137"/>
    </row>
    <row r="22" spans="1:21" s="136" customFormat="1" ht="20.45" customHeight="1" x14ac:dyDescent="0.25">
      <c r="A22" s="87" t="s">
        <v>50</v>
      </c>
      <c r="B22" s="86"/>
      <c r="C22" s="85">
        <v>71</v>
      </c>
      <c r="D22" s="142">
        <v>54</v>
      </c>
      <c r="E22" s="140" t="s">
        <v>132</v>
      </c>
      <c r="F22" s="139">
        <v>54</v>
      </c>
      <c r="G22" s="139">
        <v>0</v>
      </c>
      <c r="H22" s="30">
        <f t="shared" si="0"/>
        <v>54</v>
      </c>
      <c r="I22" s="114">
        <v>4.5</v>
      </c>
      <c r="J22" s="28"/>
      <c r="K22" s="27">
        <f t="shared" si="1"/>
        <v>1</v>
      </c>
      <c r="L22" s="26"/>
      <c r="M22" s="25"/>
      <c r="N22" s="237">
        <f t="shared" si="2"/>
        <v>243</v>
      </c>
      <c r="O22" s="24">
        <v>17</v>
      </c>
      <c r="P22" s="9">
        <f t="shared" si="3"/>
        <v>4131000</v>
      </c>
      <c r="Q22" s="121"/>
      <c r="R22" s="120"/>
      <c r="S22" s="138"/>
      <c r="U22" s="137"/>
    </row>
    <row r="23" spans="1:21" s="136" customFormat="1" ht="20.45" customHeight="1" x14ac:dyDescent="0.25">
      <c r="A23" s="87" t="s">
        <v>51</v>
      </c>
      <c r="B23" s="86"/>
      <c r="C23" s="85">
        <v>52</v>
      </c>
      <c r="D23" s="141">
        <v>51.5</v>
      </c>
      <c r="E23" s="140" t="s">
        <v>132</v>
      </c>
      <c r="F23" s="139">
        <v>22</v>
      </c>
      <c r="G23" s="139">
        <v>0</v>
      </c>
      <c r="H23" s="30">
        <f t="shared" si="0"/>
        <v>22</v>
      </c>
      <c r="I23" s="114">
        <v>4.5</v>
      </c>
      <c r="J23" s="28"/>
      <c r="K23" s="27">
        <f t="shared" si="1"/>
        <v>1</v>
      </c>
      <c r="L23" s="26"/>
      <c r="M23" s="25"/>
      <c r="N23" s="237">
        <f t="shared" si="2"/>
        <v>99</v>
      </c>
      <c r="O23" s="24">
        <v>17</v>
      </c>
      <c r="P23" s="9">
        <f t="shared" si="3"/>
        <v>1683000</v>
      </c>
      <c r="Q23" s="121"/>
      <c r="R23" s="120"/>
      <c r="S23" s="138"/>
      <c r="U23" s="137"/>
    </row>
    <row r="24" spans="1:21" s="136" customFormat="1" ht="20.45" customHeight="1" x14ac:dyDescent="0.25">
      <c r="A24" s="87" t="s">
        <v>52</v>
      </c>
      <c r="B24" s="86"/>
      <c r="C24" s="85">
        <v>26</v>
      </c>
      <c r="D24" s="142">
        <v>13</v>
      </c>
      <c r="E24" s="87" t="s">
        <v>133</v>
      </c>
      <c r="F24" s="139">
        <v>1.3</v>
      </c>
      <c r="G24" s="139">
        <v>11.7</v>
      </c>
      <c r="H24" s="30">
        <f t="shared" si="0"/>
        <v>13</v>
      </c>
      <c r="I24" s="114">
        <v>4.5</v>
      </c>
      <c r="J24" s="28">
        <v>3.73</v>
      </c>
      <c r="K24" s="27">
        <f t="shared" si="1"/>
        <v>0.1711111111111111</v>
      </c>
      <c r="L24" s="26"/>
      <c r="M24" s="25"/>
      <c r="N24" s="237">
        <f t="shared" si="2"/>
        <v>14.858999999999998</v>
      </c>
      <c r="O24" s="24">
        <v>17</v>
      </c>
      <c r="P24" s="9">
        <f t="shared" si="3"/>
        <v>252602.99999999997</v>
      </c>
      <c r="Q24" s="121"/>
      <c r="R24" s="120"/>
      <c r="S24" s="138"/>
      <c r="U24" s="137"/>
    </row>
    <row r="25" spans="1:21" s="136" customFormat="1" ht="20.45" customHeight="1" x14ac:dyDescent="0.25">
      <c r="A25" s="87" t="s">
        <v>53</v>
      </c>
      <c r="B25" s="86"/>
      <c r="C25" s="85">
        <v>285</v>
      </c>
      <c r="D25" s="141">
        <v>498.3</v>
      </c>
      <c r="E25" s="140" t="s">
        <v>132</v>
      </c>
      <c r="F25" s="139">
        <v>149.49</v>
      </c>
      <c r="G25" s="139">
        <v>348.81</v>
      </c>
      <c r="H25" s="30">
        <f t="shared" si="0"/>
        <v>498.3</v>
      </c>
      <c r="I25" s="114">
        <v>4.5</v>
      </c>
      <c r="J25" s="28">
        <v>3.15</v>
      </c>
      <c r="K25" s="27">
        <f t="shared" si="1"/>
        <v>0.30000000000000004</v>
      </c>
      <c r="L25" s="26"/>
      <c r="M25" s="25"/>
      <c r="N25" s="237">
        <f t="shared" si="2"/>
        <v>1143.5985000000001</v>
      </c>
      <c r="O25" s="24">
        <v>17</v>
      </c>
      <c r="P25" s="9">
        <f t="shared" si="3"/>
        <v>19441174.5</v>
      </c>
      <c r="Q25" s="121"/>
      <c r="R25" s="120"/>
      <c r="S25" s="138"/>
      <c r="U25" s="137"/>
    </row>
    <row r="26" spans="1:21" s="136" customFormat="1" ht="20.45" customHeight="1" x14ac:dyDescent="0.25">
      <c r="A26" s="33"/>
      <c r="B26" s="236"/>
      <c r="C26" s="96"/>
      <c r="D26" s="96"/>
      <c r="E26" s="33"/>
      <c r="F26" s="13"/>
      <c r="G26" s="13"/>
      <c r="H26" s="13"/>
      <c r="I26" s="114"/>
      <c r="J26" s="13"/>
      <c r="K26" s="13"/>
      <c r="L26" s="25"/>
      <c r="M26" s="13"/>
      <c r="N26" s="13"/>
      <c r="O26" s="13"/>
      <c r="P26" s="13"/>
      <c r="Q26" s="121"/>
      <c r="R26" s="120"/>
      <c r="S26" s="138"/>
      <c r="U26" s="137"/>
    </row>
    <row r="27" spans="1:21" s="64" customFormat="1" ht="20.45" customHeight="1" x14ac:dyDescent="0.25">
      <c r="A27" s="230" t="s">
        <v>131</v>
      </c>
      <c r="B27" s="231"/>
      <c r="C27" s="232">
        <f>SUM(C39:C58)</f>
        <v>1302</v>
      </c>
      <c r="D27" s="232">
        <f>SUM(D39:D58)</f>
        <v>1919.5</v>
      </c>
      <c r="E27" s="230"/>
      <c r="F27" s="233">
        <f>SUM(F39:F58)</f>
        <v>45.5</v>
      </c>
      <c r="G27" s="233">
        <f>SUM(G39:G58)</f>
        <v>701</v>
      </c>
      <c r="H27" s="233">
        <f>SUM(H39:H58)</f>
        <v>746.5</v>
      </c>
      <c r="I27" s="234"/>
      <c r="J27" s="233"/>
      <c r="K27" s="233"/>
      <c r="L27" s="235"/>
      <c r="M27" s="233">
        <f>SUM(M39:M58)</f>
        <v>102469.51672862453</v>
      </c>
      <c r="N27" s="233">
        <f>SUM(N39:N58)</f>
        <v>850.18499999999995</v>
      </c>
      <c r="O27" s="233"/>
      <c r="P27" s="233">
        <f>SUM(P39:P58)</f>
        <v>14453145</v>
      </c>
      <c r="Q27" s="129"/>
      <c r="R27" s="128"/>
      <c r="S27" s="20"/>
      <c r="U27" s="65"/>
    </row>
    <row r="28" spans="1:21" s="117" customFormat="1" ht="20.45" customHeight="1" x14ac:dyDescent="0.25">
      <c r="A28" s="33" t="s">
        <v>102</v>
      </c>
      <c r="B28" s="236"/>
      <c r="C28" s="96">
        <v>129</v>
      </c>
      <c r="D28" s="96"/>
      <c r="E28" s="33"/>
      <c r="F28" s="13">
        <v>33</v>
      </c>
      <c r="G28" s="13">
        <v>82</v>
      </c>
      <c r="H28" s="13">
        <v>115</v>
      </c>
      <c r="I28" s="114"/>
      <c r="J28" s="13"/>
      <c r="K28" s="13"/>
      <c r="L28" s="25"/>
      <c r="M28" s="13"/>
      <c r="N28" s="13">
        <v>150.79000000000002</v>
      </c>
      <c r="O28" s="13">
        <v>34</v>
      </c>
      <c r="P28" s="13">
        <v>2563430</v>
      </c>
      <c r="Q28" s="121"/>
      <c r="R28" s="120"/>
      <c r="S28" s="119"/>
      <c r="U28" s="118"/>
    </row>
    <row r="29" spans="1:21" s="117" customFormat="1" ht="20.45" customHeight="1" x14ac:dyDescent="0.25">
      <c r="A29" s="33" t="s">
        <v>124</v>
      </c>
      <c r="B29" s="236"/>
      <c r="C29" s="96">
        <v>141</v>
      </c>
      <c r="D29" s="96"/>
      <c r="E29" s="33"/>
      <c r="F29" s="13"/>
      <c r="G29" s="13">
        <v>50</v>
      </c>
      <c r="H29" s="13">
        <v>50</v>
      </c>
      <c r="I29" s="114"/>
      <c r="J29" s="13"/>
      <c r="K29" s="13"/>
      <c r="L29" s="25"/>
      <c r="M29" s="13"/>
      <c r="N29" s="13"/>
      <c r="O29" s="13"/>
      <c r="P29" s="13"/>
      <c r="Q29" s="121"/>
      <c r="R29" s="120"/>
      <c r="S29" s="119"/>
      <c r="U29" s="118"/>
    </row>
    <row r="30" spans="1:21" s="117" customFormat="1" ht="20.45" customHeight="1" x14ac:dyDescent="0.25">
      <c r="A30" s="33" t="s">
        <v>59</v>
      </c>
      <c r="B30" s="236"/>
      <c r="C30" s="96">
        <v>158</v>
      </c>
      <c r="D30" s="96"/>
      <c r="E30" s="33"/>
      <c r="F30" s="13">
        <v>0</v>
      </c>
      <c r="G30" s="13">
        <v>78</v>
      </c>
      <c r="H30" s="13">
        <v>78</v>
      </c>
      <c r="I30" s="114"/>
      <c r="J30" s="13"/>
      <c r="K30" s="13"/>
      <c r="L30" s="25"/>
      <c r="M30" s="13"/>
      <c r="N30" s="13">
        <v>101.25</v>
      </c>
      <c r="O30" s="13">
        <v>34</v>
      </c>
      <c r="P30" s="13">
        <v>1721249.9999999998</v>
      </c>
      <c r="Q30" s="121"/>
      <c r="R30" s="120"/>
      <c r="S30" s="119"/>
      <c r="U30" s="118"/>
    </row>
    <row r="31" spans="1:21" s="117" customFormat="1" ht="20.45" customHeight="1" x14ac:dyDescent="0.25">
      <c r="A31" s="33" t="s">
        <v>61</v>
      </c>
      <c r="B31" s="236" t="s">
        <v>5</v>
      </c>
      <c r="C31" s="96">
        <v>30</v>
      </c>
      <c r="D31" s="96">
        <v>12.5</v>
      </c>
      <c r="E31" s="33" t="s">
        <v>125</v>
      </c>
      <c r="F31" s="13">
        <v>12.5</v>
      </c>
      <c r="G31" s="13"/>
      <c r="H31" s="13">
        <v>12.5</v>
      </c>
      <c r="I31" s="114">
        <v>2.69</v>
      </c>
      <c r="J31" s="13"/>
      <c r="K31" s="13">
        <v>1</v>
      </c>
      <c r="L31" s="25"/>
      <c r="M31" s="13"/>
      <c r="N31" s="13">
        <v>33.625</v>
      </c>
      <c r="O31" s="13">
        <v>17</v>
      </c>
      <c r="P31" s="13">
        <v>571625</v>
      </c>
      <c r="Q31" s="121">
        <v>289000</v>
      </c>
      <c r="R31" s="120"/>
      <c r="S31" s="119"/>
      <c r="U31" s="118"/>
    </row>
    <row r="32" spans="1:21" s="117" customFormat="1" ht="20.45" customHeight="1" x14ac:dyDescent="0.25">
      <c r="A32" s="33" t="s">
        <v>128</v>
      </c>
      <c r="B32" s="236" t="s">
        <v>5</v>
      </c>
      <c r="C32" s="96">
        <v>6</v>
      </c>
      <c r="D32" s="96">
        <v>2</v>
      </c>
      <c r="E32" s="33" t="s">
        <v>123</v>
      </c>
      <c r="F32" s="13">
        <v>0</v>
      </c>
      <c r="G32" s="13">
        <v>2</v>
      </c>
      <c r="H32" s="13">
        <v>2</v>
      </c>
      <c r="I32" s="114">
        <v>2.69</v>
      </c>
      <c r="J32" s="13">
        <v>1.34</v>
      </c>
      <c r="K32" s="13">
        <v>0.5018587360594795</v>
      </c>
      <c r="L32" s="25">
        <v>7470</v>
      </c>
      <c r="M32" s="13">
        <v>7497.7695167286238</v>
      </c>
      <c r="N32" s="13"/>
      <c r="O32" s="13"/>
      <c r="P32" s="13"/>
      <c r="Q32" s="121">
        <v>0</v>
      </c>
      <c r="R32" s="120"/>
      <c r="S32" s="119"/>
      <c r="U32" s="118"/>
    </row>
    <row r="33" spans="1:21" s="117" customFormat="1" ht="20.45" customHeight="1" x14ac:dyDescent="0.25">
      <c r="A33" s="33" t="s">
        <v>126</v>
      </c>
      <c r="B33" s="236" t="s">
        <v>5</v>
      </c>
      <c r="C33" s="96">
        <v>40</v>
      </c>
      <c r="D33" s="96">
        <v>415</v>
      </c>
      <c r="E33" s="33" t="s">
        <v>125</v>
      </c>
      <c r="F33" s="13">
        <v>0</v>
      </c>
      <c r="G33" s="13">
        <v>25</v>
      </c>
      <c r="H33" s="13">
        <v>25</v>
      </c>
      <c r="I33" s="114">
        <v>2.69</v>
      </c>
      <c r="J33" s="13">
        <v>1.72</v>
      </c>
      <c r="K33" s="13">
        <v>0.36059479553903345</v>
      </c>
      <c r="L33" s="25"/>
      <c r="M33" s="13"/>
      <c r="N33" s="13">
        <v>24.25</v>
      </c>
      <c r="O33" s="13">
        <v>17</v>
      </c>
      <c r="P33" s="13">
        <v>412250</v>
      </c>
      <c r="Q33" s="121">
        <v>289000</v>
      </c>
      <c r="R33" s="120"/>
      <c r="S33" s="119"/>
      <c r="U33" s="118"/>
    </row>
    <row r="34" spans="1:21" s="117" customFormat="1" ht="20.45" customHeight="1" x14ac:dyDescent="0.25">
      <c r="A34" s="33" t="s">
        <v>127</v>
      </c>
      <c r="B34" s="236"/>
      <c r="C34" s="96">
        <v>141</v>
      </c>
      <c r="D34" s="96"/>
      <c r="E34" s="33"/>
      <c r="F34" s="13"/>
      <c r="G34" s="13">
        <v>96</v>
      </c>
      <c r="H34" s="13">
        <v>96</v>
      </c>
      <c r="I34" s="114"/>
      <c r="J34" s="13"/>
      <c r="K34" s="13"/>
      <c r="L34" s="25"/>
      <c r="M34" s="13"/>
      <c r="N34" s="13">
        <v>116.16</v>
      </c>
      <c r="O34" s="13">
        <v>34</v>
      </c>
      <c r="P34" s="13">
        <v>1974720</v>
      </c>
      <c r="Q34" s="121"/>
      <c r="R34" s="120"/>
      <c r="S34" s="119"/>
      <c r="U34" s="118"/>
    </row>
    <row r="35" spans="1:21" s="117" customFormat="1" ht="20.45" customHeight="1" x14ac:dyDescent="0.25">
      <c r="A35" s="33" t="s">
        <v>66</v>
      </c>
      <c r="B35" s="236" t="s">
        <v>5</v>
      </c>
      <c r="C35" s="96">
        <v>2</v>
      </c>
      <c r="D35" s="96">
        <v>33</v>
      </c>
      <c r="E35" s="33" t="s">
        <v>125</v>
      </c>
      <c r="F35" s="13">
        <v>0</v>
      </c>
      <c r="G35" s="13">
        <v>2</v>
      </c>
      <c r="H35" s="13">
        <v>2</v>
      </c>
      <c r="I35" s="114">
        <v>2.69</v>
      </c>
      <c r="J35" s="13">
        <v>2.02</v>
      </c>
      <c r="K35" s="13">
        <v>0.24907063197026019</v>
      </c>
      <c r="L35" s="25"/>
      <c r="M35" s="13"/>
      <c r="N35" s="13">
        <v>1.3399999999999999</v>
      </c>
      <c r="O35" s="13">
        <v>17</v>
      </c>
      <c r="P35" s="13">
        <v>22779.999999999996</v>
      </c>
      <c r="Q35" s="121">
        <v>289000</v>
      </c>
      <c r="R35" s="120"/>
      <c r="S35" s="119"/>
      <c r="U35" s="118"/>
    </row>
    <row r="36" spans="1:21" s="117" customFormat="1" ht="20.45" customHeight="1" x14ac:dyDescent="0.25">
      <c r="A36" s="33" t="s">
        <v>129</v>
      </c>
      <c r="B36" s="236"/>
      <c r="C36" s="96">
        <v>221</v>
      </c>
      <c r="D36" s="96">
        <v>33</v>
      </c>
      <c r="E36" s="33"/>
      <c r="F36" s="13">
        <v>0</v>
      </c>
      <c r="G36" s="13">
        <v>110</v>
      </c>
      <c r="H36" s="13">
        <v>110</v>
      </c>
      <c r="I36" s="114"/>
      <c r="J36" s="13"/>
      <c r="K36" s="13"/>
      <c r="L36" s="25"/>
      <c r="M36" s="13"/>
      <c r="N36" s="13">
        <v>133.73000000000002</v>
      </c>
      <c r="O36" s="13">
        <v>68</v>
      </c>
      <c r="P36" s="13">
        <v>2273410</v>
      </c>
      <c r="Q36" s="121"/>
      <c r="R36" s="120"/>
      <c r="S36" s="119"/>
      <c r="U36" s="118"/>
    </row>
    <row r="37" spans="1:21" s="117" customFormat="1" ht="20.45" hidden="1" customHeight="1" x14ac:dyDescent="0.25">
      <c r="A37" s="33"/>
      <c r="B37" s="236"/>
      <c r="C37" s="96"/>
      <c r="D37" s="96"/>
      <c r="E37" s="33"/>
      <c r="F37" s="13"/>
      <c r="G37" s="13"/>
      <c r="H37" s="13"/>
      <c r="I37" s="114"/>
      <c r="J37" s="13"/>
      <c r="K37" s="13"/>
      <c r="L37" s="25"/>
      <c r="M37" s="13"/>
      <c r="N37" s="13"/>
      <c r="O37" s="13"/>
      <c r="P37" s="13"/>
      <c r="Q37" s="121"/>
      <c r="R37" s="120"/>
      <c r="S37" s="119"/>
      <c r="U37" s="118"/>
    </row>
    <row r="38" spans="1:21" s="97" customFormat="1" ht="20.45" hidden="1" customHeight="1" x14ac:dyDescent="0.25">
      <c r="A38" s="113" t="s">
        <v>102</v>
      </c>
      <c r="B38" s="112"/>
      <c r="C38" s="111">
        <f>SUM(C39:C41)</f>
        <v>129</v>
      </c>
      <c r="D38" s="111"/>
      <c r="E38" s="113"/>
      <c r="F38" s="109">
        <f>SUM(F39:F41)</f>
        <v>33</v>
      </c>
      <c r="G38" s="109">
        <f>SUM(G39:G41)</f>
        <v>82</v>
      </c>
      <c r="H38" s="109">
        <f>SUM(H39:H41)</f>
        <v>115</v>
      </c>
      <c r="I38" s="107"/>
      <c r="J38" s="109"/>
      <c r="K38" s="109"/>
      <c r="L38" s="103"/>
      <c r="M38" s="109"/>
      <c r="N38" s="109">
        <f>SUM(N39:N41)</f>
        <v>150.79000000000002</v>
      </c>
      <c r="O38" s="109">
        <f>SUM(O39:O41)</f>
        <v>34</v>
      </c>
      <c r="P38" s="109">
        <f>SUM(P39:P41)</f>
        <v>2563430</v>
      </c>
      <c r="Q38" s="116"/>
      <c r="R38" s="115"/>
      <c r="S38" s="99"/>
      <c r="U38" s="98"/>
    </row>
    <row r="39" spans="1:21" s="64" customFormat="1" ht="19.5" hidden="1" customHeight="1" x14ac:dyDescent="0.25">
      <c r="A39" s="826" t="s">
        <v>102</v>
      </c>
      <c r="B39" s="32" t="s">
        <v>5</v>
      </c>
      <c r="C39" s="10">
        <v>24</v>
      </c>
      <c r="D39" s="10">
        <v>75</v>
      </c>
      <c r="E39" s="95" t="s">
        <v>130</v>
      </c>
      <c r="F39" s="38">
        <v>0</v>
      </c>
      <c r="G39" s="38">
        <v>24</v>
      </c>
      <c r="H39" s="37">
        <f>F39+G39</f>
        <v>24</v>
      </c>
      <c r="I39" s="94">
        <v>2.69</v>
      </c>
      <c r="J39" s="36">
        <f>I39-0.67</f>
        <v>2.02</v>
      </c>
      <c r="K39" s="27">
        <f>(I39-J39)/I39</f>
        <v>0.24907063197026019</v>
      </c>
      <c r="L39" s="26">
        <v>7470</v>
      </c>
      <c r="M39" s="25">
        <f>(F39*L39)+(G39*L39*K39)</f>
        <v>44653.382899628246</v>
      </c>
      <c r="N39" s="237"/>
      <c r="O39" s="24"/>
      <c r="P39" s="9"/>
      <c r="Q39" s="9">
        <f>O39*1000*17</f>
        <v>0</v>
      </c>
      <c r="R39" s="23"/>
      <c r="S39" s="20"/>
      <c r="U39" s="65"/>
    </row>
    <row r="40" spans="1:21" s="64" customFormat="1" ht="19.5" hidden="1" customHeight="1" x14ac:dyDescent="0.25">
      <c r="A40" s="826"/>
      <c r="B40" s="32" t="s">
        <v>5</v>
      </c>
      <c r="C40" s="10">
        <v>57</v>
      </c>
      <c r="D40" s="10">
        <v>85</v>
      </c>
      <c r="E40" s="95" t="s">
        <v>122</v>
      </c>
      <c r="F40" s="13">
        <v>9</v>
      </c>
      <c r="G40" s="13">
        <v>31</v>
      </c>
      <c r="H40" s="30">
        <f>F40+G40</f>
        <v>40</v>
      </c>
      <c r="I40" s="114">
        <v>2.69</v>
      </c>
      <c r="J40" s="28">
        <v>1.63</v>
      </c>
      <c r="K40" s="27">
        <f>(I40-J40)/I40</f>
        <v>0.39405204460966547</v>
      </c>
      <c r="L40" s="26"/>
      <c r="M40" s="25"/>
      <c r="N40" s="237">
        <f>(F40*I40)+(G40*K40*I40)</f>
        <v>57.070000000000007</v>
      </c>
      <c r="O40" s="24">
        <v>17</v>
      </c>
      <c r="P40" s="9">
        <f>N40*1000*O40</f>
        <v>970190.00000000012</v>
      </c>
      <c r="Q40" s="9">
        <f>O40*1000*17</f>
        <v>289000</v>
      </c>
      <c r="R40" s="23"/>
      <c r="S40" s="20"/>
      <c r="U40" s="65"/>
    </row>
    <row r="41" spans="1:21" s="64" customFormat="1" ht="19.5" hidden="1" customHeight="1" x14ac:dyDescent="0.25">
      <c r="A41" s="826"/>
      <c r="B41" s="32" t="s">
        <v>5</v>
      </c>
      <c r="C41" s="10">
        <v>48</v>
      </c>
      <c r="D41" s="10">
        <v>523</v>
      </c>
      <c r="E41" s="95" t="s">
        <v>125</v>
      </c>
      <c r="F41" s="13">
        <v>24</v>
      </c>
      <c r="G41" s="13">
        <v>27</v>
      </c>
      <c r="H41" s="30">
        <f>F41+G41</f>
        <v>51</v>
      </c>
      <c r="I41" s="114">
        <v>2.69</v>
      </c>
      <c r="J41" s="28">
        <v>1.61</v>
      </c>
      <c r="K41" s="27">
        <f>(I41-J41)/I41</f>
        <v>0.4014869888475836</v>
      </c>
      <c r="L41" s="26"/>
      <c r="M41" s="25"/>
      <c r="N41" s="237">
        <f>(F41*I41)+(G41*K41*I41)</f>
        <v>93.72</v>
      </c>
      <c r="O41" s="24">
        <v>17</v>
      </c>
      <c r="P41" s="9">
        <f>N41*1000*O41</f>
        <v>1593240</v>
      </c>
      <c r="Q41" s="9">
        <f>O41*1000*17</f>
        <v>289000</v>
      </c>
      <c r="R41" s="23"/>
      <c r="S41" s="20"/>
      <c r="U41" s="65"/>
    </row>
    <row r="42" spans="1:21" s="97" customFormat="1" ht="19.5" hidden="1" customHeight="1" x14ac:dyDescent="0.25">
      <c r="A42" s="113" t="s">
        <v>129</v>
      </c>
      <c r="B42" s="112"/>
      <c r="C42" s="111">
        <f>SUM(C43:C45)</f>
        <v>221</v>
      </c>
      <c r="D42" s="111">
        <f>SUM(D43:D45)</f>
        <v>33</v>
      </c>
      <c r="E42" s="110"/>
      <c r="F42" s="111">
        <f>SUM(F43:F45)</f>
        <v>0</v>
      </c>
      <c r="G42" s="111">
        <f>SUM(G43:G45)</f>
        <v>110</v>
      </c>
      <c r="H42" s="111">
        <f>SUM(H43:H45)</f>
        <v>110</v>
      </c>
      <c r="I42" s="107"/>
      <c r="J42" s="106"/>
      <c r="K42" s="105"/>
      <c r="L42" s="104"/>
      <c r="M42" s="103"/>
      <c r="N42" s="111">
        <f>SUM(N43:N45)</f>
        <v>133.73000000000002</v>
      </c>
      <c r="O42" s="111">
        <f>SUM(O43:O45)</f>
        <v>68</v>
      </c>
      <c r="P42" s="111">
        <f>SUM(P43:P45)</f>
        <v>2273410</v>
      </c>
      <c r="Q42" s="101"/>
      <c r="R42" s="100"/>
      <c r="S42" s="99"/>
      <c r="U42" s="98"/>
    </row>
    <row r="43" spans="1:21" s="64" customFormat="1" ht="19.5" hidden="1" customHeight="1" x14ac:dyDescent="0.25">
      <c r="A43" s="826" t="s">
        <v>129</v>
      </c>
      <c r="B43" s="32" t="s">
        <v>5</v>
      </c>
      <c r="C43" s="10">
        <v>41</v>
      </c>
      <c r="D43" s="96">
        <v>6</v>
      </c>
      <c r="E43" s="95" t="s">
        <v>122</v>
      </c>
      <c r="F43" s="13">
        <v>0</v>
      </c>
      <c r="G43" s="13">
        <v>6</v>
      </c>
      <c r="H43" s="30">
        <f>F43+G43</f>
        <v>6</v>
      </c>
      <c r="I43" s="114">
        <v>2.69</v>
      </c>
      <c r="J43" s="28">
        <v>1.48</v>
      </c>
      <c r="K43" s="27">
        <f>(I43-J43)/I43</f>
        <v>0.44981412639405205</v>
      </c>
      <c r="L43" s="26"/>
      <c r="M43" s="25"/>
      <c r="N43" s="237">
        <f>(F43*I43)+(G43*K43*I43)</f>
        <v>7.26</v>
      </c>
      <c r="O43" s="24">
        <v>17</v>
      </c>
      <c r="P43" s="9">
        <f>N43*1000*O43</f>
        <v>123420</v>
      </c>
      <c r="Q43" s="9">
        <f>O43*1000*17</f>
        <v>289000</v>
      </c>
      <c r="R43" s="23"/>
      <c r="S43" s="20"/>
      <c r="U43" s="65"/>
    </row>
    <row r="44" spans="1:21" s="64" customFormat="1" ht="19.5" hidden="1" customHeight="1" x14ac:dyDescent="0.25">
      <c r="A44" s="826"/>
      <c r="B44" s="32" t="s">
        <v>5</v>
      </c>
      <c r="C44" s="10">
        <v>22</v>
      </c>
      <c r="D44" s="96">
        <v>27</v>
      </c>
      <c r="E44" s="95" t="s">
        <v>125</v>
      </c>
      <c r="F44" s="13">
        <v>0</v>
      </c>
      <c r="G44" s="13">
        <v>26</v>
      </c>
      <c r="H44" s="30">
        <f>F44+G44</f>
        <v>26</v>
      </c>
      <c r="I44" s="114">
        <v>2.69</v>
      </c>
      <c r="J44" s="28">
        <v>1.72</v>
      </c>
      <c r="K44" s="27">
        <f>(I44-J44)/I44</f>
        <v>0.36059479553903345</v>
      </c>
      <c r="L44" s="26"/>
      <c r="M44" s="25"/>
      <c r="N44" s="237">
        <f>(F44*I44)+(G44*K44*I44)</f>
        <v>25.220000000000002</v>
      </c>
      <c r="O44" s="24">
        <v>17</v>
      </c>
      <c r="P44" s="9">
        <f>N44*1000*O44</f>
        <v>428740.00000000006</v>
      </c>
      <c r="Q44" s="9">
        <f>O44*1000*17</f>
        <v>289000</v>
      </c>
      <c r="R44" s="23"/>
      <c r="S44" s="20"/>
      <c r="U44" s="65"/>
    </row>
    <row r="45" spans="1:21" s="97" customFormat="1" ht="19.5" hidden="1" customHeight="1" x14ac:dyDescent="0.25">
      <c r="A45" s="113" t="s">
        <v>59</v>
      </c>
      <c r="B45" s="112"/>
      <c r="C45" s="111">
        <f>SUM(C46:C48)</f>
        <v>158</v>
      </c>
      <c r="D45" s="238"/>
      <c r="E45" s="110"/>
      <c r="F45" s="111">
        <f>SUM(F46:F48)</f>
        <v>0</v>
      </c>
      <c r="G45" s="111">
        <f>SUM(G46:G48)</f>
        <v>78</v>
      </c>
      <c r="H45" s="111">
        <f>SUM(H46:H48)</f>
        <v>78</v>
      </c>
      <c r="I45" s="107"/>
      <c r="J45" s="106"/>
      <c r="K45" s="105"/>
      <c r="L45" s="104"/>
      <c r="M45" s="103"/>
      <c r="N45" s="111">
        <f>SUM(N46:N48)</f>
        <v>101.25</v>
      </c>
      <c r="O45" s="111">
        <f>SUM(O46:O48)</f>
        <v>34</v>
      </c>
      <c r="P45" s="111">
        <f>SUM(P46:P48)</f>
        <v>1721249.9999999998</v>
      </c>
      <c r="Q45" s="101"/>
      <c r="R45" s="100"/>
      <c r="S45" s="99"/>
      <c r="U45" s="98"/>
    </row>
    <row r="46" spans="1:21" s="64" customFormat="1" ht="19.5" hidden="1" customHeight="1" x14ac:dyDescent="0.25">
      <c r="A46" s="826" t="s">
        <v>59</v>
      </c>
      <c r="B46" s="32" t="s">
        <v>5</v>
      </c>
      <c r="C46" s="10">
        <v>33</v>
      </c>
      <c r="D46" s="96">
        <v>3</v>
      </c>
      <c r="E46" s="95" t="s">
        <v>123</v>
      </c>
      <c r="F46" s="38">
        <v>0</v>
      </c>
      <c r="G46" s="38">
        <v>3</v>
      </c>
      <c r="H46" s="37">
        <f>F46+G46</f>
        <v>3</v>
      </c>
      <c r="I46" s="94">
        <v>2.69</v>
      </c>
      <c r="J46" s="36">
        <v>1.34</v>
      </c>
      <c r="K46" s="27">
        <f>(I46-J46)/I46</f>
        <v>0.5018587360594795</v>
      </c>
      <c r="L46" s="26">
        <v>7470</v>
      </c>
      <c r="M46" s="25">
        <f>(F46*L46)+(G46*L46*K46)</f>
        <v>11246.654275092937</v>
      </c>
      <c r="N46" s="237"/>
      <c r="O46" s="24"/>
      <c r="P46" s="9"/>
      <c r="Q46" s="9">
        <f>O46*1000*17</f>
        <v>0</v>
      </c>
      <c r="R46" s="23"/>
      <c r="S46" s="20"/>
      <c r="U46" s="65"/>
    </row>
    <row r="47" spans="1:21" s="64" customFormat="1" ht="19.5" hidden="1" customHeight="1" x14ac:dyDescent="0.25">
      <c r="A47" s="826"/>
      <c r="B47" s="32" t="s">
        <v>5</v>
      </c>
      <c r="C47" s="10">
        <v>88</v>
      </c>
      <c r="D47" s="96">
        <v>47</v>
      </c>
      <c r="E47" s="95" t="s">
        <v>122</v>
      </c>
      <c r="F47" s="38">
        <v>0</v>
      </c>
      <c r="G47" s="38">
        <v>47</v>
      </c>
      <c r="H47" s="30">
        <f>F47+G47</f>
        <v>47</v>
      </c>
      <c r="I47" s="94">
        <v>2.69</v>
      </c>
      <c r="J47" s="36">
        <v>1.34</v>
      </c>
      <c r="K47" s="27">
        <f>(I47-J47)/I47</f>
        <v>0.5018587360594795</v>
      </c>
      <c r="L47" s="26"/>
      <c r="M47" s="25"/>
      <c r="N47" s="237">
        <f>(F47*I47)+(G47*K47*I47)</f>
        <v>63.449999999999996</v>
      </c>
      <c r="O47" s="24">
        <v>17</v>
      </c>
      <c r="P47" s="9">
        <f>N47*1000*O47</f>
        <v>1078649.9999999998</v>
      </c>
      <c r="Q47" s="9">
        <f>O47*1000*17</f>
        <v>289000</v>
      </c>
      <c r="R47" s="23"/>
      <c r="S47" s="20"/>
      <c r="U47" s="65"/>
    </row>
    <row r="48" spans="1:21" s="64" customFormat="1" ht="19.5" hidden="1" customHeight="1" x14ac:dyDescent="0.25">
      <c r="A48" s="826"/>
      <c r="B48" s="32" t="s">
        <v>5</v>
      </c>
      <c r="C48" s="10">
        <v>37</v>
      </c>
      <c r="D48" s="96">
        <v>275</v>
      </c>
      <c r="E48" s="95" t="s">
        <v>125</v>
      </c>
      <c r="F48" s="38">
        <v>0</v>
      </c>
      <c r="G48" s="38">
        <v>28</v>
      </c>
      <c r="H48" s="30">
        <f>F48+G48</f>
        <v>28</v>
      </c>
      <c r="I48" s="94">
        <v>2.69</v>
      </c>
      <c r="J48" s="36">
        <v>1.34</v>
      </c>
      <c r="K48" s="27">
        <f>(I48-J48)/I48</f>
        <v>0.5018587360594795</v>
      </c>
      <c r="L48" s="26"/>
      <c r="M48" s="25"/>
      <c r="N48" s="237">
        <f>(F48*I48)+(G48*K48*I48)</f>
        <v>37.799999999999997</v>
      </c>
      <c r="O48" s="24">
        <v>17</v>
      </c>
      <c r="P48" s="9">
        <f>N48*1000*O48</f>
        <v>642600</v>
      </c>
      <c r="Q48" s="9">
        <f>O48*1000*17</f>
        <v>289000</v>
      </c>
      <c r="R48" s="23"/>
      <c r="S48" s="20"/>
      <c r="U48" s="65"/>
    </row>
    <row r="49" spans="1:21" s="64" customFormat="1" ht="19.5" hidden="1" customHeight="1" x14ac:dyDescent="0.25">
      <c r="A49" s="12" t="s">
        <v>128</v>
      </c>
      <c r="B49" s="32" t="s">
        <v>5</v>
      </c>
      <c r="C49" s="10">
        <v>6</v>
      </c>
      <c r="D49" s="96">
        <v>2</v>
      </c>
      <c r="E49" s="95" t="s">
        <v>123</v>
      </c>
      <c r="F49" s="38">
        <v>0</v>
      </c>
      <c r="G49" s="38">
        <v>2</v>
      </c>
      <c r="H49" s="37">
        <f>F49+G49</f>
        <v>2</v>
      </c>
      <c r="I49" s="94">
        <v>2.69</v>
      </c>
      <c r="J49" s="36">
        <v>1.34</v>
      </c>
      <c r="K49" s="27">
        <f>(I49-J49)/I49</f>
        <v>0.5018587360594795</v>
      </c>
      <c r="L49" s="26">
        <v>7470</v>
      </c>
      <c r="M49" s="25">
        <f>(F49*L49)+(G49*L49*K49)</f>
        <v>7497.7695167286238</v>
      </c>
      <c r="N49" s="237"/>
      <c r="O49" s="24"/>
      <c r="P49" s="9"/>
      <c r="Q49" s="9">
        <f>O49*1000*17</f>
        <v>0</v>
      </c>
      <c r="R49" s="23"/>
      <c r="S49" s="20"/>
      <c r="U49" s="65"/>
    </row>
    <row r="50" spans="1:21" s="64" customFormat="1" ht="19.350000000000001" hidden="1" customHeight="1" x14ac:dyDescent="0.25">
      <c r="A50" s="12" t="s">
        <v>61</v>
      </c>
      <c r="B50" s="32" t="s">
        <v>5</v>
      </c>
      <c r="C50" s="10">
        <v>30</v>
      </c>
      <c r="D50" s="96">
        <v>12.5</v>
      </c>
      <c r="E50" s="95" t="s">
        <v>125</v>
      </c>
      <c r="F50" s="38">
        <v>12.5</v>
      </c>
      <c r="G50" s="38"/>
      <c r="H50" s="30">
        <f>F50+G50</f>
        <v>12.5</v>
      </c>
      <c r="I50" s="114">
        <v>2.69</v>
      </c>
      <c r="J50" s="28"/>
      <c r="K50" s="27">
        <f>(I50-J50)/I50</f>
        <v>1</v>
      </c>
      <c r="L50" s="26"/>
      <c r="M50" s="25"/>
      <c r="N50" s="237">
        <f>(F50*I50)+(G50*K50*I50)</f>
        <v>33.625</v>
      </c>
      <c r="O50" s="24">
        <v>17</v>
      </c>
      <c r="P50" s="9">
        <f>N50*1000*O50</f>
        <v>571625</v>
      </c>
      <c r="Q50" s="9">
        <f>O50*1000*17</f>
        <v>289000</v>
      </c>
      <c r="R50" s="23"/>
      <c r="S50" s="20"/>
      <c r="U50" s="65"/>
    </row>
    <row r="51" spans="1:21" s="97" customFormat="1" ht="19.350000000000001" hidden="1" customHeight="1" x14ac:dyDescent="0.25">
      <c r="A51" s="113" t="s">
        <v>127</v>
      </c>
      <c r="B51" s="112"/>
      <c r="C51" s="111">
        <f>SUM(C52:C53)</f>
        <v>141</v>
      </c>
      <c r="D51" s="111"/>
      <c r="E51" s="110"/>
      <c r="F51" s="109"/>
      <c r="G51" s="111">
        <f>SUM(G52:G53)</f>
        <v>96</v>
      </c>
      <c r="H51" s="111">
        <f>SUM(H52:H53)</f>
        <v>96</v>
      </c>
      <c r="I51" s="107"/>
      <c r="J51" s="106"/>
      <c r="K51" s="105"/>
      <c r="L51" s="104"/>
      <c r="M51" s="103"/>
      <c r="N51" s="239">
        <f>SUM(N52:N53)</f>
        <v>116.16</v>
      </c>
      <c r="O51" s="102">
        <f>SUM(O52:O53)</f>
        <v>34</v>
      </c>
      <c r="P51" s="101">
        <f>SUM(P52:P53)</f>
        <v>1974720</v>
      </c>
      <c r="Q51" s="101"/>
      <c r="R51" s="100"/>
      <c r="S51" s="99"/>
      <c r="U51" s="98"/>
    </row>
    <row r="52" spans="1:21" s="64" customFormat="1" ht="19.5" hidden="1" customHeight="1" x14ac:dyDescent="0.25">
      <c r="A52" s="826" t="s">
        <v>127</v>
      </c>
      <c r="B52" s="32" t="s">
        <v>5</v>
      </c>
      <c r="C52" s="10">
        <v>67</v>
      </c>
      <c r="D52" s="96">
        <v>41</v>
      </c>
      <c r="E52" s="95" t="s">
        <v>122</v>
      </c>
      <c r="F52" s="38">
        <v>0</v>
      </c>
      <c r="G52" s="38">
        <v>41</v>
      </c>
      <c r="H52" s="30">
        <f>F52+G52</f>
        <v>41</v>
      </c>
      <c r="I52" s="114">
        <v>2.69</v>
      </c>
      <c r="J52" s="28">
        <v>1.48</v>
      </c>
      <c r="K52" s="27">
        <f>(I52-J52)/I52</f>
        <v>0.44981412639405205</v>
      </c>
      <c r="L52" s="26"/>
      <c r="M52" s="25"/>
      <c r="N52" s="237">
        <f>(F52*I52)+(G52*K52*I52)</f>
        <v>49.61</v>
      </c>
      <c r="O52" s="24">
        <v>17</v>
      </c>
      <c r="P52" s="9">
        <f>N52*1000*O52</f>
        <v>843370</v>
      </c>
      <c r="Q52" s="9">
        <f>O52*1000*17</f>
        <v>289000</v>
      </c>
      <c r="R52" s="23"/>
      <c r="S52" s="20"/>
      <c r="U52" s="65"/>
    </row>
    <row r="53" spans="1:21" s="64" customFormat="1" ht="19.5" hidden="1" customHeight="1" x14ac:dyDescent="0.25">
      <c r="A53" s="826"/>
      <c r="B53" s="32" t="s">
        <v>5</v>
      </c>
      <c r="C53" s="10">
        <v>74</v>
      </c>
      <c r="D53" s="96">
        <v>253</v>
      </c>
      <c r="E53" s="95" t="s">
        <v>125</v>
      </c>
      <c r="F53" s="38">
        <v>0</v>
      </c>
      <c r="G53" s="38">
        <v>55</v>
      </c>
      <c r="H53" s="30">
        <f>F53+G53</f>
        <v>55</v>
      </c>
      <c r="I53" s="114">
        <v>2.69</v>
      </c>
      <c r="J53" s="28">
        <v>1.48</v>
      </c>
      <c r="K53" s="27">
        <f>(I53-J53)/I53</f>
        <v>0.44981412639405205</v>
      </c>
      <c r="L53" s="26"/>
      <c r="M53" s="25"/>
      <c r="N53" s="237">
        <f>(F53*I53)+(G53*K53*I53)</f>
        <v>66.55</v>
      </c>
      <c r="O53" s="24">
        <v>17</v>
      </c>
      <c r="P53" s="9">
        <f>N53*1000*O53</f>
        <v>1131350</v>
      </c>
      <c r="Q53" s="9">
        <f>O53*1000*17</f>
        <v>289000</v>
      </c>
      <c r="R53" s="23"/>
      <c r="S53" s="20"/>
      <c r="U53" s="65"/>
    </row>
    <row r="54" spans="1:21" s="64" customFormat="1" ht="19.5" hidden="1" customHeight="1" x14ac:dyDescent="0.25">
      <c r="A54" s="31" t="s">
        <v>66</v>
      </c>
      <c r="B54" s="32" t="s">
        <v>5</v>
      </c>
      <c r="C54" s="10">
        <v>2</v>
      </c>
      <c r="D54" s="10">
        <v>33</v>
      </c>
      <c r="E54" s="95" t="s">
        <v>125</v>
      </c>
      <c r="F54" s="38">
        <v>0</v>
      </c>
      <c r="G54" s="38">
        <v>2</v>
      </c>
      <c r="H54" s="30">
        <f>F54+G54</f>
        <v>2</v>
      </c>
      <c r="I54" s="94">
        <v>2.69</v>
      </c>
      <c r="J54" s="36">
        <f>I54-0.67</f>
        <v>2.02</v>
      </c>
      <c r="K54" s="27">
        <f>(I54-J54)/I54</f>
        <v>0.24907063197026019</v>
      </c>
      <c r="L54" s="26"/>
      <c r="M54" s="25"/>
      <c r="N54" s="237">
        <f>(F54*I54)+(G54*K54*I54)</f>
        <v>1.3399999999999999</v>
      </c>
      <c r="O54" s="24">
        <v>17</v>
      </c>
      <c r="P54" s="9">
        <f>N54*1000*O54</f>
        <v>22779.999999999996</v>
      </c>
      <c r="Q54" s="9">
        <f>O54*1000*17</f>
        <v>289000</v>
      </c>
      <c r="R54" s="23"/>
      <c r="S54" s="20"/>
      <c r="U54" s="65"/>
    </row>
    <row r="55" spans="1:21" s="64" customFormat="1" ht="19.5" hidden="1" customHeight="1" x14ac:dyDescent="0.25">
      <c r="A55" s="12" t="s">
        <v>126</v>
      </c>
      <c r="B55" s="32" t="s">
        <v>5</v>
      </c>
      <c r="C55" s="10">
        <v>40</v>
      </c>
      <c r="D55" s="10">
        <v>415</v>
      </c>
      <c r="E55" s="95" t="s">
        <v>125</v>
      </c>
      <c r="F55" s="38">
        <v>0</v>
      </c>
      <c r="G55" s="38">
        <v>25</v>
      </c>
      <c r="H55" s="30">
        <f>F55+G55</f>
        <v>25</v>
      </c>
      <c r="I55" s="114">
        <v>2.69</v>
      </c>
      <c r="J55" s="28">
        <v>1.72</v>
      </c>
      <c r="K55" s="27">
        <f>(I55-J55)/I55</f>
        <v>0.36059479553903345</v>
      </c>
      <c r="L55" s="26"/>
      <c r="M55" s="25"/>
      <c r="N55" s="237">
        <f>(F55*I55)+(G55*K55*I55)</f>
        <v>24.25</v>
      </c>
      <c r="O55" s="24">
        <v>17</v>
      </c>
      <c r="P55" s="9">
        <f>N55*1000*O55</f>
        <v>412250</v>
      </c>
      <c r="Q55" s="9">
        <f>O55*1000*17</f>
        <v>289000</v>
      </c>
      <c r="R55" s="23"/>
      <c r="S55" s="20"/>
      <c r="U55" s="65"/>
    </row>
    <row r="56" spans="1:21" s="97" customFormat="1" ht="19.5" hidden="1" customHeight="1" x14ac:dyDescent="0.25">
      <c r="A56" s="113" t="s">
        <v>124</v>
      </c>
      <c r="B56" s="112"/>
      <c r="C56" s="111">
        <v>141</v>
      </c>
      <c r="D56" s="111"/>
      <c r="E56" s="110"/>
      <c r="F56" s="109"/>
      <c r="G56" s="109">
        <f>SUM(G57:G58)</f>
        <v>50</v>
      </c>
      <c r="H56" s="108">
        <f>SUM(H57:H58)</f>
        <v>50</v>
      </c>
      <c r="I56" s="107"/>
      <c r="J56" s="106"/>
      <c r="K56" s="105"/>
      <c r="L56" s="104"/>
      <c r="M56" s="103"/>
      <c r="N56" s="239"/>
      <c r="O56" s="102"/>
      <c r="P56" s="101"/>
      <c r="Q56" s="101"/>
      <c r="R56" s="100"/>
      <c r="S56" s="99"/>
      <c r="U56" s="98"/>
    </row>
    <row r="57" spans="1:21" s="64" customFormat="1" ht="19.5" hidden="1" customHeight="1" x14ac:dyDescent="0.25">
      <c r="A57" s="826" t="s">
        <v>124</v>
      </c>
      <c r="B57" s="32" t="s">
        <v>5</v>
      </c>
      <c r="C57" s="10">
        <v>30</v>
      </c>
      <c r="D57" s="10">
        <v>60</v>
      </c>
      <c r="E57" s="95" t="s">
        <v>123</v>
      </c>
      <c r="F57" s="38">
        <v>0</v>
      </c>
      <c r="G57" s="38">
        <v>21</v>
      </c>
      <c r="H57" s="37">
        <f>F57+G57</f>
        <v>21</v>
      </c>
      <c r="I57" s="94">
        <v>2.69</v>
      </c>
      <c r="J57" s="36">
        <f>I57-0.67</f>
        <v>2.02</v>
      </c>
      <c r="K57" s="27">
        <f>(I57-J57)/I57</f>
        <v>0.24907063197026019</v>
      </c>
      <c r="L57" s="26">
        <v>7470</v>
      </c>
      <c r="M57" s="25">
        <f>(F57*L57)+(G57*L57*K57)</f>
        <v>39071.710037174715</v>
      </c>
      <c r="N57" s="237"/>
      <c r="O57" s="24"/>
      <c r="P57" s="9"/>
      <c r="Q57" s="9">
        <f>O57*1000*17</f>
        <v>0</v>
      </c>
      <c r="R57" s="23"/>
      <c r="S57" s="20"/>
      <c r="U57" s="65"/>
    </row>
    <row r="58" spans="1:21" s="64" customFormat="1" ht="19.5" hidden="1" customHeight="1" x14ac:dyDescent="0.25">
      <c r="A58" s="826"/>
      <c r="B58" s="32" t="s">
        <v>5</v>
      </c>
      <c r="C58" s="10">
        <v>42</v>
      </c>
      <c r="D58" s="96">
        <v>29</v>
      </c>
      <c r="E58" s="95" t="s">
        <v>122</v>
      </c>
      <c r="F58" s="38">
        <v>0</v>
      </c>
      <c r="G58" s="38">
        <v>29</v>
      </c>
      <c r="H58" s="30">
        <f>F58+G58</f>
        <v>29</v>
      </c>
      <c r="I58" s="94">
        <v>2.69</v>
      </c>
      <c r="J58" s="36">
        <v>1.34</v>
      </c>
      <c r="K58" s="27">
        <f>(I58-J58)/I58</f>
        <v>0.5018587360594795</v>
      </c>
      <c r="L58" s="26"/>
      <c r="M58" s="25"/>
      <c r="N58" s="237">
        <f>(F58*I58)+(G58*K58*I58)</f>
        <v>39.149999999999991</v>
      </c>
      <c r="O58" s="24">
        <v>17</v>
      </c>
      <c r="P58" s="9">
        <f>N58*1000*O58</f>
        <v>665549.99999999988</v>
      </c>
      <c r="Q58" s="9">
        <f>O58*1000*17</f>
        <v>289000</v>
      </c>
      <c r="R58" s="23"/>
      <c r="S58" s="20"/>
      <c r="U58" s="65"/>
    </row>
    <row r="59" spans="1:21" s="61" customFormat="1" ht="19.5" hidden="1" customHeight="1" x14ac:dyDescent="0.25">
      <c r="A59" s="87"/>
      <c r="B59" s="86"/>
      <c r="C59" s="85"/>
      <c r="D59" s="85"/>
      <c r="E59" s="84"/>
      <c r="F59" s="83"/>
      <c r="G59" s="83"/>
      <c r="H59" s="82"/>
      <c r="I59" s="81"/>
      <c r="J59" s="80"/>
      <c r="K59" s="79"/>
      <c r="L59" s="78"/>
      <c r="M59" s="77"/>
      <c r="N59" s="240"/>
      <c r="O59" s="76"/>
      <c r="P59" s="75"/>
      <c r="Q59" s="75"/>
      <c r="R59" s="74"/>
      <c r="S59" s="63"/>
      <c r="U59" s="62"/>
    </row>
    <row r="60" spans="1:21" s="64" customFormat="1" ht="20.45" customHeight="1" x14ac:dyDescent="0.25">
      <c r="A60" s="241" t="s">
        <v>121</v>
      </c>
      <c r="B60" s="242"/>
      <c r="C60" s="243">
        <f>SUM(C61:C67)</f>
        <v>778</v>
      </c>
      <c r="D60" s="243">
        <f>SUM(D61:D67)</f>
        <v>1115.5</v>
      </c>
      <c r="E60" s="241"/>
      <c r="F60" s="244">
        <f>SUM(F61:F67)</f>
        <v>677.92000000000007</v>
      </c>
      <c r="G60" s="244">
        <f>SUM(G61:G67)</f>
        <v>114</v>
      </c>
      <c r="H60" s="244">
        <f>SUM(H61:H67)</f>
        <v>791.92000000000007</v>
      </c>
      <c r="I60" s="245"/>
      <c r="J60" s="244"/>
      <c r="K60" s="244"/>
      <c r="L60" s="246"/>
      <c r="M60" s="244">
        <f>SUM(M61:M67)</f>
        <v>6978708.3169811312</v>
      </c>
      <c r="N60" s="247">
        <f>N61</f>
        <v>0</v>
      </c>
      <c r="O60" s="244"/>
      <c r="P60" s="248">
        <f>SUM(P61:P68)</f>
        <v>0</v>
      </c>
      <c r="Q60" s="67"/>
      <c r="R60" s="66"/>
      <c r="S60" s="20"/>
      <c r="U60" s="65"/>
    </row>
    <row r="61" spans="1:21" s="61" customFormat="1" ht="19.5" customHeight="1" x14ac:dyDescent="0.25">
      <c r="A61" s="12" t="s">
        <v>105</v>
      </c>
      <c r="B61" s="32"/>
      <c r="C61" s="10">
        <v>6</v>
      </c>
      <c r="D61" s="10">
        <v>10</v>
      </c>
      <c r="E61" s="88" t="s">
        <v>119</v>
      </c>
      <c r="F61" s="38">
        <v>10</v>
      </c>
      <c r="G61" s="38"/>
      <c r="H61" s="37">
        <f t="shared" ref="H61:H67" si="4">F61+G61</f>
        <v>10</v>
      </c>
      <c r="I61" s="29">
        <v>2.65</v>
      </c>
      <c r="J61" s="36"/>
      <c r="K61" s="27">
        <f t="shared" ref="K61:K67" si="5">(I61-J61)/I61</f>
        <v>1</v>
      </c>
      <c r="L61" s="26">
        <v>7470</v>
      </c>
      <c r="M61" s="25">
        <f t="shared" ref="M61:M67" si="6">(F61*L61)+(G61*L61*K61)</f>
        <v>74700</v>
      </c>
      <c r="N61" s="237"/>
      <c r="O61" s="24"/>
      <c r="P61" s="9"/>
      <c r="Q61" s="9">
        <f t="shared" ref="Q61:Q67" si="7">O61*1000*17</f>
        <v>0</v>
      </c>
      <c r="R61" s="23"/>
      <c r="S61" s="63"/>
      <c r="U61" s="62"/>
    </row>
    <row r="62" spans="1:21" s="61" customFormat="1" ht="19.5" customHeight="1" x14ac:dyDescent="0.25">
      <c r="A62" s="12" t="s">
        <v>103</v>
      </c>
      <c r="B62" s="32"/>
      <c r="C62" s="10">
        <v>101</v>
      </c>
      <c r="D62" s="10">
        <v>114</v>
      </c>
      <c r="E62" s="88" t="s">
        <v>120</v>
      </c>
      <c r="F62" s="38"/>
      <c r="G62" s="38">
        <v>114</v>
      </c>
      <c r="H62" s="37">
        <f t="shared" si="4"/>
        <v>114</v>
      </c>
      <c r="I62" s="29">
        <v>2.65</v>
      </c>
      <c r="J62" s="36">
        <f>I62-1.33</f>
        <v>1.3199999999999998</v>
      </c>
      <c r="K62" s="93">
        <f t="shared" si="5"/>
        <v>0.50188679245283019</v>
      </c>
      <c r="L62" s="92">
        <v>33464</v>
      </c>
      <c r="M62" s="91">
        <f t="shared" si="6"/>
        <v>1914645.916981132</v>
      </c>
      <c r="N62" s="249"/>
      <c r="O62" s="90"/>
      <c r="P62" s="89"/>
      <c r="Q62" s="9">
        <f t="shared" si="7"/>
        <v>0</v>
      </c>
      <c r="R62" s="23"/>
      <c r="S62" s="63"/>
      <c r="U62" s="62"/>
    </row>
    <row r="63" spans="1:21" s="61" customFormat="1" ht="19.5" customHeight="1" x14ac:dyDescent="0.25">
      <c r="A63" s="12" t="s">
        <v>76</v>
      </c>
      <c r="B63" s="32"/>
      <c r="C63" s="10">
        <v>10</v>
      </c>
      <c r="D63" s="10">
        <v>14.5</v>
      </c>
      <c r="E63" s="88" t="s">
        <v>119</v>
      </c>
      <c r="F63" s="38">
        <v>14.5</v>
      </c>
      <c r="G63" s="38"/>
      <c r="H63" s="37">
        <f t="shared" si="4"/>
        <v>14.5</v>
      </c>
      <c r="I63" s="29">
        <v>2.65</v>
      </c>
      <c r="J63" s="36"/>
      <c r="K63" s="27">
        <f t="shared" si="5"/>
        <v>1</v>
      </c>
      <c r="L63" s="26">
        <v>7470</v>
      </c>
      <c r="M63" s="25">
        <f t="shared" si="6"/>
        <v>108315</v>
      </c>
      <c r="N63" s="237"/>
      <c r="O63" s="24"/>
      <c r="P63" s="9"/>
      <c r="Q63" s="9">
        <f t="shared" si="7"/>
        <v>0</v>
      </c>
      <c r="R63" s="23"/>
      <c r="S63" s="63"/>
      <c r="U63" s="62"/>
    </row>
    <row r="64" spans="1:21" s="61" customFormat="1" ht="19.5" customHeight="1" x14ac:dyDescent="0.25">
      <c r="A64" s="12" t="s">
        <v>104</v>
      </c>
      <c r="B64" s="32"/>
      <c r="C64" s="10">
        <v>278</v>
      </c>
      <c r="D64" s="10">
        <v>278</v>
      </c>
      <c r="E64" s="88" t="s">
        <v>118</v>
      </c>
      <c r="F64" s="38">
        <v>278</v>
      </c>
      <c r="G64" s="38"/>
      <c r="H64" s="37">
        <f t="shared" si="4"/>
        <v>278</v>
      </c>
      <c r="I64" s="29">
        <v>2.65</v>
      </c>
      <c r="J64" s="36"/>
      <c r="K64" s="27">
        <f t="shared" si="5"/>
        <v>1</v>
      </c>
      <c r="L64" s="26">
        <v>7470</v>
      </c>
      <c r="M64" s="25">
        <f t="shared" si="6"/>
        <v>2076660</v>
      </c>
      <c r="N64" s="237"/>
      <c r="O64" s="24"/>
      <c r="P64" s="9"/>
      <c r="Q64" s="9">
        <f t="shared" si="7"/>
        <v>0</v>
      </c>
      <c r="R64" s="23"/>
      <c r="S64" s="63"/>
      <c r="U64" s="62"/>
    </row>
    <row r="65" spans="1:21" s="61" customFormat="1" ht="19.5" customHeight="1" x14ac:dyDescent="0.25">
      <c r="A65" s="12" t="s">
        <v>80</v>
      </c>
      <c r="B65" s="32"/>
      <c r="C65" s="10">
        <v>23</v>
      </c>
      <c r="D65" s="10">
        <v>1</v>
      </c>
      <c r="E65" s="88" t="s">
        <v>117</v>
      </c>
      <c r="F65" s="38">
        <v>0.92</v>
      </c>
      <c r="G65" s="38"/>
      <c r="H65" s="37">
        <f t="shared" si="4"/>
        <v>0.92</v>
      </c>
      <c r="I65" s="29">
        <v>2.65</v>
      </c>
      <c r="J65" s="36"/>
      <c r="K65" s="27">
        <f t="shared" si="5"/>
        <v>1</v>
      </c>
      <c r="L65" s="26">
        <v>7470</v>
      </c>
      <c r="M65" s="25">
        <f t="shared" si="6"/>
        <v>6872.4000000000005</v>
      </c>
      <c r="N65" s="237"/>
      <c r="O65" s="24"/>
      <c r="P65" s="9"/>
      <c r="Q65" s="9">
        <f t="shared" si="7"/>
        <v>0</v>
      </c>
      <c r="R65" s="23"/>
      <c r="S65" s="63"/>
      <c r="U65" s="62"/>
    </row>
    <row r="66" spans="1:21" s="61" customFormat="1" ht="19.5" customHeight="1" x14ac:dyDescent="0.25">
      <c r="A66" s="12" t="s">
        <v>116</v>
      </c>
      <c r="B66" s="32" t="s">
        <v>5</v>
      </c>
      <c r="C66" s="10">
        <v>150</v>
      </c>
      <c r="D66" s="10">
        <v>300</v>
      </c>
      <c r="E66" s="88" t="s">
        <v>108</v>
      </c>
      <c r="F66" s="38">
        <v>127</v>
      </c>
      <c r="G66" s="38"/>
      <c r="H66" s="37">
        <f t="shared" si="4"/>
        <v>127</v>
      </c>
      <c r="I66" s="29">
        <v>2.65</v>
      </c>
      <c r="J66" s="36"/>
      <c r="K66" s="27">
        <f t="shared" si="5"/>
        <v>1</v>
      </c>
      <c r="L66" s="26">
        <v>7470</v>
      </c>
      <c r="M66" s="25">
        <f t="shared" si="6"/>
        <v>948690</v>
      </c>
      <c r="N66" s="237"/>
      <c r="O66" s="24"/>
      <c r="P66" s="9"/>
      <c r="Q66" s="9">
        <f t="shared" si="7"/>
        <v>0</v>
      </c>
      <c r="R66" s="23"/>
      <c r="S66" s="63"/>
      <c r="U66" s="62"/>
    </row>
    <row r="67" spans="1:21" s="61" customFormat="1" ht="19.5" customHeight="1" x14ac:dyDescent="0.25">
      <c r="A67" s="12" t="s">
        <v>82</v>
      </c>
      <c r="B67" s="32" t="s">
        <v>5</v>
      </c>
      <c r="C67" s="10">
        <v>210</v>
      </c>
      <c r="D67" s="10">
        <v>398</v>
      </c>
      <c r="E67" s="88" t="s">
        <v>108</v>
      </c>
      <c r="F67" s="38">
        <v>247.5</v>
      </c>
      <c r="G67" s="38"/>
      <c r="H67" s="37">
        <f t="shared" si="4"/>
        <v>247.5</v>
      </c>
      <c r="I67" s="29">
        <v>2.65</v>
      </c>
      <c r="J67" s="36"/>
      <c r="K67" s="27">
        <f t="shared" si="5"/>
        <v>1</v>
      </c>
      <c r="L67" s="26">
        <v>7470</v>
      </c>
      <c r="M67" s="25">
        <f t="shared" si="6"/>
        <v>1848825</v>
      </c>
      <c r="N67" s="237"/>
      <c r="O67" s="24"/>
      <c r="P67" s="9"/>
      <c r="Q67" s="9">
        <f t="shared" si="7"/>
        <v>0</v>
      </c>
      <c r="R67" s="23"/>
      <c r="S67" s="63"/>
      <c r="U67" s="62"/>
    </row>
    <row r="68" spans="1:21" s="61" customFormat="1" ht="19.350000000000001" customHeight="1" x14ac:dyDescent="0.25">
      <c r="A68" s="87"/>
      <c r="B68" s="86"/>
      <c r="C68" s="85"/>
      <c r="D68" s="85"/>
      <c r="E68" s="84"/>
      <c r="F68" s="83"/>
      <c r="G68" s="83"/>
      <c r="H68" s="82"/>
      <c r="I68" s="81"/>
      <c r="J68" s="80"/>
      <c r="K68" s="79"/>
      <c r="L68" s="78"/>
      <c r="M68" s="77"/>
      <c r="N68" s="240"/>
      <c r="O68" s="76"/>
      <c r="P68" s="75"/>
      <c r="Q68" s="75"/>
      <c r="R68" s="74"/>
      <c r="S68" s="63"/>
      <c r="U68" s="62"/>
    </row>
    <row r="69" spans="1:21" s="64" customFormat="1" ht="20.45" customHeight="1" x14ac:dyDescent="0.25">
      <c r="A69" s="241" t="s">
        <v>115</v>
      </c>
      <c r="B69" s="242"/>
      <c r="C69" s="243">
        <f>SUM(C70:C71)</f>
        <v>509</v>
      </c>
      <c r="D69" s="243">
        <f>SUM(D70:D71)</f>
        <v>509</v>
      </c>
      <c r="E69" s="241"/>
      <c r="F69" s="244">
        <f>SUM(F70:F71)</f>
        <v>509</v>
      </c>
      <c r="G69" s="244">
        <f>SUM(G70:G71)</f>
        <v>0</v>
      </c>
      <c r="H69" s="244">
        <f>SUM(H70:H71)</f>
        <v>509</v>
      </c>
      <c r="I69" s="245"/>
      <c r="J69" s="244"/>
      <c r="K69" s="244"/>
      <c r="L69" s="246"/>
      <c r="M69" s="244">
        <f>SUM(M70:M71)</f>
        <v>3802230</v>
      </c>
      <c r="N69" s="244">
        <f>SUM(N70:N71)</f>
        <v>0</v>
      </c>
      <c r="O69" s="244"/>
      <c r="P69" s="244">
        <f>SUM(P70:P71)</f>
        <v>0</v>
      </c>
      <c r="Q69" s="67"/>
      <c r="R69" s="66"/>
      <c r="S69" s="20"/>
      <c r="U69" s="65"/>
    </row>
    <row r="70" spans="1:21" s="61" customFormat="1" ht="19.350000000000001" hidden="1" customHeight="1" x14ac:dyDescent="0.25">
      <c r="A70" s="825" t="s">
        <v>112</v>
      </c>
      <c r="B70" s="32" t="s">
        <v>5</v>
      </c>
      <c r="C70" s="11">
        <v>447</v>
      </c>
      <c r="D70" s="42">
        <v>447</v>
      </c>
      <c r="E70" s="39" t="s">
        <v>108</v>
      </c>
      <c r="F70" s="38">
        <v>447</v>
      </c>
      <c r="G70" s="38"/>
      <c r="H70" s="37">
        <f>F70+G70</f>
        <v>447</v>
      </c>
      <c r="I70" s="29">
        <v>2.73</v>
      </c>
      <c r="J70" s="36"/>
      <c r="K70" s="27">
        <f>(I70-J70)/I70</f>
        <v>1</v>
      </c>
      <c r="L70" s="26">
        <v>7470</v>
      </c>
      <c r="M70" s="25">
        <f>(F70*L70)+(G70*L70*K70)</f>
        <v>3339090</v>
      </c>
      <c r="N70" s="237"/>
      <c r="O70" s="24"/>
      <c r="P70" s="9"/>
      <c r="Q70" s="9">
        <f>O70*1000*17</f>
        <v>0</v>
      </c>
      <c r="R70" s="23"/>
      <c r="S70" s="63"/>
      <c r="U70" s="62"/>
    </row>
    <row r="71" spans="1:21" s="61" customFormat="1" ht="19.350000000000001" hidden="1" customHeight="1" x14ac:dyDescent="0.25">
      <c r="A71" s="825"/>
      <c r="B71" s="32" t="s">
        <v>5</v>
      </c>
      <c r="C71" s="11">
        <v>62</v>
      </c>
      <c r="D71" s="42">
        <v>62</v>
      </c>
      <c r="E71" s="39" t="s">
        <v>108</v>
      </c>
      <c r="F71" s="38">
        <v>62</v>
      </c>
      <c r="G71" s="38"/>
      <c r="H71" s="37">
        <f>F71+G71</f>
        <v>62</v>
      </c>
      <c r="I71" s="29">
        <v>2.73</v>
      </c>
      <c r="J71" s="36"/>
      <c r="K71" s="27">
        <f>(I71-J71)/I71</f>
        <v>1</v>
      </c>
      <c r="L71" s="26">
        <v>7470</v>
      </c>
      <c r="M71" s="25">
        <f>(F71*L71)+(G71*L71*K71)</f>
        <v>463140</v>
      </c>
      <c r="N71" s="237"/>
      <c r="O71" s="24"/>
      <c r="P71" s="9"/>
      <c r="Q71" s="9">
        <f>O71*1000*17</f>
        <v>0</v>
      </c>
      <c r="R71" s="23"/>
      <c r="S71" s="63"/>
      <c r="U71" s="62"/>
    </row>
    <row r="72" spans="1:21" s="44" customFormat="1" ht="19.5" hidden="1" customHeight="1" x14ac:dyDescent="0.25">
      <c r="A72" s="60"/>
      <c r="B72" s="60"/>
      <c r="C72" s="59"/>
      <c r="D72" s="58"/>
      <c r="E72" s="57"/>
      <c r="F72" s="56"/>
      <c r="G72" s="56"/>
      <c r="H72" s="55"/>
      <c r="I72" s="54"/>
      <c r="J72" s="53"/>
      <c r="K72" s="52"/>
      <c r="L72" s="51"/>
      <c r="M72" s="50"/>
      <c r="N72" s="250"/>
      <c r="O72" s="49"/>
      <c r="P72" s="48"/>
      <c r="Q72" s="48"/>
      <c r="R72" s="47"/>
      <c r="S72" s="46"/>
      <c r="U72" s="45"/>
    </row>
    <row r="73" spans="1:21" s="34" customFormat="1" ht="18.75" customHeight="1" x14ac:dyDescent="0.25">
      <c r="A73" s="33" t="s">
        <v>84</v>
      </c>
      <c r="B73" s="32" t="s">
        <v>5</v>
      </c>
      <c r="C73" s="11">
        <v>11</v>
      </c>
      <c r="D73" s="42">
        <v>9</v>
      </c>
      <c r="E73" s="39" t="s">
        <v>108</v>
      </c>
      <c r="F73" s="38">
        <v>9</v>
      </c>
      <c r="G73" s="38"/>
      <c r="H73" s="37">
        <v>9</v>
      </c>
      <c r="I73" s="29">
        <v>2.73</v>
      </c>
      <c r="J73" s="36"/>
      <c r="K73" s="27">
        <v>1</v>
      </c>
      <c r="L73" s="26">
        <v>7470</v>
      </c>
      <c r="M73" s="25">
        <v>67230</v>
      </c>
      <c r="N73" s="237"/>
      <c r="O73" s="24"/>
      <c r="P73" s="9">
        <v>0</v>
      </c>
      <c r="Q73" s="9">
        <v>0</v>
      </c>
      <c r="R73" s="23"/>
      <c r="S73" s="14"/>
      <c r="T73" s="15"/>
      <c r="U73" s="14"/>
    </row>
    <row r="74" spans="1:21" s="34" customFormat="1" ht="18.75" customHeight="1" x14ac:dyDescent="0.25">
      <c r="A74" s="33" t="s">
        <v>188</v>
      </c>
      <c r="B74" s="32"/>
      <c r="C74" s="11">
        <v>605</v>
      </c>
      <c r="D74" s="10">
        <v>460</v>
      </c>
      <c r="E74" s="31">
        <v>0</v>
      </c>
      <c r="F74" s="13">
        <v>430</v>
      </c>
      <c r="G74" s="13">
        <v>0</v>
      </c>
      <c r="H74" s="30">
        <v>430</v>
      </c>
      <c r="I74" s="29">
        <v>5.46</v>
      </c>
      <c r="J74" s="28">
        <v>0</v>
      </c>
      <c r="K74" s="27">
        <v>2</v>
      </c>
      <c r="L74" s="26">
        <v>7470</v>
      </c>
      <c r="M74" s="25">
        <f>3174750+P74</f>
        <v>3406800</v>
      </c>
      <c r="N74" s="237">
        <v>13.65</v>
      </c>
      <c r="O74" s="24">
        <v>17</v>
      </c>
      <c r="P74" s="9">
        <v>232050</v>
      </c>
      <c r="Q74" s="9"/>
      <c r="R74" s="23"/>
      <c r="S74" s="14"/>
      <c r="T74" s="15"/>
      <c r="U74" s="14"/>
    </row>
    <row r="75" spans="1:21" s="34" customFormat="1" ht="18.75" customHeight="1" x14ac:dyDescent="0.25">
      <c r="A75" s="12" t="s">
        <v>86</v>
      </c>
      <c r="B75" s="32" t="s">
        <v>5</v>
      </c>
      <c r="C75" s="10">
        <v>80</v>
      </c>
      <c r="D75" s="10">
        <v>95</v>
      </c>
      <c r="E75" s="39" t="s">
        <v>108</v>
      </c>
      <c r="F75" s="38">
        <v>95.5</v>
      </c>
      <c r="G75" s="38"/>
      <c r="H75" s="37">
        <v>95.5</v>
      </c>
      <c r="I75" s="29">
        <v>2.73</v>
      </c>
      <c r="J75" s="36"/>
      <c r="K75" s="27">
        <v>1</v>
      </c>
      <c r="L75" s="26">
        <v>7470</v>
      </c>
      <c r="M75" s="25">
        <v>713385</v>
      </c>
      <c r="N75" s="237"/>
      <c r="O75" s="24"/>
      <c r="P75" s="9">
        <v>0</v>
      </c>
      <c r="Q75" s="9">
        <v>0</v>
      </c>
      <c r="R75" s="23"/>
      <c r="T75" s="35"/>
    </row>
    <row r="76" spans="1:21" s="34" customFormat="1" ht="18.75" customHeight="1" x14ac:dyDescent="0.25">
      <c r="A76" s="33" t="s">
        <v>87</v>
      </c>
      <c r="B76" s="32" t="s">
        <v>5</v>
      </c>
      <c r="C76" s="11">
        <v>599</v>
      </c>
      <c r="D76" s="10">
        <v>699</v>
      </c>
      <c r="E76" s="39" t="s">
        <v>108</v>
      </c>
      <c r="F76" s="38">
        <v>585</v>
      </c>
      <c r="G76" s="38"/>
      <c r="H76" s="37">
        <v>585</v>
      </c>
      <c r="I76" s="29">
        <v>2.73</v>
      </c>
      <c r="J76" s="36"/>
      <c r="K76" s="27">
        <v>1</v>
      </c>
      <c r="L76" s="26">
        <v>7470</v>
      </c>
      <c r="M76" s="25">
        <v>4369950</v>
      </c>
      <c r="N76" s="237"/>
      <c r="O76" s="24"/>
      <c r="P76" s="9"/>
      <c r="Q76" s="9">
        <v>0</v>
      </c>
      <c r="R76" s="23"/>
      <c r="S76" s="14"/>
      <c r="T76" s="15"/>
      <c r="U76" s="14"/>
    </row>
    <row r="77" spans="1:21" s="34" customFormat="1" ht="18.75" customHeight="1" x14ac:dyDescent="0.25">
      <c r="A77" s="33" t="s">
        <v>88</v>
      </c>
      <c r="B77" s="32" t="s">
        <v>5</v>
      </c>
      <c r="C77" s="11">
        <v>18</v>
      </c>
      <c r="D77" s="42">
        <v>171</v>
      </c>
      <c r="E77" s="39" t="s">
        <v>108</v>
      </c>
      <c r="F77" s="38">
        <v>171.25</v>
      </c>
      <c r="G77" s="38"/>
      <c r="H77" s="37">
        <v>171.25</v>
      </c>
      <c r="I77" s="29">
        <v>2.73</v>
      </c>
      <c r="J77" s="36"/>
      <c r="K77" s="27">
        <v>1</v>
      </c>
      <c r="L77" s="26">
        <v>7470</v>
      </c>
      <c r="M77" s="25">
        <v>1279237.5</v>
      </c>
      <c r="N77" s="237"/>
      <c r="O77" s="24"/>
      <c r="P77" s="9">
        <v>0</v>
      </c>
      <c r="Q77" s="9">
        <v>0</v>
      </c>
      <c r="R77" s="23"/>
      <c r="S77" s="14"/>
      <c r="T77" s="15"/>
      <c r="U77" s="14"/>
    </row>
    <row r="78" spans="1:21" s="34" customFormat="1" ht="18.75" customHeight="1" x14ac:dyDescent="0.25">
      <c r="A78" s="12" t="s">
        <v>114</v>
      </c>
      <c r="B78" s="32" t="s">
        <v>5</v>
      </c>
      <c r="C78" s="10">
        <v>107</v>
      </c>
      <c r="D78" s="10">
        <v>94</v>
      </c>
      <c r="E78" s="39" t="s">
        <v>108</v>
      </c>
      <c r="F78" s="38">
        <v>94</v>
      </c>
      <c r="G78" s="38"/>
      <c r="H78" s="37">
        <v>94</v>
      </c>
      <c r="I78" s="29">
        <v>2.73</v>
      </c>
      <c r="J78" s="36"/>
      <c r="K78" s="27">
        <v>1</v>
      </c>
      <c r="L78" s="26">
        <v>7470</v>
      </c>
      <c r="M78" s="25">
        <v>702180</v>
      </c>
      <c r="N78" s="237"/>
      <c r="O78" s="24"/>
      <c r="P78" s="9">
        <v>0</v>
      </c>
      <c r="Q78" s="9">
        <v>0</v>
      </c>
      <c r="R78" s="23"/>
      <c r="T78" s="35"/>
    </row>
    <row r="79" spans="1:21" s="34" customFormat="1" ht="18.75" customHeight="1" x14ac:dyDescent="0.25">
      <c r="A79" s="12" t="s">
        <v>113</v>
      </c>
      <c r="B79" s="32" t="s">
        <v>5</v>
      </c>
      <c r="C79" s="10">
        <v>13</v>
      </c>
      <c r="D79" s="10">
        <v>9.5</v>
      </c>
      <c r="E79" s="39" t="s">
        <v>108</v>
      </c>
      <c r="F79" s="38">
        <v>9.5</v>
      </c>
      <c r="G79" s="38"/>
      <c r="H79" s="37">
        <v>9.5</v>
      </c>
      <c r="I79" s="29">
        <v>2.73</v>
      </c>
      <c r="J79" s="36"/>
      <c r="K79" s="27">
        <v>1</v>
      </c>
      <c r="L79" s="26">
        <v>7470</v>
      </c>
      <c r="M79" s="25">
        <v>70965</v>
      </c>
      <c r="N79" s="237"/>
      <c r="O79" s="24"/>
      <c r="P79" s="9">
        <v>0</v>
      </c>
      <c r="Q79" s="9">
        <v>0</v>
      </c>
      <c r="R79" s="23"/>
      <c r="T79" s="35"/>
    </row>
    <row r="80" spans="1:21" s="34" customFormat="1" ht="18.75" customHeight="1" x14ac:dyDescent="0.25">
      <c r="A80" s="33" t="s">
        <v>112</v>
      </c>
      <c r="B80" s="32"/>
      <c r="C80" s="11">
        <v>0</v>
      </c>
      <c r="D80" s="10">
        <v>0</v>
      </c>
      <c r="E80" s="39">
        <v>0</v>
      </c>
      <c r="F80" s="38">
        <v>0</v>
      </c>
      <c r="G80" s="38">
        <v>0</v>
      </c>
      <c r="H80" s="37">
        <v>0</v>
      </c>
      <c r="I80" s="29">
        <v>0</v>
      </c>
      <c r="J80" s="36">
        <v>0</v>
      </c>
      <c r="K80" s="27">
        <v>0</v>
      </c>
      <c r="L80" s="26">
        <v>0</v>
      </c>
      <c r="M80" s="25">
        <v>0</v>
      </c>
      <c r="N80" s="237">
        <v>0</v>
      </c>
      <c r="O80" s="24">
        <v>0</v>
      </c>
      <c r="P80" s="9">
        <v>0</v>
      </c>
      <c r="Q80" s="9"/>
      <c r="R80" s="23"/>
      <c r="S80" s="14"/>
      <c r="T80" s="15"/>
      <c r="U80" s="14"/>
    </row>
    <row r="81" spans="1:21" ht="18.75" customHeight="1" x14ac:dyDescent="0.25">
      <c r="A81" s="12" t="s">
        <v>111</v>
      </c>
      <c r="B81" s="32" t="s">
        <v>5</v>
      </c>
      <c r="C81" s="10">
        <v>2</v>
      </c>
      <c r="D81" s="10">
        <v>2</v>
      </c>
      <c r="E81" s="39" t="s">
        <v>108</v>
      </c>
      <c r="F81" s="38">
        <v>2</v>
      </c>
      <c r="G81" s="38"/>
      <c r="H81" s="37">
        <v>2</v>
      </c>
      <c r="I81" s="29">
        <v>2.73</v>
      </c>
      <c r="J81" s="36"/>
      <c r="K81" s="27">
        <v>1</v>
      </c>
      <c r="L81" s="26">
        <v>7470</v>
      </c>
      <c r="M81" s="25">
        <v>14940</v>
      </c>
      <c r="N81" s="237"/>
      <c r="O81" s="24"/>
      <c r="P81" s="9">
        <v>0</v>
      </c>
      <c r="Q81" s="9">
        <v>0</v>
      </c>
      <c r="R81" s="23"/>
      <c r="S81" s="34"/>
      <c r="T81" s="35"/>
      <c r="U81" s="34"/>
    </row>
    <row r="82" spans="1:21" ht="18.75" customHeight="1" x14ac:dyDescent="0.25">
      <c r="A82" s="33" t="s">
        <v>90</v>
      </c>
      <c r="B82" s="32"/>
      <c r="C82" s="11">
        <v>20</v>
      </c>
      <c r="D82" s="42">
        <v>18</v>
      </c>
      <c r="E82" s="39">
        <v>0</v>
      </c>
      <c r="F82" s="38">
        <v>18</v>
      </c>
      <c r="G82" s="38">
        <v>0</v>
      </c>
      <c r="H82" s="37">
        <v>18</v>
      </c>
      <c r="I82" s="29">
        <v>5.46</v>
      </c>
      <c r="J82" s="36">
        <v>0</v>
      </c>
      <c r="K82" s="27">
        <v>2</v>
      </c>
      <c r="L82" s="26">
        <v>7470</v>
      </c>
      <c r="M82" s="25">
        <f>112050+P82</f>
        <v>251279.99999999997</v>
      </c>
      <c r="N82" s="237">
        <v>8.19</v>
      </c>
      <c r="O82" s="24">
        <v>17</v>
      </c>
      <c r="P82" s="9">
        <v>139229.99999999997</v>
      </c>
      <c r="Q82" s="9"/>
      <c r="R82" s="23"/>
    </row>
    <row r="83" spans="1:21" ht="18.75" customHeight="1" x14ac:dyDescent="0.25">
      <c r="A83" s="33" t="s">
        <v>106</v>
      </c>
      <c r="B83" s="32" t="s">
        <v>5</v>
      </c>
      <c r="C83" s="11">
        <v>515</v>
      </c>
      <c r="D83" s="42">
        <v>814</v>
      </c>
      <c r="E83" s="39" t="s">
        <v>108</v>
      </c>
      <c r="F83" s="38">
        <v>814</v>
      </c>
      <c r="G83" s="38"/>
      <c r="H83" s="37">
        <v>814</v>
      </c>
      <c r="I83" s="29">
        <v>2.73</v>
      </c>
      <c r="J83" s="36"/>
      <c r="K83" s="27">
        <v>1</v>
      </c>
      <c r="L83" s="26">
        <v>7470</v>
      </c>
      <c r="M83" s="25">
        <v>6080580</v>
      </c>
      <c r="N83" s="237"/>
      <c r="O83" s="24"/>
      <c r="P83" s="9"/>
      <c r="Q83" s="9">
        <v>0</v>
      </c>
      <c r="R83" s="23"/>
    </row>
    <row r="84" spans="1:21" ht="18.75" customHeight="1" x14ac:dyDescent="0.25">
      <c r="A84" s="43" t="s">
        <v>91</v>
      </c>
      <c r="B84" s="32" t="s">
        <v>5</v>
      </c>
      <c r="C84" s="11">
        <v>432</v>
      </c>
      <c r="D84" s="42">
        <v>432</v>
      </c>
      <c r="E84" s="39" t="s">
        <v>108</v>
      </c>
      <c r="F84" s="38">
        <v>432</v>
      </c>
      <c r="G84" s="38"/>
      <c r="H84" s="37">
        <v>432</v>
      </c>
      <c r="I84" s="29">
        <v>2.73</v>
      </c>
      <c r="J84" s="36"/>
      <c r="K84" s="27">
        <v>1</v>
      </c>
      <c r="L84" s="26">
        <v>7470</v>
      </c>
      <c r="M84" s="25">
        <v>3227040</v>
      </c>
      <c r="N84" s="237"/>
      <c r="O84" s="24"/>
      <c r="P84" s="9">
        <v>0</v>
      </c>
      <c r="Q84" s="9">
        <v>0</v>
      </c>
      <c r="R84" s="23"/>
      <c r="S84" s="34"/>
      <c r="T84" s="35"/>
      <c r="U84" s="34"/>
    </row>
    <row r="85" spans="1:21" ht="18.75" customHeight="1" x14ac:dyDescent="0.25">
      <c r="A85" s="33" t="s">
        <v>110</v>
      </c>
      <c r="B85" s="32" t="s">
        <v>5</v>
      </c>
      <c r="C85" s="11">
        <v>120</v>
      </c>
      <c r="D85" s="42">
        <v>4.8</v>
      </c>
      <c r="E85" s="39" t="s">
        <v>108</v>
      </c>
      <c r="F85" s="38">
        <v>4.8</v>
      </c>
      <c r="G85" s="38"/>
      <c r="H85" s="37">
        <v>4.8</v>
      </c>
      <c r="I85" s="29">
        <v>2.73</v>
      </c>
      <c r="J85" s="36"/>
      <c r="K85" s="27">
        <v>1</v>
      </c>
      <c r="L85" s="26">
        <v>7470</v>
      </c>
      <c r="M85" s="25">
        <v>35856</v>
      </c>
      <c r="N85" s="237"/>
      <c r="O85" s="24"/>
      <c r="P85" s="9">
        <v>0</v>
      </c>
      <c r="Q85" s="9">
        <v>0</v>
      </c>
      <c r="R85" s="23"/>
      <c r="S85" s="34"/>
      <c r="T85" s="35"/>
      <c r="U85" s="34"/>
    </row>
    <row r="86" spans="1:21" ht="18.75" customHeight="1" x14ac:dyDescent="0.25">
      <c r="A86" s="41" t="s">
        <v>3</v>
      </c>
      <c r="B86" s="32" t="s">
        <v>5</v>
      </c>
      <c r="C86" s="10">
        <v>150</v>
      </c>
      <c r="D86" s="10">
        <v>144</v>
      </c>
      <c r="E86" s="39" t="s">
        <v>108</v>
      </c>
      <c r="F86" s="38">
        <v>50</v>
      </c>
      <c r="G86" s="38">
        <v>97</v>
      </c>
      <c r="H86" s="37">
        <v>147</v>
      </c>
      <c r="I86" s="29">
        <v>2.73</v>
      </c>
      <c r="J86" s="36">
        <v>0.27</v>
      </c>
      <c r="K86" s="27">
        <v>0.90109890109890112</v>
      </c>
      <c r="L86" s="26">
        <v>7470</v>
      </c>
      <c r="M86" s="25">
        <v>1026427.2527472528</v>
      </c>
      <c r="N86" s="237"/>
      <c r="O86" s="24"/>
      <c r="P86" s="9">
        <v>0</v>
      </c>
      <c r="Q86" s="9">
        <v>0</v>
      </c>
      <c r="R86" s="23"/>
      <c r="S86" s="34"/>
      <c r="T86" s="35"/>
      <c r="U86" s="34"/>
    </row>
    <row r="87" spans="1:21" ht="18.75" customHeight="1" x14ac:dyDescent="0.25">
      <c r="A87" s="12" t="s">
        <v>109</v>
      </c>
      <c r="B87" s="32" t="s">
        <v>5</v>
      </c>
      <c r="C87" s="40">
        <v>20</v>
      </c>
      <c r="D87" s="40">
        <v>20</v>
      </c>
      <c r="E87" s="39" t="s">
        <v>108</v>
      </c>
      <c r="F87" s="38">
        <v>20</v>
      </c>
      <c r="G87" s="38"/>
      <c r="H87" s="37">
        <v>20</v>
      </c>
      <c r="I87" s="29">
        <v>2.73</v>
      </c>
      <c r="J87" s="36"/>
      <c r="K87" s="27">
        <v>1</v>
      </c>
      <c r="L87" s="26">
        <v>7470</v>
      </c>
      <c r="M87" s="25">
        <v>149400</v>
      </c>
      <c r="N87" s="237"/>
      <c r="O87" s="24"/>
      <c r="P87" s="9">
        <v>0</v>
      </c>
      <c r="Q87" s="9">
        <v>0</v>
      </c>
      <c r="R87" s="23"/>
      <c r="S87" s="34"/>
      <c r="T87" s="35"/>
      <c r="U87" s="34"/>
    </row>
    <row r="88" spans="1:21" ht="18.75" customHeight="1" x14ac:dyDescent="0.25">
      <c r="A88" s="33" t="s">
        <v>94</v>
      </c>
      <c r="B88" s="32" t="s">
        <v>5</v>
      </c>
      <c r="C88" s="11">
        <v>4</v>
      </c>
      <c r="D88" s="10">
        <v>3.25</v>
      </c>
      <c r="E88" s="31" t="s">
        <v>107</v>
      </c>
      <c r="F88" s="13">
        <v>3.25</v>
      </c>
      <c r="G88" s="13"/>
      <c r="H88" s="30">
        <v>3.25</v>
      </c>
      <c r="I88" s="29">
        <v>2.73</v>
      </c>
      <c r="J88" s="28"/>
      <c r="K88" s="27">
        <v>1</v>
      </c>
      <c r="L88" s="26"/>
      <c r="M88" s="9">
        <v>150832.5</v>
      </c>
      <c r="N88" s="237">
        <v>8.8725000000000005</v>
      </c>
      <c r="O88" s="24">
        <v>17</v>
      </c>
      <c r="P88" s="9">
        <v>150832.5</v>
      </c>
      <c r="Q88" s="9">
        <v>289000</v>
      </c>
      <c r="R88" s="23"/>
    </row>
  </sheetData>
  <mergeCells count="23">
    <mergeCell ref="N12:P12"/>
    <mergeCell ref="A70:A71"/>
    <mergeCell ref="A57:A58"/>
    <mergeCell ref="A39:A41"/>
    <mergeCell ref="A43:A44"/>
    <mergeCell ref="A46:A48"/>
    <mergeCell ref="A52:A5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4" customWidth="1"/>
    <col min="2" max="3" width="14" style="256" customWidth="1"/>
    <col min="4" max="4" width="15.85546875" style="255" customWidth="1"/>
    <col min="5" max="5" width="11.85546875" style="254" customWidth="1"/>
    <col min="6" max="6" width="13.42578125" style="254" customWidth="1"/>
    <col min="7" max="7" width="13.85546875" style="253" customWidth="1"/>
    <col min="8" max="8" width="10.7109375" style="14" customWidth="1"/>
    <col min="9" max="9" width="11.42578125" style="252" customWidth="1"/>
    <col min="10" max="10" width="8.42578125" style="252" customWidth="1"/>
    <col min="11" max="11" width="14.85546875" style="251" customWidth="1"/>
    <col min="12" max="12" width="17.42578125" style="251" customWidth="1"/>
    <col min="13" max="13" width="12.7109375" style="251" customWidth="1"/>
    <col min="14" max="14" width="12.140625" style="251" customWidth="1"/>
    <col min="15" max="15" width="18.42578125" style="19" customWidth="1"/>
    <col min="16" max="16" width="21.85546875" style="14" customWidth="1"/>
    <col min="17" max="18" width="9.140625" style="14"/>
    <col min="19" max="19" width="29.28515625" style="14" customWidth="1"/>
    <col min="20" max="16384" width="9.140625" style="14"/>
  </cols>
  <sheetData>
    <row r="1" spans="1:19" ht="18.95" customHeight="1" x14ac:dyDescent="0.25">
      <c r="A1" s="773" t="s">
        <v>236</v>
      </c>
      <c r="B1" s="773"/>
      <c r="C1" s="773"/>
      <c r="D1" s="773"/>
      <c r="E1" s="773"/>
      <c r="F1" s="773"/>
      <c r="G1" s="773"/>
      <c r="H1" s="773"/>
      <c r="I1" s="773"/>
      <c r="J1" s="773"/>
      <c r="K1" s="773"/>
      <c r="L1" s="773"/>
      <c r="M1" s="773"/>
      <c r="N1" s="773"/>
      <c r="O1" s="773"/>
      <c r="P1" s="773"/>
    </row>
    <row r="2" spans="1:19" ht="18.95" customHeight="1" x14ac:dyDescent="0.25">
      <c r="A2" s="773" t="s">
        <v>235</v>
      </c>
      <c r="B2" s="773"/>
      <c r="C2" s="773"/>
      <c r="D2" s="773"/>
      <c r="E2" s="773"/>
      <c r="F2" s="773"/>
      <c r="G2" s="773"/>
      <c r="H2" s="773"/>
      <c r="I2" s="773"/>
      <c r="J2" s="773"/>
      <c r="K2" s="773"/>
      <c r="L2" s="773"/>
      <c r="M2" s="773"/>
      <c r="N2" s="773"/>
      <c r="O2" s="773"/>
      <c r="P2" s="773"/>
    </row>
    <row r="3" spans="1:19" ht="18.95" customHeight="1" x14ac:dyDescent="0.25">
      <c r="A3" s="773" t="s">
        <v>234</v>
      </c>
      <c r="B3" s="773"/>
      <c r="C3" s="773"/>
      <c r="D3" s="773"/>
      <c r="E3" s="773"/>
      <c r="F3" s="773"/>
      <c r="G3" s="773"/>
      <c r="H3" s="773"/>
      <c r="I3" s="773"/>
      <c r="J3" s="773"/>
      <c r="K3" s="773"/>
      <c r="L3" s="773"/>
      <c r="M3" s="773"/>
      <c r="N3" s="773"/>
      <c r="O3" s="773"/>
      <c r="P3" s="773"/>
    </row>
    <row r="4" spans="1:19" ht="18.95" hidden="1" customHeight="1" x14ac:dyDescent="0.25">
      <c r="A4" s="773" t="s">
        <v>233</v>
      </c>
      <c r="B4" s="773"/>
      <c r="C4" s="773"/>
      <c r="D4" s="773"/>
      <c r="E4" s="773"/>
      <c r="F4" s="773"/>
      <c r="G4" s="773"/>
      <c r="H4" s="773"/>
      <c r="I4" s="773"/>
      <c r="J4" s="773"/>
      <c r="K4" s="773"/>
      <c r="L4" s="773"/>
      <c r="M4" s="773"/>
      <c r="N4" s="773"/>
      <c r="O4" s="773"/>
      <c r="P4" s="773"/>
    </row>
    <row r="5" spans="1:19" ht="18.95" customHeight="1" thickBot="1" x14ac:dyDescent="0.3">
      <c r="A5" s="186"/>
      <c r="B5" s="289"/>
      <c r="C5" s="289"/>
      <c r="D5" s="285"/>
      <c r="E5" s="289"/>
      <c r="F5" s="289"/>
      <c r="G5" s="288"/>
      <c r="H5" s="186"/>
      <c r="I5" s="285"/>
      <c r="J5" s="285"/>
      <c r="K5" s="285"/>
      <c r="L5" s="285"/>
      <c r="M5" s="285"/>
      <c r="N5" s="285"/>
      <c r="O5" s="186"/>
      <c r="P5" s="186"/>
    </row>
    <row r="6" spans="1:19" ht="18.95" customHeight="1" x14ac:dyDescent="0.25">
      <c r="A6" s="217" t="s">
        <v>232</v>
      </c>
      <c r="B6" s="446"/>
      <c r="C6" s="446"/>
      <c r="D6" s="442"/>
      <c r="E6" s="446"/>
      <c r="F6" s="446"/>
      <c r="G6" s="445"/>
      <c r="H6" s="207"/>
      <c r="I6" s="442"/>
      <c r="J6" s="442"/>
      <c r="K6" s="444"/>
      <c r="L6" s="443" t="s">
        <v>183</v>
      </c>
      <c r="M6" s="442"/>
      <c r="N6" s="442"/>
      <c r="O6" s="207"/>
      <c r="P6" s="205"/>
    </row>
    <row r="7" spans="1:19" ht="18.95" customHeight="1" x14ac:dyDescent="0.25">
      <c r="A7" s="197"/>
      <c r="B7" s="289"/>
      <c r="C7" s="289"/>
      <c r="D7" s="285"/>
      <c r="E7" s="289"/>
      <c r="F7" s="289"/>
      <c r="G7" s="288"/>
      <c r="H7" s="186"/>
      <c r="I7" s="285"/>
      <c r="J7" s="285"/>
      <c r="K7" s="438"/>
      <c r="L7" s="441" t="s">
        <v>182</v>
      </c>
      <c r="M7" s="440"/>
      <c r="N7" s="440" t="s">
        <v>181</v>
      </c>
      <c r="O7" s="186"/>
      <c r="P7" s="184"/>
    </row>
    <row r="8" spans="1:19" ht="18.95" customHeight="1" x14ac:dyDescent="0.25">
      <c r="A8" s="197"/>
      <c r="B8" s="289"/>
      <c r="C8" s="289"/>
      <c r="D8" s="285"/>
      <c r="E8" s="289"/>
      <c r="F8" s="289"/>
      <c r="G8" s="288"/>
      <c r="H8" s="186"/>
      <c r="I8" s="439"/>
      <c r="J8" s="285"/>
      <c r="K8" s="438"/>
      <c r="L8" s="437" t="s">
        <v>180</v>
      </c>
      <c r="M8" s="436"/>
      <c r="N8" s="285"/>
      <c r="O8" s="194" t="s">
        <v>179</v>
      </c>
      <c r="P8" s="184"/>
    </row>
    <row r="9" spans="1:19" ht="18.95" customHeight="1" x14ac:dyDescent="0.25">
      <c r="A9" s="197"/>
      <c r="B9" s="289"/>
      <c r="C9" s="289"/>
      <c r="D9" s="285"/>
      <c r="E9" s="289"/>
      <c r="F9" s="289"/>
      <c r="G9" s="288"/>
      <c r="H9" s="186"/>
      <c r="I9" s="439"/>
      <c r="J9" s="285"/>
      <c r="K9" s="438"/>
      <c r="L9" s="437" t="s">
        <v>178</v>
      </c>
      <c r="M9" s="436"/>
      <c r="N9" s="285"/>
      <c r="O9" s="194" t="s">
        <v>177</v>
      </c>
      <c r="P9" s="184"/>
    </row>
    <row r="10" spans="1:19" ht="18.95" customHeight="1" thickBot="1" x14ac:dyDescent="0.3">
      <c r="A10" s="197"/>
      <c r="B10" s="289"/>
      <c r="C10" s="289"/>
      <c r="D10" s="285"/>
      <c r="E10" s="289"/>
      <c r="F10" s="289"/>
      <c r="G10" s="288"/>
      <c r="H10" s="186"/>
      <c r="I10" s="285"/>
      <c r="J10" s="285"/>
      <c r="K10" s="438"/>
      <c r="L10" s="437" t="s">
        <v>176</v>
      </c>
      <c r="M10" s="436"/>
      <c r="N10" s="285"/>
      <c r="O10" s="194" t="s">
        <v>175</v>
      </c>
      <c r="P10" s="184"/>
    </row>
    <row r="11" spans="1:19" ht="18.95" customHeight="1" thickBot="1" x14ac:dyDescent="0.3">
      <c r="A11" s="801" t="s">
        <v>174</v>
      </c>
      <c r="B11" s="802"/>
      <c r="C11" s="802"/>
      <c r="D11" s="802"/>
      <c r="E11" s="802"/>
      <c r="F11" s="802"/>
      <c r="G11" s="802"/>
      <c r="H11" s="802"/>
      <c r="I11" s="802"/>
      <c r="J11" s="802"/>
      <c r="K11" s="802"/>
      <c r="L11" s="802"/>
      <c r="M11" s="802"/>
      <c r="N11" s="802"/>
      <c r="O11" s="802"/>
      <c r="P11" s="803"/>
    </row>
    <row r="12" spans="1:19" ht="18.95" customHeight="1" x14ac:dyDescent="0.25">
      <c r="A12" s="741" t="s">
        <v>173</v>
      </c>
      <c r="B12" s="789" t="s">
        <v>171</v>
      </c>
      <c r="C12" s="789" t="s">
        <v>170</v>
      </c>
      <c r="D12" s="792" t="s">
        <v>169</v>
      </c>
      <c r="E12" s="795" t="s">
        <v>168</v>
      </c>
      <c r="F12" s="796"/>
      <c r="G12" s="797"/>
      <c r="H12" s="761" t="s">
        <v>167</v>
      </c>
      <c r="I12" s="762"/>
      <c r="J12" s="792" t="s">
        <v>166</v>
      </c>
      <c r="K12" s="784" t="s">
        <v>165</v>
      </c>
      <c r="L12" s="784"/>
      <c r="M12" s="784"/>
      <c r="N12" s="784"/>
      <c r="O12" s="784"/>
      <c r="P12" s="750" t="s">
        <v>164</v>
      </c>
    </row>
    <row r="13" spans="1:19" ht="30" customHeight="1" x14ac:dyDescent="0.25">
      <c r="A13" s="742"/>
      <c r="B13" s="790"/>
      <c r="C13" s="790"/>
      <c r="D13" s="793"/>
      <c r="E13" s="798"/>
      <c r="F13" s="799"/>
      <c r="G13" s="800"/>
      <c r="H13" s="763"/>
      <c r="I13" s="764"/>
      <c r="J13" s="793"/>
      <c r="K13" s="787" t="s">
        <v>163</v>
      </c>
      <c r="L13" s="787"/>
      <c r="M13" s="775" t="s">
        <v>231</v>
      </c>
      <c r="N13" s="775"/>
      <c r="O13" s="775"/>
      <c r="P13" s="751"/>
    </row>
    <row r="14" spans="1:19" ht="45.75" customHeight="1" thickBot="1" x14ac:dyDescent="0.3">
      <c r="A14" s="743"/>
      <c r="B14" s="791"/>
      <c r="C14" s="791"/>
      <c r="D14" s="794"/>
      <c r="E14" s="435" t="s">
        <v>161</v>
      </c>
      <c r="F14" s="435" t="s">
        <v>160</v>
      </c>
      <c r="G14" s="434" t="s">
        <v>159</v>
      </c>
      <c r="H14" s="166" t="s">
        <v>158</v>
      </c>
      <c r="I14" s="433" t="s">
        <v>157</v>
      </c>
      <c r="J14" s="794"/>
      <c r="K14" s="432" t="s">
        <v>156</v>
      </c>
      <c r="L14" s="432" t="s">
        <v>155</v>
      </c>
      <c r="M14" s="431" t="s">
        <v>154</v>
      </c>
      <c r="N14" s="431" t="s">
        <v>153</v>
      </c>
      <c r="O14" s="164" t="s">
        <v>152</v>
      </c>
      <c r="P14" s="752"/>
    </row>
    <row r="15" spans="1:19" s="64" customFormat="1" ht="19.5" customHeight="1" x14ac:dyDescent="0.25">
      <c r="A15" s="427" t="s">
        <v>151</v>
      </c>
      <c r="B15" s="430" t="s">
        <v>150</v>
      </c>
      <c r="C15" s="430" t="s">
        <v>230</v>
      </c>
      <c r="D15" s="428" t="s">
        <v>149</v>
      </c>
      <c r="E15" s="430" t="s">
        <v>148</v>
      </c>
      <c r="F15" s="430" t="s">
        <v>147</v>
      </c>
      <c r="G15" s="429" t="s">
        <v>146</v>
      </c>
      <c r="H15" s="427" t="s">
        <v>145</v>
      </c>
      <c r="I15" s="428" t="s">
        <v>144</v>
      </c>
      <c r="J15" s="428" t="s">
        <v>143</v>
      </c>
      <c r="K15" s="428" t="s">
        <v>142</v>
      </c>
      <c r="L15" s="428" t="s">
        <v>141</v>
      </c>
      <c r="M15" s="428" t="s">
        <v>140</v>
      </c>
      <c r="N15" s="428" t="s">
        <v>139</v>
      </c>
      <c r="O15" s="427" t="s">
        <v>138</v>
      </c>
      <c r="P15" s="426" t="s">
        <v>229</v>
      </c>
      <c r="S15" s="425"/>
    </row>
    <row r="16" spans="1:19" s="64" customFormat="1" ht="19.5" customHeight="1" x14ac:dyDescent="0.25">
      <c r="A16" s="424" t="s">
        <v>135</v>
      </c>
      <c r="B16" s="420" t="e">
        <f>SUM(#REF!+#REF!+B45+B55+B76)</f>
        <v>#REF!</v>
      </c>
      <c r="C16" s="420" t="e">
        <f>SUM(#REF!+#REF!+C45+C55+C76)</f>
        <v>#REF!</v>
      </c>
      <c r="D16" s="422"/>
      <c r="E16" s="420" t="e">
        <f>SUM(#REF!+#REF!+E45+E55+E76)</f>
        <v>#REF!</v>
      </c>
      <c r="F16" s="420" t="e">
        <f>SUM(#REF!+#REF!+F45+F55+F76)</f>
        <v>#REF!</v>
      </c>
      <c r="G16" s="420" t="e">
        <f>SUM(#REF!+#REF!+G45+G55+G76)</f>
        <v>#REF!</v>
      </c>
      <c r="H16" s="423"/>
      <c r="I16" s="422"/>
      <c r="J16" s="422"/>
      <c r="K16" s="420" t="e">
        <f>SUM(#REF!+#REF!+K45+K55+K76)</f>
        <v>#REF!</v>
      </c>
      <c r="L16" s="420" t="e">
        <f>SUM(#REF!+#REF!+L45+L55+L76)</f>
        <v>#REF!</v>
      </c>
      <c r="M16" s="420" t="e">
        <f>SUM(#REF!+#REF!+M45+M55+M76)</f>
        <v>#REF!</v>
      </c>
      <c r="N16" s="421" t="s">
        <v>228</v>
      </c>
      <c r="O16" s="420" t="e">
        <f>SUM(#REF!+#REF!+O45+O55+O76)</f>
        <v>#REF!</v>
      </c>
      <c r="P16" s="419"/>
      <c r="S16" s="310"/>
    </row>
    <row r="17" spans="1:19" s="64" customFormat="1" ht="19.5" customHeight="1" x14ac:dyDescent="0.25">
      <c r="A17" s="385" t="s">
        <v>227</v>
      </c>
      <c r="B17" s="409"/>
      <c r="C17" s="407"/>
      <c r="D17" s="407"/>
      <c r="E17" s="407"/>
      <c r="F17" s="407"/>
      <c r="G17" s="418"/>
      <c r="H17" s="417"/>
      <c r="I17" s="399"/>
      <c r="J17" s="399"/>
      <c r="K17" s="399"/>
      <c r="L17" s="416"/>
      <c r="M17" s="415"/>
      <c r="N17" s="414"/>
      <c r="O17" s="413"/>
      <c r="P17" s="412"/>
      <c r="S17" s="310"/>
    </row>
    <row r="18" spans="1:19" s="64" customFormat="1" ht="19.5" customHeight="1" x14ac:dyDescent="0.25">
      <c r="A18" s="411" t="s">
        <v>226</v>
      </c>
      <c r="B18" s="335"/>
      <c r="C18" s="333"/>
      <c r="D18" s="334"/>
      <c r="E18" s="333"/>
      <c r="F18" s="340"/>
      <c r="G18" s="376"/>
      <c r="H18" s="375"/>
      <c r="I18" s="330"/>
      <c r="J18" s="329"/>
      <c r="K18" s="339"/>
      <c r="L18" s="338"/>
      <c r="M18" s="374"/>
      <c r="N18" s="374"/>
      <c r="O18" s="373"/>
      <c r="P18" s="337"/>
      <c r="S18" s="310"/>
    </row>
    <row r="19" spans="1:19" s="64" customFormat="1" ht="19.5" customHeight="1" x14ac:dyDescent="0.25">
      <c r="A19" s="410" t="s">
        <v>7</v>
      </c>
      <c r="B19" s="335">
        <v>248</v>
      </c>
      <c r="C19" s="333">
        <v>496</v>
      </c>
      <c r="D19" s="334" t="s">
        <v>225</v>
      </c>
      <c r="E19" s="333"/>
      <c r="F19" s="340">
        <v>24.8</v>
      </c>
      <c r="G19" s="340">
        <f>SUM(E19:F19)</f>
        <v>24.8</v>
      </c>
      <c r="H19" s="331">
        <v>3.923411893241767</v>
      </c>
      <c r="I19" s="330">
        <v>2.95</v>
      </c>
      <c r="J19" s="329">
        <f>(H19-I19)/H19</f>
        <v>0.24810341603911318</v>
      </c>
      <c r="K19" s="339">
        <v>7470</v>
      </c>
      <c r="L19" s="338">
        <f>(G19*K19)*J19</f>
        <v>45962.646441741948</v>
      </c>
      <c r="M19" s="326">
        <f>G19*H19*J19</f>
        <v>24.140614952395815</v>
      </c>
      <c r="N19" s="326">
        <v>17</v>
      </c>
      <c r="O19" s="325">
        <f>M19*1000*17</f>
        <v>410390.45419072884</v>
      </c>
      <c r="P19" s="337"/>
      <c r="S19" s="310"/>
    </row>
    <row r="20" spans="1:19" s="64" customFormat="1" ht="19.5" customHeight="1" x14ac:dyDescent="0.25">
      <c r="A20" s="410" t="s">
        <v>24</v>
      </c>
      <c r="B20" s="335">
        <v>1619</v>
      </c>
      <c r="C20" s="333">
        <v>2615</v>
      </c>
      <c r="D20" s="334" t="s">
        <v>225</v>
      </c>
      <c r="E20" s="333"/>
      <c r="F20" s="340">
        <v>523</v>
      </c>
      <c r="G20" s="340">
        <f>SUM(E20:F20)</f>
        <v>523</v>
      </c>
      <c r="H20" s="331">
        <v>3.923411893241767</v>
      </c>
      <c r="I20" s="330">
        <v>2.95</v>
      </c>
      <c r="J20" s="329">
        <f>(H20-I20)/H20</f>
        <v>0.24810341603911318</v>
      </c>
      <c r="K20" s="339">
        <v>7470</v>
      </c>
      <c r="L20" s="338">
        <f>(G20*K20)*J20</f>
        <v>969292.90681576775</v>
      </c>
      <c r="M20" s="326">
        <f>G20*H20*J20</f>
        <v>509.09442016544403</v>
      </c>
      <c r="N20" s="326">
        <v>17</v>
      </c>
      <c r="O20" s="325">
        <f>M20*1000*17</f>
        <v>8654605.1428125482</v>
      </c>
      <c r="P20" s="337"/>
      <c r="S20" s="310"/>
    </row>
    <row r="21" spans="1:19" s="64" customFormat="1" ht="19.5" customHeight="1" x14ac:dyDescent="0.25">
      <c r="A21" s="410" t="s">
        <v>224</v>
      </c>
      <c r="B21" s="335">
        <v>300</v>
      </c>
      <c r="C21" s="333">
        <v>379</v>
      </c>
      <c r="D21" s="334">
        <v>0</v>
      </c>
      <c r="E21" s="333">
        <v>112</v>
      </c>
      <c r="F21" s="340">
        <v>267</v>
      </c>
      <c r="G21" s="340">
        <v>379</v>
      </c>
      <c r="H21" s="331">
        <v>7.846823786483534</v>
      </c>
      <c r="I21" s="330">
        <v>3.52</v>
      </c>
      <c r="J21" s="329">
        <v>1.1028217032059928</v>
      </c>
      <c r="K21" s="339">
        <v>40934</v>
      </c>
      <c r="L21" s="338">
        <v>1727136.1804473833</v>
      </c>
      <c r="M21" s="326">
        <v>522.49310753862972</v>
      </c>
      <c r="N21" s="326">
        <v>34</v>
      </c>
      <c r="O21" s="325">
        <v>8882382.8281567041</v>
      </c>
      <c r="P21" s="337"/>
      <c r="S21" s="310"/>
    </row>
    <row r="22" spans="1:19" s="64" customFormat="1" ht="19.5" customHeight="1" x14ac:dyDescent="0.25">
      <c r="A22" s="377"/>
      <c r="B22" s="335"/>
      <c r="C22" s="333"/>
      <c r="D22" s="334"/>
      <c r="E22" s="333"/>
      <c r="F22" s="340"/>
      <c r="G22" s="376"/>
      <c r="H22" s="375"/>
      <c r="I22" s="330"/>
      <c r="J22" s="329"/>
      <c r="K22" s="339"/>
      <c r="L22" s="338"/>
      <c r="M22" s="374"/>
      <c r="N22" s="374"/>
      <c r="O22" s="373"/>
      <c r="P22" s="324"/>
      <c r="S22" s="310"/>
    </row>
    <row r="23" spans="1:19" s="64" customFormat="1" ht="19.5" customHeight="1" x14ac:dyDescent="0.25">
      <c r="A23" s="385" t="s">
        <v>46</v>
      </c>
      <c r="B23" s="409"/>
      <c r="C23" s="407"/>
      <c r="D23" s="408"/>
      <c r="E23" s="407"/>
      <c r="F23" s="406"/>
      <c r="G23" s="405"/>
      <c r="H23" s="404"/>
      <c r="I23" s="403"/>
      <c r="J23" s="402"/>
      <c r="K23" s="401"/>
      <c r="L23" s="400"/>
      <c r="M23" s="399"/>
      <c r="N23" s="399"/>
      <c r="O23" s="398"/>
      <c r="P23" s="359"/>
      <c r="S23" s="310"/>
    </row>
    <row r="24" spans="1:19" s="64" customFormat="1" ht="19.5" customHeight="1" x14ac:dyDescent="0.25">
      <c r="A24" s="336" t="s">
        <v>47</v>
      </c>
      <c r="B24" s="397">
        <v>105</v>
      </c>
      <c r="C24" s="395">
        <v>126</v>
      </c>
      <c r="D24" s="396">
        <v>0</v>
      </c>
      <c r="E24" s="395">
        <v>0</v>
      </c>
      <c r="F24" s="394">
        <v>126</v>
      </c>
      <c r="G24" s="393">
        <v>126</v>
      </c>
      <c r="H24" s="392">
        <v>8.9564395218477753</v>
      </c>
      <c r="I24" s="391">
        <v>7.1400000000000006</v>
      </c>
      <c r="J24" s="390">
        <v>0.4056164321585306</v>
      </c>
      <c r="K24" s="389">
        <v>40934</v>
      </c>
      <c r="L24" s="388">
        <v>563210.73653651855</v>
      </c>
      <c r="M24" s="387">
        <v>98.155689876409824</v>
      </c>
      <c r="N24" s="387">
        <v>34</v>
      </c>
      <c r="O24" s="386">
        <v>1668646.7278989672</v>
      </c>
      <c r="P24" s="324"/>
      <c r="S24" s="310"/>
    </row>
    <row r="25" spans="1:19" s="64" customFormat="1" ht="19.5" customHeight="1" x14ac:dyDescent="0.25">
      <c r="A25" s="336" t="s">
        <v>48</v>
      </c>
      <c r="B25" s="335">
        <v>170</v>
      </c>
      <c r="C25" s="333">
        <v>210</v>
      </c>
      <c r="D25" s="334" t="s">
        <v>123</v>
      </c>
      <c r="E25" s="333">
        <v>16</v>
      </c>
      <c r="F25" s="340">
        <v>194</v>
      </c>
      <c r="G25" s="340">
        <f>SUM(E25:F25)</f>
        <v>210</v>
      </c>
      <c r="H25" s="331">
        <v>4.4782197609238876</v>
      </c>
      <c r="I25" s="330">
        <v>3.15</v>
      </c>
      <c r="J25" s="329">
        <f>(H25-I25)/H25</f>
        <v>0.29659548477582237</v>
      </c>
      <c r="K25" s="339">
        <v>7470</v>
      </c>
      <c r="L25" s="338">
        <f>(G25*K25)*J25</f>
        <v>465269.33696783253</v>
      </c>
      <c r="M25" s="326">
        <f>G25*H25*J25</f>
        <v>278.92614979401645</v>
      </c>
      <c r="N25" s="326">
        <v>17</v>
      </c>
      <c r="O25" s="325">
        <f>M25*1000*17</f>
        <v>4741744.5464982791</v>
      </c>
      <c r="P25" s="324"/>
      <c r="S25" s="310"/>
    </row>
    <row r="26" spans="1:19" s="64" customFormat="1" ht="19.5" customHeight="1" x14ac:dyDescent="0.25">
      <c r="A26" s="336" t="s">
        <v>52</v>
      </c>
      <c r="B26" s="335">
        <v>45</v>
      </c>
      <c r="C26" s="333">
        <v>261</v>
      </c>
      <c r="D26" s="334" t="s">
        <v>123</v>
      </c>
      <c r="E26" s="333">
        <v>52</v>
      </c>
      <c r="F26" s="340">
        <v>209</v>
      </c>
      <c r="G26" s="340">
        <f>SUM(E26:F26)</f>
        <v>261</v>
      </c>
      <c r="H26" s="331">
        <v>4.4782197609238876</v>
      </c>
      <c r="I26" s="330">
        <v>2.9</v>
      </c>
      <c r="J26" s="329">
        <f>(H26-I26)/H26</f>
        <v>0.35242123995234437</v>
      </c>
      <c r="K26" s="339">
        <v>7470</v>
      </c>
      <c r="L26" s="338">
        <f>(G26*K26)*J26</f>
        <v>687105.1188978873</v>
      </c>
      <c r="M26" s="326">
        <f>G26*H26*J26</f>
        <v>411.91535760113464</v>
      </c>
      <c r="N26" s="326">
        <v>17</v>
      </c>
      <c r="O26" s="325">
        <f>M26*1000*17</f>
        <v>7002561.0792192891</v>
      </c>
      <c r="P26" s="337"/>
      <c r="S26" s="310"/>
    </row>
    <row r="27" spans="1:19" s="64" customFormat="1" ht="19.5" customHeight="1" x14ac:dyDescent="0.25">
      <c r="A27" s="336" t="s">
        <v>50</v>
      </c>
      <c r="B27" s="335">
        <v>3020</v>
      </c>
      <c r="C27" s="333">
        <v>3204</v>
      </c>
      <c r="D27" s="334" t="s">
        <v>123</v>
      </c>
      <c r="E27" s="333">
        <v>5</v>
      </c>
      <c r="F27" s="340">
        <v>3199</v>
      </c>
      <c r="G27" s="340">
        <f>SUM(E27:F27)</f>
        <v>3204</v>
      </c>
      <c r="H27" s="331">
        <v>4.4782197609238876</v>
      </c>
      <c r="I27" s="330">
        <v>2.9</v>
      </c>
      <c r="J27" s="329">
        <f>(H27-I27)/H27</f>
        <v>0.35242123995234437</v>
      </c>
      <c r="K27" s="339">
        <v>7470</v>
      </c>
      <c r="L27" s="338">
        <f>(G27*K27)*J27</f>
        <v>8434807.6664706152</v>
      </c>
      <c r="M27" s="326">
        <f>G27*H27*J27</f>
        <v>5056.6161140001359</v>
      </c>
      <c r="N27" s="326">
        <v>17</v>
      </c>
      <c r="O27" s="325">
        <f>M27*1000*17</f>
        <v>85962473.938002318</v>
      </c>
      <c r="P27" s="337"/>
      <c r="S27" s="310"/>
    </row>
    <row r="28" spans="1:19" s="64" customFormat="1" ht="19.5" customHeight="1" x14ac:dyDescent="0.25">
      <c r="A28" s="336" t="s">
        <v>51</v>
      </c>
      <c r="B28" s="335">
        <v>50</v>
      </c>
      <c r="C28" s="333">
        <v>72</v>
      </c>
      <c r="D28" s="334" t="s">
        <v>123</v>
      </c>
      <c r="E28" s="333">
        <v>30</v>
      </c>
      <c r="F28" s="340">
        <v>42</v>
      </c>
      <c r="G28" s="340">
        <f>SUM(E28:F28)</f>
        <v>72</v>
      </c>
      <c r="H28" s="331">
        <v>4.4782197609238876</v>
      </c>
      <c r="I28" s="330">
        <v>2.9</v>
      </c>
      <c r="J28" s="329">
        <f>(H28-I28)/H28</f>
        <v>0.35242123995234437</v>
      </c>
      <c r="K28" s="339">
        <v>7470</v>
      </c>
      <c r="L28" s="338">
        <f>(G28*K28)*J28</f>
        <v>189546.23969596889</v>
      </c>
      <c r="M28" s="326">
        <f>G28*H28*J28</f>
        <v>113.6318227865199</v>
      </c>
      <c r="N28" s="326">
        <v>17</v>
      </c>
      <c r="O28" s="325">
        <f>M28*1000*17</f>
        <v>1931740.9873708384</v>
      </c>
      <c r="P28" s="337"/>
      <c r="S28" s="310"/>
    </row>
    <row r="29" spans="1:19" s="64" customFormat="1" ht="19.5" customHeight="1" x14ac:dyDescent="0.25">
      <c r="A29" s="336" t="s">
        <v>53</v>
      </c>
      <c r="B29" s="335">
        <v>1080</v>
      </c>
      <c r="C29" s="333">
        <v>1907</v>
      </c>
      <c r="D29" s="334" t="s">
        <v>123</v>
      </c>
      <c r="E29" s="333">
        <v>190.7</v>
      </c>
      <c r="F29" s="340">
        <v>1716.3</v>
      </c>
      <c r="G29" s="340">
        <f>SUM(E29:F29)</f>
        <v>1907</v>
      </c>
      <c r="H29" s="331">
        <v>4.4782197609238876</v>
      </c>
      <c r="I29" s="330">
        <v>2.9</v>
      </c>
      <c r="J29" s="329">
        <f>(H29-I29)/H29</f>
        <v>0.35242123995234437</v>
      </c>
      <c r="K29" s="339">
        <v>7470</v>
      </c>
      <c r="L29" s="338">
        <f>(G29*K29)*J29</f>
        <v>5020342.765280732</v>
      </c>
      <c r="M29" s="326">
        <f>G29*H29*J29</f>
        <v>3009.6650840818538</v>
      </c>
      <c r="N29" s="326">
        <v>17</v>
      </c>
      <c r="O29" s="325">
        <f>M29*1000*17</f>
        <v>51164306.429391511</v>
      </c>
      <c r="P29" s="337"/>
      <c r="S29" s="310"/>
    </row>
    <row r="30" spans="1:19" s="64" customFormat="1" ht="19.5" customHeight="1" x14ac:dyDescent="0.25">
      <c r="A30" s="377"/>
      <c r="B30" s="335"/>
      <c r="C30" s="333"/>
      <c r="D30" s="334"/>
      <c r="E30" s="333"/>
      <c r="F30" s="340"/>
      <c r="G30" s="376"/>
      <c r="H30" s="375"/>
      <c r="I30" s="330"/>
      <c r="J30" s="329"/>
      <c r="K30" s="339"/>
      <c r="L30" s="338"/>
      <c r="M30" s="374"/>
      <c r="N30" s="374"/>
      <c r="O30" s="373"/>
      <c r="P30" s="337"/>
      <c r="S30" s="310"/>
    </row>
    <row r="31" spans="1:19" s="64" customFormat="1" ht="19.5" customHeight="1" x14ac:dyDescent="0.25">
      <c r="A31" s="385" t="s">
        <v>54</v>
      </c>
      <c r="B31" s="371"/>
      <c r="C31" s="369"/>
      <c r="D31" s="370"/>
      <c r="E31" s="369"/>
      <c r="F31" s="368"/>
      <c r="G31" s="367"/>
      <c r="H31" s="366"/>
      <c r="I31" s="365"/>
      <c r="J31" s="364"/>
      <c r="K31" s="363"/>
      <c r="L31" s="362"/>
      <c r="M31" s="361"/>
      <c r="N31" s="361"/>
      <c r="O31" s="360"/>
      <c r="P31" s="359"/>
      <c r="S31" s="310"/>
    </row>
    <row r="32" spans="1:19" s="461" customFormat="1" ht="19.5" customHeight="1" x14ac:dyDescent="0.25">
      <c r="A32" s="447" t="s">
        <v>55</v>
      </c>
      <c r="B32" s="448">
        <v>708</v>
      </c>
      <c r="C32" s="449">
        <v>1496</v>
      </c>
      <c r="D32" s="450">
        <v>0</v>
      </c>
      <c r="E32" s="449">
        <v>0</v>
      </c>
      <c r="F32" s="451">
        <v>1496</v>
      </c>
      <c r="G32" s="452">
        <v>1496</v>
      </c>
      <c r="H32" s="453">
        <v>5.3219306723072153</v>
      </c>
      <c r="I32" s="454">
        <v>4</v>
      </c>
      <c r="J32" s="455">
        <v>0.49678613033646263</v>
      </c>
      <c r="K32" s="456">
        <v>51238</v>
      </c>
      <c r="L32" s="457">
        <v>11404298.416281777</v>
      </c>
      <c r="M32" s="458">
        <v>988.80414288579709</v>
      </c>
      <c r="N32" s="458">
        <v>34</v>
      </c>
      <c r="O32" s="459">
        <v>16809670.429058548</v>
      </c>
      <c r="P32" s="460"/>
      <c r="S32" s="462"/>
    </row>
    <row r="33" spans="1:19" s="461" customFormat="1" ht="19.5" customHeight="1" x14ac:dyDescent="0.25">
      <c r="A33" s="463" t="s">
        <v>102</v>
      </c>
      <c r="B33" s="448">
        <v>1032</v>
      </c>
      <c r="C33" s="449">
        <v>1164</v>
      </c>
      <c r="D33" s="450">
        <v>0</v>
      </c>
      <c r="E33" s="449">
        <v>39.590000000000003</v>
      </c>
      <c r="F33" s="451">
        <v>1098</v>
      </c>
      <c r="G33" s="451">
        <v>1137.5899999999999</v>
      </c>
      <c r="H33" s="464">
        <v>2.6609653361536076</v>
      </c>
      <c r="I33" s="454">
        <v>1.85</v>
      </c>
      <c r="J33" s="455">
        <v>1.3047635852806139</v>
      </c>
      <c r="K33" s="456">
        <v>51238</v>
      </c>
      <c r="L33" s="457">
        <v>3817550.1721071741</v>
      </c>
      <c r="M33" s="465">
        <v>898.54959245819703</v>
      </c>
      <c r="N33" s="465">
        <v>34</v>
      </c>
      <c r="O33" s="466">
        <v>15275343.07178935</v>
      </c>
      <c r="P33" s="460"/>
      <c r="S33" s="462"/>
    </row>
    <row r="34" spans="1:19" s="461" customFormat="1" ht="19.5" customHeight="1" x14ac:dyDescent="0.25">
      <c r="A34" s="463" t="s">
        <v>59</v>
      </c>
      <c r="B34" s="448">
        <v>206</v>
      </c>
      <c r="C34" s="449">
        <v>361</v>
      </c>
      <c r="D34" s="450">
        <v>0</v>
      </c>
      <c r="E34" s="449">
        <v>23</v>
      </c>
      <c r="F34" s="451">
        <v>338</v>
      </c>
      <c r="G34" s="451">
        <v>361</v>
      </c>
      <c r="H34" s="464">
        <v>5.3219306723072153</v>
      </c>
      <c r="I34" s="454">
        <v>4</v>
      </c>
      <c r="J34" s="455">
        <v>0.49678613033646263</v>
      </c>
      <c r="K34" s="456">
        <v>40934</v>
      </c>
      <c r="L34" s="457">
        <v>1812675.2195162061</v>
      </c>
      <c r="M34" s="465">
        <v>238.60848635145237</v>
      </c>
      <c r="N34" s="465">
        <v>34</v>
      </c>
      <c r="O34" s="466">
        <v>4056344.2679746901</v>
      </c>
      <c r="P34" s="460"/>
      <c r="S34" s="462"/>
    </row>
    <row r="35" spans="1:19" s="461" customFormat="1" ht="19.5" customHeight="1" x14ac:dyDescent="0.25">
      <c r="A35" s="463" t="s">
        <v>61</v>
      </c>
      <c r="B35" s="448">
        <v>650</v>
      </c>
      <c r="C35" s="449">
        <v>647</v>
      </c>
      <c r="D35" s="450">
        <v>0</v>
      </c>
      <c r="E35" s="449">
        <v>7.5</v>
      </c>
      <c r="F35" s="451">
        <v>16.5</v>
      </c>
      <c r="G35" s="451">
        <v>647</v>
      </c>
      <c r="H35" s="464">
        <v>5.3219306723072153</v>
      </c>
      <c r="I35" s="454">
        <v>3.7800000000000002</v>
      </c>
      <c r="J35" s="455">
        <v>0.5783930651682313</v>
      </c>
      <c r="K35" s="456">
        <v>51238</v>
      </c>
      <c r="L35" s="457">
        <v>1502616.6906105666</v>
      </c>
      <c r="M35" s="465">
        <v>432.85624988603405</v>
      </c>
      <c r="N35" s="465">
        <v>34</v>
      </c>
      <c r="O35" s="466">
        <v>7358556.2480625799</v>
      </c>
      <c r="P35" s="460"/>
      <c r="S35" s="462"/>
    </row>
    <row r="36" spans="1:19" s="64" customFormat="1" ht="19.5" hidden="1" customHeight="1" x14ac:dyDescent="0.25">
      <c r="A36" s="336"/>
      <c r="B36" s="335"/>
      <c r="C36" s="333"/>
      <c r="D36" s="334"/>
      <c r="E36" s="333"/>
      <c r="F36" s="332"/>
      <c r="G36" s="332"/>
      <c r="H36" s="331"/>
      <c r="I36" s="330"/>
      <c r="J36" s="329"/>
      <c r="K36" s="328"/>
      <c r="L36" s="327"/>
      <c r="M36" s="383"/>
      <c r="N36" s="383"/>
      <c r="O36" s="384"/>
      <c r="P36" s="324"/>
      <c r="S36" s="310"/>
    </row>
    <row r="37" spans="1:19" s="461" customFormat="1" ht="19.5" customHeight="1" x14ac:dyDescent="0.25">
      <c r="A37" s="463" t="s">
        <v>127</v>
      </c>
      <c r="B37" s="448">
        <v>310</v>
      </c>
      <c r="C37" s="449">
        <v>317</v>
      </c>
      <c r="D37" s="450">
        <v>0</v>
      </c>
      <c r="E37" s="449">
        <v>165.55</v>
      </c>
      <c r="F37" s="451">
        <v>122.35000000000001</v>
      </c>
      <c r="G37" s="451">
        <v>287.89999999999998</v>
      </c>
      <c r="H37" s="464">
        <v>5.3219306723072153</v>
      </c>
      <c r="I37" s="454">
        <v>2.35</v>
      </c>
      <c r="J37" s="455">
        <v>1.1168618515726718</v>
      </c>
      <c r="K37" s="456">
        <v>40934</v>
      </c>
      <c r="L37" s="457">
        <v>1890550.0947576233</v>
      </c>
      <c r="M37" s="465">
        <v>495.56192027862363</v>
      </c>
      <c r="N37" s="465">
        <v>34</v>
      </c>
      <c r="O37" s="466">
        <v>8424552.6447366029</v>
      </c>
      <c r="P37" s="460"/>
      <c r="S37" s="462"/>
    </row>
    <row r="38" spans="1:19" s="461" customFormat="1" ht="19.5" customHeight="1" x14ac:dyDescent="0.25">
      <c r="A38" s="463" t="s">
        <v>69</v>
      </c>
      <c r="B38" s="448">
        <v>1656</v>
      </c>
      <c r="C38" s="449">
        <v>1822</v>
      </c>
      <c r="D38" s="450">
        <v>0</v>
      </c>
      <c r="E38" s="449">
        <v>326.39999999999998</v>
      </c>
      <c r="F38" s="451">
        <v>1495.6</v>
      </c>
      <c r="G38" s="451">
        <v>1822</v>
      </c>
      <c r="H38" s="464">
        <v>5.3219306723072153</v>
      </c>
      <c r="I38" s="454">
        <v>3.56</v>
      </c>
      <c r="J38" s="455">
        <v>0.66213965599945179</v>
      </c>
      <c r="K38" s="456">
        <v>40934</v>
      </c>
      <c r="L38" s="457">
        <v>6141080.4535325151</v>
      </c>
      <c r="M38" s="465">
        <v>1605.1188424718732</v>
      </c>
      <c r="N38" s="465">
        <v>34</v>
      </c>
      <c r="O38" s="466">
        <v>27287020.322021846</v>
      </c>
      <c r="P38" s="460"/>
      <c r="S38" s="462"/>
    </row>
    <row r="39" spans="1:19" s="64" customFormat="1" ht="19.5" customHeight="1" x14ac:dyDescent="0.25">
      <c r="A39" s="336" t="s">
        <v>223</v>
      </c>
      <c r="B39" s="335">
        <v>300</v>
      </c>
      <c r="C39" s="333">
        <v>270</v>
      </c>
      <c r="D39" s="334" t="s">
        <v>123</v>
      </c>
      <c r="E39" s="333"/>
      <c r="F39" s="332">
        <v>270</v>
      </c>
      <c r="G39" s="332">
        <f>SUM(E39:F39)</f>
        <v>270</v>
      </c>
      <c r="H39" s="331">
        <v>2.6609653361536076</v>
      </c>
      <c r="I39" s="330">
        <v>0.15</v>
      </c>
      <c r="J39" s="329">
        <f>(H39-I39)/H39</f>
        <v>0.94362947988761736</v>
      </c>
      <c r="K39" s="328">
        <v>7470</v>
      </c>
      <c r="L39" s="327">
        <f>(G39*K39)*J39</f>
        <v>1903206.2979853353</v>
      </c>
      <c r="M39" s="383">
        <f>G39*H39*J39</f>
        <v>677.96064076147411</v>
      </c>
      <c r="N39" s="383">
        <v>17</v>
      </c>
      <c r="O39" s="384">
        <f>M39*1000*17</f>
        <v>11525330.892945061</v>
      </c>
      <c r="P39" s="324"/>
      <c r="S39" s="310"/>
    </row>
    <row r="40" spans="1:19" s="64" customFormat="1" ht="19.5" customHeight="1" x14ac:dyDescent="0.25">
      <c r="A40" s="336" t="s">
        <v>68</v>
      </c>
      <c r="B40" s="335">
        <v>150</v>
      </c>
      <c r="C40" s="333">
        <v>138</v>
      </c>
      <c r="D40" s="334" t="s">
        <v>123</v>
      </c>
      <c r="E40" s="333">
        <v>138</v>
      </c>
      <c r="F40" s="332"/>
      <c r="G40" s="332">
        <f>F40+E40</f>
        <v>138</v>
      </c>
      <c r="H40" s="331">
        <v>2.6609653361536076</v>
      </c>
      <c r="I40" s="330"/>
      <c r="J40" s="329">
        <f>(H40-I40)/H40</f>
        <v>1</v>
      </c>
      <c r="K40" s="328">
        <v>7470</v>
      </c>
      <c r="L40" s="327">
        <f>(G40*K40)*J40</f>
        <v>1030860</v>
      </c>
      <c r="M40" s="383">
        <f>G40*H40*J40</f>
        <v>367.21321638919784</v>
      </c>
      <c r="N40" s="383">
        <v>17</v>
      </c>
      <c r="O40" s="384">
        <f>M40*1000*17</f>
        <v>6242624.6786163636</v>
      </c>
      <c r="P40" s="324"/>
      <c r="S40" s="310"/>
    </row>
    <row r="41" spans="1:19" s="64" customFormat="1" ht="19.5" customHeight="1" x14ac:dyDescent="0.25">
      <c r="A41" s="336" t="s">
        <v>129</v>
      </c>
      <c r="B41" s="335"/>
      <c r="C41" s="333">
        <v>82</v>
      </c>
      <c r="D41" s="334" t="s">
        <v>122</v>
      </c>
      <c r="E41" s="333">
        <v>7</v>
      </c>
      <c r="F41" s="332">
        <f>C41-E41</f>
        <v>75</v>
      </c>
      <c r="G41" s="332">
        <f>F41+E41</f>
        <v>82</v>
      </c>
      <c r="H41" s="331">
        <v>2.6609653361536076</v>
      </c>
      <c r="I41" s="330">
        <v>2.2000000000000002</v>
      </c>
      <c r="J41" s="329">
        <f>(H41-I41)/H41</f>
        <v>0.1732323716850544</v>
      </c>
      <c r="K41" s="328">
        <v>43768</v>
      </c>
      <c r="L41" s="338">
        <f>(G41*K41)*J41</f>
        <v>621726.82440073974</v>
      </c>
      <c r="M41" s="383">
        <f>G41*H41*J41</f>
        <v>37.799157564595809</v>
      </c>
      <c r="N41" s="383">
        <v>17</v>
      </c>
      <c r="O41" s="382">
        <f>M41*1000*17</f>
        <v>642585.67859812872</v>
      </c>
      <c r="P41" s="324"/>
      <c r="S41" s="310"/>
    </row>
    <row r="42" spans="1:19" s="64" customFormat="1" ht="19.5" customHeight="1" x14ac:dyDescent="0.25">
      <c r="A42" s="336" t="s">
        <v>66</v>
      </c>
      <c r="B42" s="335">
        <v>404</v>
      </c>
      <c r="C42" s="333">
        <v>740</v>
      </c>
      <c r="D42" s="334" t="s">
        <v>123</v>
      </c>
      <c r="E42" s="333">
        <v>81.760000000000005</v>
      </c>
      <c r="F42" s="332">
        <v>661.49</v>
      </c>
      <c r="G42" s="332">
        <f>SUM(E42:F42)</f>
        <v>743.25</v>
      </c>
      <c r="H42" s="331">
        <v>2.6609653361536076</v>
      </c>
      <c r="I42" s="330">
        <v>1.85</v>
      </c>
      <c r="J42" s="329">
        <f>(H42-I42)/H42</f>
        <v>0.30476358528061392</v>
      </c>
      <c r="K42" s="328">
        <v>7470</v>
      </c>
      <c r="L42" s="327">
        <f>(G42*K42)*J42</f>
        <v>1692071.0446558278</v>
      </c>
      <c r="M42" s="383">
        <f>G42*H42*J42</f>
        <v>602.74998609616875</v>
      </c>
      <c r="N42" s="383">
        <v>17</v>
      </c>
      <c r="O42" s="384">
        <f>M42*1000*17</f>
        <v>10246749.763634868</v>
      </c>
      <c r="P42" s="324"/>
      <c r="S42" s="310"/>
    </row>
    <row r="43" spans="1:19" s="461" customFormat="1" ht="19.5" customHeight="1" x14ac:dyDescent="0.25">
      <c r="A43" s="463" t="s">
        <v>65</v>
      </c>
      <c r="B43" s="448">
        <v>70</v>
      </c>
      <c r="C43" s="448">
        <v>54</v>
      </c>
      <c r="D43" s="448">
        <v>0</v>
      </c>
      <c r="E43" s="448">
        <v>21.75</v>
      </c>
      <c r="F43" s="448">
        <v>14</v>
      </c>
      <c r="G43" s="448">
        <v>35.75</v>
      </c>
      <c r="H43" s="448">
        <v>7.9828960084608234</v>
      </c>
      <c r="I43" s="448">
        <v>1.6</v>
      </c>
      <c r="J43" s="448">
        <v>2.3987144521345849</v>
      </c>
      <c r="K43" s="448">
        <v>84702</v>
      </c>
      <c r="L43" s="448">
        <v>516203.52697868843</v>
      </c>
      <c r="M43" s="448">
        <v>56.729510767491469</v>
      </c>
      <c r="N43" s="448">
        <v>51</v>
      </c>
      <c r="O43" s="448">
        <v>964401.68304735492</v>
      </c>
      <c r="P43" s="460"/>
      <c r="S43" s="462"/>
    </row>
    <row r="44" spans="1:19" s="64" customFormat="1" ht="19.5" customHeight="1" x14ac:dyDescent="0.25">
      <c r="A44" s="336"/>
      <c r="B44" s="335"/>
      <c r="C44" s="333"/>
      <c r="D44" s="334"/>
      <c r="E44" s="333"/>
      <c r="F44" s="340"/>
      <c r="G44" s="376"/>
      <c r="H44" s="375"/>
      <c r="I44" s="330"/>
      <c r="J44" s="329"/>
      <c r="K44" s="339"/>
      <c r="L44" s="338"/>
      <c r="M44" s="374"/>
      <c r="N44" s="374"/>
      <c r="O44" s="373"/>
      <c r="P44" s="337"/>
      <c r="S44" s="310"/>
    </row>
    <row r="45" spans="1:19" s="64" customFormat="1" ht="19.5" customHeight="1" x14ac:dyDescent="0.25">
      <c r="A45" s="377" t="s">
        <v>218</v>
      </c>
      <c r="B45" s="378">
        <f>SUM(B33:B44)</f>
        <v>4778</v>
      </c>
      <c r="C45" s="378">
        <f>SUM(C33:C44)</f>
        <v>5595</v>
      </c>
      <c r="D45" s="380"/>
      <c r="E45" s="379">
        <f>SUM(E33:E44)</f>
        <v>810.55</v>
      </c>
      <c r="F45" s="379">
        <f>SUM(F33:F44)</f>
        <v>4090.9399999999996</v>
      </c>
      <c r="G45" s="379">
        <f>F45+E45</f>
        <v>4901.49</v>
      </c>
      <c r="H45" s="375"/>
      <c r="I45" s="330"/>
      <c r="J45" s="329"/>
      <c r="K45" s="378">
        <f>SUM(K33:K44)</f>
        <v>376158</v>
      </c>
      <c r="L45" s="378">
        <f>SUM(L33:L44)</f>
        <v>20928540.324544679</v>
      </c>
      <c r="M45" s="378">
        <f>SUM(M33:M44)</f>
        <v>5413.1476030251079</v>
      </c>
      <c r="N45" s="381"/>
      <c r="O45" s="378">
        <f>SUM(O33:O44)</f>
        <v>92023509.251426846</v>
      </c>
      <c r="P45" s="337"/>
      <c r="S45" s="310"/>
    </row>
    <row r="46" spans="1:19" s="64" customFormat="1" ht="19.5" customHeight="1" x14ac:dyDescent="0.25">
      <c r="A46" s="377"/>
      <c r="B46" s="335"/>
      <c r="C46" s="333"/>
      <c r="D46" s="334"/>
      <c r="E46" s="333"/>
      <c r="F46" s="340"/>
      <c r="G46" s="376"/>
      <c r="H46" s="375"/>
      <c r="I46" s="330"/>
      <c r="J46" s="329"/>
      <c r="K46" s="339"/>
      <c r="L46" s="338"/>
      <c r="M46" s="374"/>
      <c r="N46" s="374"/>
      <c r="O46" s="373"/>
      <c r="P46" s="337"/>
      <c r="S46" s="310"/>
    </row>
    <row r="47" spans="1:19" s="64" customFormat="1" ht="19.5" customHeight="1" x14ac:dyDescent="0.25">
      <c r="A47" s="372" t="s">
        <v>71</v>
      </c>
      <c r="B47" s="371"/>
      <c r="C47" s="369"/>
      <c r="D47" s="370"/>
      <c r="E47" s="369"/>
      <c r="F47" s="368"/>
      <c r="G47" s="367"/>
      <c r="H47" s="366"/>
      <c r="I47" s="365"/>
      <c r="J47" s="364"/>
      <c r="K47" s="363"/>
      <c r="L47" s="362"/>
      <c r="M47" s="361"/>
      <c r="N47" s="361"/>
      <c r="O47" s="360"/>
      <c r="P47" s="359"/>
      <c r="S47" s="310"/>
    </row>
    <row r="48" spans="1:19" s="64" customFormat="1" ht="19.5" customHeight="1" x14ac:dyDescent="0.25">
      <c r="A48" s="336" t="s">
        <v>74</v>
      </c>
      <c r="B48" s="335">
        <v>300</v>
      </c>
      <c r="C48" s="333">
        <v>381</v>
      </c>
      <c r="D48" s="334" t="s">
        <v>123</v>
      </c>
      <c r="E48" s="333">
        <v>50</v>
      </c>
      <c r="F48" s="332">
        <v>331</v>
      </c>
      <c r="G48" s="340">
        <f>SUM(E48:F48)</f>
        <v>381</v>
      </c>
      <c r="H48" s="331">
        <v>2.9581715248210361</v>
      </c>
      <c r="I48" s="330">
        <v>1.77</v>
      </c>
      <c r="J48" s="329">
        <f t="shared" ref="J48:J53" si="0">(H48-I48)/H48</f>
        <v>0.40165741399762755</v>
      </c>
      <c r="K48" s="339">
        <v>7470</v>
      </c>
      <c r="L48" s="338">
        <f t="shared" ref="L48:L53" si="1">(G48*K48)*J48</f>
        <v>1143145.1162562279</v>
      </c>
      <c r="M48" s="326">
        <f t="shared" ref="M48:M53" si="2">G48*H48*J48</f>
        <v>452.6933509568147</v>
      </c>
      <c r="N48" s="326">
        <v>17</v>
      </c>
      <c r="O48" s="325">
        <f t="shared" ref="O48:O53" si="3">M48*1000*17</f>
        <v>7695786.9662658498</v>
      </c>
      <c r="P48" s="324"/>
      <c r="S48" s="310"/>
    </row>
    <row r="49" spans="1:19" s="64" customFormat="1" ht="19.5" customHeight="1" x14ac:dyDescent="0.25">
      <c r="A49" s="336" t="s">
        <v>104</v>
      </c>
      <c r="B49" s="335">
        <v>35</v>
      </c>
      <c r="C49" s="333">
        <v>23</v>
      </c>
      <c r="D49" s="334" t="s">
        <v>219</v>
      </c>
      <c r="E49" s="333">
        <v>23</v>
      </c>
      <c r="F49" s="332"/>
      <c r="G49" s="340">
        <f>SUM(E49:F49)</f>
        <v>23</v>
      </c>
      <c r="H49" s="331">
        <v>2.9581715248210361</v>
      </c>
      <c r="I49" s="330"/>
      <c r="J49" s="329">
        <f t="shared" si="0"/>
        <v>1</v>
      </c>
      <c r="K49" s="339">
        <v>33464</v>
      </c>
      <c r="L49" s="338">
        <f t="shared" si="1"/>
        <v>769672</v>
      </c>
      <c r="M49" s="326">
        <f t="shared" si="2"/>
        <v>68.037945070883836</v>
      </c>
      <c r="N49" s="326">
        <v>17</v>
      </c>
      <c r="O49" s="325">
        <f t="shared" si="3"/>
        <v>1156645.0662050252</v>
      </c>
      <c r="P49" s="324"/>
      <c r="S49" s="310"/>
    </row>
    <row r="50" spans="1:19" s="64" customFormat="1" ht="19.5" customHeight="1" x14ac:dyDescent="0.25">
      <c r="A50" s="336" t="s">
        <v>222</v>
      </c>
      <c r="B50" s="335">
        <v>306</v>
      </c>
      <c r="C50" s="333">
        <v>350</v>
      </c>
      <c r="D50" s="334" t="s">
        <v>123</v>
      </c>
      <c r="E50" s="333"/>
      <c r="F50" s="332">
        <v>350</v>
      </c>
      <c r="G50" s="340">
        <f>SUM(E50:F50)</f>
        <v>350</v>
      </c>
      <c r="H50" s="331">
        <v>2.9581715248210361</v>
      </c>
      <c r="I50" s="330">
        <v>1.77</v>
      </c>
      <c r="J50" s="329">
        <f t="shared" si="0"/>
        <v>0.40165741399762755</v>
      </c>
      <c r="K50" s="339">
        <v>7470</v>
      </c>
      <c r="L50" s="338">
        <f t="shared" si="1"/>
        <v>1050133.3088967972</v>
      </c>
      <c r="M50" s="326">
        <f t="shared" si="2"/>
        <v>415.8600336873626</v>
      </c>
      <c r="N50" s="326">
        <v>17</v>
      </c>
      <c r="O50" s="325">
        <f t="shared" si="3"/>
        <v>7069620.5726851644</v>
      </c>
      <c r="P50" s="324"/>
      <c r="S50" s="310"/>
    </row>
    <row r="51" spans="1:19" s="64" customFormat="1" ht="19.5" customHeight="1" x14ac:dyDescent="0.25">
      <c r="A51" s="336" t="s">
        <v>80</v>
      </c>
      <c r="B51" s="335"/>
      <c r="C51" s="333">
        <v>212</v>
      </c>
      <c r="D51" s="334" t="s">
        <v>123</v>
      </c>
      <c r="E51" s="333">
        <v>25.75</v>
      </c>
      <c r="F51" s="332">
        <f>C51-E51</f>
        <v>186.25</v>
      </c>
      <c r="G51" s="332">
        <f>F51+E51</f>
        <v>212</v>
      </c>
      <c r="H51" s="331">
        <v>2.9581715248210361</v>
      </c>
      <c r="I51" s="330">
        <v>1.66</v>
      </c>
      <c r="J51" s="329">
        <f t="shared" si="0"/>
        <v>0.43884254646105186</v>
      </c>
      <c r="K51" s="328">
        <v>7470</v>
      </c>
      <c r="L51" s="327">
        <f t="shared" si="1"/>
        <v>694968.61027758021</v>
      </c>
      <c r="M51" s="326">
        <f t="shared" si="2"/>
        <v>275.21236326205968</v>
      </c>
      <c r="N51" s="326">
        <v>17</v>
      </c>
      <c r="O51" s="325">
        <f t="shared" si="3"/>
        <v>4678610.1754550152</v>
      </c>
      <c r="P51" s="324"/>
      <c r="S51" s="310"/>
    </row>
    <row r="52" spans="1:19" s="64" customFormat="1" ht="19.5" customHeight="1" x14ac:dyDescent="0.25">
      <c r="A52" s="336" t="s">
        <v>116</v>
      </c>
      <c r="B52" s="335">
        <v>25</v>
      </c>
      <c r="C52" s="333">
        <v>20</v>
      </c>
      <c r="D52" s="334" t="s">
        <v>219</v>
      </c>
      <c r="E52" s="333"/>
      <c r="F52" s="332">
        <v>20</v>
      </c>
      <c r="G52" s="340">
        <f>SUM(E52:F52)</f>
        <v>20</v>
      </c>
      <c r="H52" s="331">
        <v>2.9581715248210361</v>
      </c>
      <c r="I52" s="330">
        <v>2.37</v>
      </c>
      <c r="J52" s="329">
        <f t="shared" si="0"/>
        <v>0.19882941874258603</v>
      </c>
      <c r="K52" s="339">
        <v>33464</v>
      </c>
      <c r="L52" s="338">
        <f t="shared" si="1"/>
        <v>133072.55337603798</v>
      </c>
      <c r="M52" s="326">
        <f t="shared" si="2"/>
        <v>11.763430496420721</v>
      </c>
      <c r="N52" s="326">
        <v>17</v>
      </c>
      <c r="O52" s="325">
        <f t="shared" si="3"/>
        <v>199978.31843915224</v>
      </c>
      <c r="P52" s="324"/>
      <c r="S52" s="310"/>
    </row>
    <row r="53" spans="1:19" s="64" customFormat="1" ht="19.5" customHeight="1" x14ac:dyDescent="0.25">
      <c r="A53" s="336" t="s">
        <v>82</v>
      </c>
      <c r="B53" s="335">
        <v>508</v>
      </c>
      <c r="C53" s="333">
        <v>53</v>
      </c>
      <c r="D53" s="334" t="s">
        <v>219</v>
      </c>
      <c r="E53" s="333">
        <v>40</v>
      </c>
      <c r="F53" s="332">
        <v>108</v>
      </c>
      <c r="G53" s="340">
        <f>SUM(E53:F53)</f>
        <v>148</v>
      </c>
      <c r="H53" s="331">
        <v>2.9581715248210361</v>
      </c>
      <c r="I53" s="330">
        <v>2.37</v>
      </c>
      <c r="J53" s="329">
        <f t="shared" si="0"/>
        <v>0.19882941874258603</v>
      </c>
      <c r="K53" s="339">
        <v>33464</v>
      </c>
      <c r="L53" s="338">
        <f t="shared" si="1"/>
        <v>984736.89498268103</v>
      </c>
      <c r="M53" s="326">
        <f t="shared" si="2"/>
        <v>87.049385673513328</v>
      </c>
      <c r="N53" s="326">
        <v>17</v>
      </c>
      <c r="O53" s="325">
        <f t="shared" si="3"/>
        <v>1479839.5564497267</v>
      </c>
      <c r="P53" s="324"/>
      <c r="S53" s="310"/>
    </row>
    <row r="54" spans="1:19" s="64" customFormat="1" ht="19.5" customHeight="1" x14ac:dyDescent="0.25">
      <c r="A54" s="377"/>
      <c r="B54" s="335"/>
      <c r="C54" s="333"/>
      <c r="D54" s="334"/>
      <c r="E54" s="333"/>
      <c r="F54" s="340"/>
      <c r="G54" s="376"/>
      <c r="H54" s="375"/>
      <c r="I54" s="330"/>
      <c r="J54" s="329"/>
      <c r="K54" s="339"/>
      <c r="L54" s="338"/>
      <c r="M54" s="374"/>
      <c r="N54" s="374"/>
      <c r="O54" s="373"/>
      <c r="P54" s="337"/>
      <c r="S54" s="310"/>
    </row>
    <row r="55" spans="1:19" s="64" customFormat="1" ht="19.5" customHeight="1" x14ac:dyDescent="0.25">
      <c r="A55" s="377" t="s">
        <v>218</v>
      </c>
      <c r="B55" s="379">
        <f>SUM(B48:B54)</f>
        <v>1174</v>
      </c>
      <c r="C55" s="379">
        <f>SUM(C48:C54)</f>
        <v>1039</v>
      </c>
      <c r="D55" s="380"/>
      <c r="E55" s="379">
        <f>SUM(E48:E54)</f>
        <v>138.75</v>
      </c>
      <c r="F55" s="379">
        <f>SUM(F48:F54)</f>
        <v>995.25</v>
      </c>
      <c r="G55" s="379">
        <f>SUM(G48:G54)</f>
        <v>1134</v>
      </c>
      <c r="H55" s="375"/>
      <c r="I55" s="330"/>
      <c r="J55" s="329"/>
      <c r="K55" s="378">
        <f>SUM(K48:K54)</f>
        <v>122802</v>
      </c>
      <c r="L55" s="378">
        <f>SUM(L48:L54)</f>
        <v>4775728.4837893248</v>
      </c>
      <c r="M55" s="378">
        <f>SUM(M48:M54)</f>
        <v>1310.616509147055</v>
      </c>
      <c r="N55" s="374"/>
      <c r="O55" s="378">
        <f>SUM(O48:O54)</f>
        <v>22280480.655499931</v>
      </c>
      <c r="P55" s="337"/>
      <c r="S55" s="310"/>
    </row>
    <row r="56" spans="1:19" s="64" customFormat="1" ht="19.5" customHeight="1" x14ac:dyDescent="0.25">
      <c r="A56" s="377"/>
      <c r="B56" s="335"/>
      <c r="C56" s="333"/>
      <c r="D56" s="334"/>
      <c r="E56" s="333"/>
      <c r="F56" s="340"/>
      <c r="G56" s="376"/>
      <c r="H56" s="375"/>
      <c r="I56" s="330"/>
      <c r="J56" s="329"/>
      <c r="K56" s="339"/>
      <c r="L56" s="338"/>
      <c r="M56" s="374"/>
      <c r="N56" s="374"/>
      <c r="O56" s="373"/>
      <c r="P56" s="337"/>
      <c r="S56" s="310"/>
    </row>
    <row r="57" spans="1:19" s="64" customFormat="1" ht="19.5" customHeight="1" x14ac:dyDescent="0.25">
      <c r="A57" s="372" t="s">
        <v>83</v>
      </c>
      <c r="B57" s="371"/>
      <c r="C57" s="369"/>
      <c r="D57" s="370"/>
      <c r="E57" s="369"/>
      <c r="F57" s="368"/>
      <c r="G57" s="367"/>
      <c r="H57" s="366"/>
      <c r="I57" s="365"/>
      <c r="J57" s="364"/>
      <c r="K57" s="363"/>
      <c r="L57" s="362"/>
      <c r="M57" s="361"/>
      <c r="N57" s="361"/>
      <c r="O57" s="360"/>
      <c r="P57" s="359"/>
      <c r="S57" s="310"/>
    </row>
    <row r="58" spans="1:19" s="341" customFormat="1" ht="19.5" customHeight="1" x14ac:dyDescent="0.25">
      <c r="A58" s="358" t="s">
        <v>84</v>
      </c>
      <c r="B58" s="352">
        <v>70</v>
      </c>
      <c r="C58" s="350">
        <v>101</v>
      </c>
      <c r="D58" s="351">
        <v>0</v>
      </c>
      <c r="E58" s="350">
        <v>0</v>
      </c>
      <c r="F58" s="349">
        <v>101</v>
      </c>
      <c r="G58" s="357">
        <v>101</v>
      </c>
      <c r="H58" s="356">
        <v>5.6867980607596174</v>
      </c>
      <c r="I58" s="347">
        <v>4.08</v>
      </c>
      <c r="J58" s="346">
        <v>0.56509763265446022</v>
      </c>
      <c r="K58" s="345">
        <v>40934</v>
      </c>
      <c r="L58" s="344">
        <v>584126.74618114554</v>
      </c>
      <c r="M58" s="355">
        <v>67.46330206836069</v>
      </c>
      <c r="N58" s="355">
        <v>34</v>
      </c>
      <c r="O58" s="354">
        <v>1146876.1351621319</v>
      </c>
      <c r="P58" s="343"/>
      <c r="S58" s="342"/>
    </row>
    <row r="59" spans="1:19" s="64" customFormat="1" ht="19.5" customHeight="1" x14ac:dyDescent="0.25">
      <c r="A59" s="336" t="s">
        <v>188</v>
      </c>
      <c r="B59" s="335">
        <v>110</v>
      </c>
      <c r="C59" s="333">
        <v>122</v>
      </c>
      <c r="D59" s="334" t="s">
        <v>123</v>
      </c>
      <c r="E59" s="333">
        <v>32.25</v>
      </c>
      <c r="F59" s="340">
        <v>89.75</v>
      </c>
      <c r="G59" s="340">
        <f>SUM(E59:F59)</f>
        <v>122</v>
      </c>
      <c r="H59" s="331">
        <v>2.8433990303798087</v>
      </c>
      <c r="I59" s="330">
        <v>1.7</v>
      </c>
      <c r="J59" s="329">
        <f>(H59-I59)/H59</f>
        <v>0.40212401360602507</v>
      </c>
      <c r="K59" s="339">
        <v>7470</v>
      </c>
      <c r="L59" s="338">
        <f>(G59*K59)*J59</f>
        <v>366471.69855971489</v>
      </c>
      <c r="M59" s="326">
        <f>G59*H59*J59</f>
        <v>139.49468170633665</v>
      </c>
      <c r="N59" s="326">
        <v>17</v>
      </c>
      <c r="O59" s="325">
        <f>M59*1000*17</f>
        <v>2371409.5890077231</v>
      </c>
      <c r="P59" s="337"/>
      <c r="S59" s="310"/>
    </row>
    <row r="60" spans="1:19" s="64" customFormat="1" ht="19.5" customHeight="1" x14ac:dyDescent="0.25">
      <c r="A60" s="336" t="s">
        <v>86</v>
      </c>
      <c r="B60" s="335">
        <v>77</v>
      </c>
      <c r="C60" s="333">
        <v>80</v>
      </c>
      <c r="D60" s="334" t="s">
        <v>219</v>
      </c>
      <c r="E60" s="333">
        <v>31</v>
      </c>
      <c r="F60" s="340">
        <v>49</v>
      </c>
      <c r="G60" s="340">
        <f>SUM(E60:F60)</f>
        <v>80</v>
      </c>
      <c r="H60" s="331">
        <v>2.8433990303798087</v>
      </c>
      <c r="I60" s="330">
        <v>2.2799999999999998</v>
      </c>
      <c r="J60" s="329">
        <f>(H60-I60)/H60</f>
        <v>0.198142794718669</v>
      </c>
      <c r="K60" s="339">
        <v>33464</v>
      </c>
      <c r="L60" s="338">
        <f>(G60*K60)*J60</f>
        <v>530452.03859724314</v>
      </c>
      <c r="M60" s="326">
        <f>G60*H60*J60</f>
        <v>45.07192243038471</v>
      </c>
      <c r="N60" s="326">
        <v>17</v>
      </c>
      <c r="O60" s="325">
        <f>M60*1000*17</f>
        <v>766222.68131653999</v>
      </c>
      <c r="P60" s="337"/>
      <c r="S60" s="310"/>
    </row>
    <row r="61" spans="1:19" s="64" customFormat="1" ht="19.5" hidden="1" customHeight="1" x14ac:dyDescent="0.25">
      <c r="A61" s="336"/>
      <c r="B61" s="335"/>
      <c r="C61" s="333"/>
      <c r="D61" s="334"/>
      <c r="E61" s="333"/>
      <c r="F61" s="340"/>
      <c r="G61" s="340"/>
      <c r="H61" s="331"/>
      <c r="I61" s="330"/>
      <c r="J61" s="329"/>
      <c r="K61" s="339"/>
      <c r="L61" s="338"/>
      <c r="M61" s="326"/>
      <c r="N61" s="326"/>
      <c r="O61" s="325"/>
      <c r="P61" s="337"/>
      <c r="S61" s="310"/>
    </row>
    <row r="62" spans="1:19" s="341" customFormat="1" ht="19.5" customHeight="1" x14ac:dyDescent="0.25">
      <c r="A62" s="353" t="s">
        <v>87</v>
      </c>
      <c r="B62" s="352">
        <v>376</v>
      </c>
      <c r="C62" s="350">
        <v>361</v>
      </c>
      <c r="D62" s="351">
        <v>0</v>
      </c>
      <c r="E62" s="350">
        <v>8</v>
      </c>
      <c r="F62" s="349">
        <v>353</v>
      </c>
      <c r="G62" s="349">
        <v>361</v>
      </c>
      <c r="H62" s="348">
        <v>5.6867980607596174</v>
      </c>
      <c r="I62" s="347">
        <v>3.25</v>
      </c>
      <c r="J62" s="346">
        <v>0.8570017907174009</v>
      </c>
      <c r="K62" s="345">
        <v>40934</v>
      </c>
      <c r="L62" s="344">
        <v>1679522.589240273</v>
      </c>
      <c r="M62" s="326">
        <v>160.16704996711087</v>
      </c>
      <c r="N62" s="326">
        <v>34</v>
      </c>
      <c r="O62" s="325">
        <v>2722839.8494408848</v>
      </c>
      <c r="P62" s="343"/>
      <c r="S62" s="342"/>
    </row>
    <row r="63" spans="1:19" s="341" customFormat="1" ht="19.5" customHeight="1" x14ac:dyDescent="0.25">
      <c r="A63" s="353" t="s">
        <v>88</v>
      </c>
      <c r="B63" s="352">
        <v>467</v>
      </c>
      <c r="C63" s="350">
        <v>694</v>
      </c>
      <c r="D63" s="351">
        <v>0</v>
      </c>
      <c r="E63" s="350">
        <v>50</v>
      </c>
      <c r="F63" s="349">
        <v>644</v>
      </c>
      <c r="G63" s="349">
        <v>694</v>
      </c>
      <c r="H63" s="348">
        <v>5.6867980607596174</v>
      </c>
      <c r="I63" s="347">
        <v>3.9799999999999995</v>
      </c>
      <c r="J63" s="346">
        <v>0.60026680832469403</v>
      </c>
      <c r="K63" s="345">
        <v>40934</v>
      </c>
      <c r="L63" s="344">
        <v>3669587.9209181517</v>
      </c>
      <c r="M63" s="326">
        <v>540.05892708358738</v>
      </c>
      <c r="N63" s="326">
        <v>34</v>
      </c>
      <c r="O63" s="325">
        <v>9181001.7604209855</v>
      </c>
      <c r="P63" s="343"/>
      <c r="S63" s="342"/>
    </row>
    <row r="64" spans="1:19" s="341" customFormat="1" ht="19.5" customHeight="1" x14ac:dyDescent="0.25">
      <c r="A64" s="353" t="s">
        <v>101</v>
      </c>
      <c r="B64" s="352">
        <v>486</v>
      </c>
      <c r="C64" s="350">
        <v>546</v>
      </c>
      <c r="D64" s="351">
        <v>0</v>
      </c>
      <c r="E64" s="350">
        <v>164</v>
      </c>
      <c r="F64" s="349">
        <v>382</v>
      </c>
      <c r="G64" s="349">
        <v>546</v>
      </c>
      <c r="H64" s="348">
        <v>5.6867980607596174</v>
      </c>
      <c r="I64" s="347">
        <v>3.9799999999999995</v>
      </c>
      <c r="J64" s="346">
        <v>0.60026680832469403</v>
      </c>
      <c r="K64" s="345">
        <v>40934</v>
      </c>
      <c r="L64" s="344">
        <v>2728146.2746223658</v>
      </c>
      <c r="M64" s="326">
        <v>450.29587058737559</v>
      </c>
      <c r="N64" s="326">
        <v>34</v>
      </c>
      <c r="O64" s="325">
        <v>7655029.7999853846</v>
      </c>
      <c r="P64" s="343"/>
      <c r="S64" s="342"/>
    </row>
    <row r="65" spans="1:20" s="341" customFormat="1" ht="19.5" customHeight="1" x14ac:dyDescent="0.25">
      <c r="A65" s="353" t="s">
        <v>112</v>
      </c>
      <c r="B65" s="352">
        <v>233</v>
      </c>
      <c r="C65" s="350">
        <v>339</v>
      </c>
      <c r="D65" s="351">
        <v>0</v>
      </c>
      <c r="E65" s="350">
        <v>30</v>
      </c>
      <c r="F65" s="349">
        <v>309</v>
      </c>
      <c r="G65" s="349">
        <v>339</v>
      </c>
      <c r="H65" s="348">
        <v>5.6867980607596174</v>
      </c>
      <c r="I65" s="347">
        <v>3.53</v>
      </c>
      <c r="J65" s="346">
        <v>0.75852809884074623</v>
      </c>
      <c r="K65" s="345">
        <v>40934</v>
      </c>
      <c r="L65" s="344">
        <v>2115783.6114794421</v>
      </c>
      <c r="M65" s="326">
        <v>246.61227129875522</v>
      </c>
      <c r="N65" s="326">
        <v>34</v>
      </c>
      <c r="O65" s="325">
        <v>4192408.6120788385</v>
      </c>
      <c r="P65" s="343"/>
      <c r="S65" s="342"/>
    </row>
    <row r="66" spans="1:20" s="341" customFormat="1" ht="19.5" customHeight="1" x14ac:dyDescent="0.25">
      <c r="A66" s="353" t="s">
        <v>111</v>
      </c>
      <c r="B66" s="352">
        <v>232</v>
      </c>
      <c r="C66" s="350">
        <v>289</v>
      </c>
      <c r="D66" s="351">
        <v>0</v>
      </c>
      <c r="E66" s="350">
        <v>37.25</v>
      </c>
      <c r="F66" s="349">
        <v>251.75</v>
      </c>
      <c r="G66" s="349">
        <v>289</v>
      </c>
      <c r="H66" s="348">
        <v>5.6867980607596174</v>
      </c>
      <c r="I66" s="347">
        <v>3.9799999999999995</v>
      </c>
      <c r="J66" s="346">
        <v>0.60026680832469403</v>
      </c>
      <c r="K66" s="345">
        <v>40934</v>
      </c>
      <c r="L66" s="344">
        <v>1669636.6705762008</v>
      </c>
      <c r="M66" s="326">
        <v>202.26231977976477</v>
      </c>
      <c r="N66" s="326">
        <v>34</v>
      </c>
      <c r="O66" s="325">
        <v>3438459.4362560008</v>
      </c>
      <c r="P66" s="343"/>
      <c r="S66" s="342"/>
    </row>
    <row r="67" spans="1:20" s="341" customFormat="1" ht="19.5" customHeight="1" x14ac:dyDescent="0.25">
      <c r="A67" s="353" t="s">
        <v>89</v>
      </c>
      <c r="B67" s="352">
        <v>75</v>
      </c>
      <c r="C67" s="350">
        <v>174</v>
      </c>
      <c r="D67" s="351">
        <v>0</v>
      </c>
      <c r="E67" s="350">
        <v>129</v>
      </c>
      <c r="F67" s="349">
        <v>45</v>
      </c>
      <c r="G67" s="349">
        <v>174</v>
      </c>
      <c r="H67" s="348">
        <v>5.6867980607596174</v>
      </c>
      <c r="I67" s="347">
        <v>2.2799999999999998</v>
      </c>
      <c r="J67" s="346">
        <v>1.1981427947186689</v>
      </c>
      <c r="K67" s="345">
        <v>40934</v>
      </c>
      <c r="L67" s="344">
        <v>1257812.524123277</v>
      </c>
      <c r="M67" s="326">
        <v>380.7514312860867</v>
      </c>
      <c r="N67" s="326">
        <v>34</v>
      </c>
      <c r="O67" s="325">
        <v>6472774.3318634732</v>
      </c>
      <c r="P67" s="343"/>
      <c r="S67" s="342"/>
    </row>
    <row r="68" spans="1:20" s="64" customFormat="1" ht="19.5" customHeight="1" x14ac:dyDescent="0.25">
      <c r="A68" s="336" t="s">
        <v>106</v>
      </c>
      <c r="B68" s="335">
        <v>120</v>
      </c>
      <c r="C68" s="333">
        <v>159</v>
      </c>
      <c r="D68" s="334" t="s">
        <v>123</v>
      </c>
      <c r="E68" s="333">
        <v>54.5</v>
      </c>
      <c r="F68" s="340">
        <v>104.5</v>
      </c>
      <c r="G68" s="340">
        <f>SUM(E68:F68)</f>
        <v>159</v>
      </c>
      <c r="H68" s="331">
        <v>2.8433990303798087</v>
      </c>
      <c r="I68" s="330">
        <v>1.7</v>
      </c>
      <c r="J68" s="329">
        <f>(H68-I68)/H68</f>
        <v>0.40212401360602507</v>
      </c>
      <c r="K68" s="339">
        <v>7470</v>
      </c>
      <c r="L68" s="338">
        <f>(G68*K68)*J68</f>
        <v>477614.75468028412</v>
      </c>
      <c r="M68" s="326">
        <f>G68*H68*J68</f>
        <v>181.80044583038958</v>
      </c>
      <c r="N68" s="326">
        <v>17</v>
      </c>
      <c r="O68" s="325">
        <f>M68*1000*17</f>
        <v>3090607.5791166225</v>
      </c>
      <c r="P68" s="337"/>
      <c r="S68" s="310"/>
    </row>
    <row r="69" spans="1:20" s="64" customFormat="1" ht="19.5" customHeight="1" x14ac:dyDescent="0.25">
      <c r="A69" s="353" t="s">
        <v>91</v>
      </c>
      <c r="B69" s="352">
        <v>152</v>
      </c>
      <c r="C69" s="350">
        <v>203</v>
      </c>
      <c r="D69" s="351">
        <v>0</v>
      </c>
      <c r="E69" s="350">
        <v>27</v>
      </c>
      <c r="F69" s="349">
        <v>176</v>
      </c>
      <c r="G69" s="349">
        <v>203</v>
      </c>
      <c r="H69" s="348">
        <v>5.6867980607596174</v>
      </c>
      <c r="I69" s="347">
        <v>4.08</v>
      </c>
      <c r="J69" s="346">
        <v>0.56509763265446022</v>
      </c>
      <c r="K69" s="345">
        <v>14940</v>
      </c>
      <c r="L69" s="344">
        <v>522406.28479775187</v>
      </c>
      <c r="M69" s="326">
        <v>198.85000316710119</v>
      </c>
      <c r="N69" s="326">
        <v>34</v>
      </c>
      <c r="O69" s="325">
        <v>3380450.0538407201</v>
      </c>
      <c r="P69" s="343"/>
      <c r="Q69" s="341"/>
      <c r="R69" s="341"/>
      <c r="S69" s="342"/>
      <c r="T69" s="341"/>
    </row>
    <row r="70" spans="1:20" s="64" customFormat="1" ht="19.5" customHeight="1" x14ac:dyDescent="0.25">
      <c r="A70" s="336" t="s">
        <v>110</v>
      </c>
      <c r="B70" s="335">
        <v>60</v>
      </c>
      <c r="C70" s="333">
        <v>72</v>
      </c>
      <c r="D70" s="334" t="s">
        <v>123</v>
      </c>
      <c r="E70" s="333">
        <v>22</v>
      </c>
      <c r="F70" s="340">
        <v>50</v>
      </c>
      <c r="G70" s="340">
        <f>SUM(E70:F70)</f>
        <v>72</v>
      </c>
      <c r="H70" s="331">
        <v>2.8433990303798087</v>
      </c>
      <c r="I70" s="330">
        <v>1.7</v>
      </c>
      <c r="J70" s="329">
        <f>(H70-I70)/H70</f>
        <v>0.40212401360602507</v>
      </c>
      <c r="K70" s="339">
        <v>7470</v>
      </c>
      <c r="L70" s="338">
        <f>(G70*K70)*J70</f>
        <v>216278.37947786451</v>
      </c>
      <c r="M70" s="326">
        <f>G70*H70*J70</f>
        <v>82.324730187346219</v>
      </c>
      <c r="N70" s="326">
        <v>17</v>
      </c>
      <c r="O70" s="325">
        <f>M70*1000*17</f>
        <v>1399520.4131848856</v>
      </c>
      <c r="P70" s="337"/>
      <c r="S70" s="310"/>
    </row>
    <row r="71" spans="1:20" s="64" customFormat="1" ht="19.5" customHeight="1" x14ac:dyDescent="0.25">
      <c r="A71" s="336" t="s">
        <v>220</v>
      </c>
      <c r="B71" s="335">
        <v>28</v>
      </c>
      <c r="C71" s="333">
        <v>24</v>
      </c>
      <c r="D71" s="334" t="s">
        <v>123</v>
      </c>
      <c r="E71" s="333">
        <v>24</v>
      </c>
      <c r="F71" s="340"/>
      <c r="G71" s="340">
        <f>SUM(E71:F71)</f>
        <v>24</v>
      </c>
      <c r="H71" s="331">
        <v>2.8433990303798087</v>
      </c>
      <c r="I71" s="330"/>
      <c r="J71" s="329">
        <f>(H71-I71)/H71</f>
        <v>1</v>
      </c>
      <c r="K71" s="339">
        <v>7470</v>
      </c>
      <c r="L71" s="338">
        <f>(G71*K71)*J71</f>
        <v>179280</v>
      </c>
      <c r="M71" s="326">
        <f>G71*H71*J71</f>
        <v>68.241576729115408</v>
      </c>
      <c r="N71" s="326">
        <v>17</v>
      </c>
      <c r="O71" s="325">
        <f>M71*1000*17</f>
        <v>1160106.8043949618</v>
      </c>
      <c r="P71" s="337"/>
      <c r="S71" s="310"/>
    </row>
    <row r="72" spans="1:20" s="341" customFormat="1" ht="19.5" customHeight="1" x14ac:dyDescent="0.25">
      <c r="A72" s="336" t="s">
        <v>92</v>
      </c>
      <c r="B72" s="335">
        <v>20</v>
      </c>
      <c r="C72" s="333">
        <v>33</v>
      </c>
      <c r="D72" s="334" t="s">
        <v>219</v>
      </c>
      <c r="E72" s="333"/>
      <c r="F72" s="340">
        <v>33</v>
      </c>
      <c r="G72" s="340">
        <f>SUM(E72:F72)</f>
        <v>33</v>
      </c>
      <c r="H72" s="331">
        <v>2.8433990303798087</v>
      </c>
      <c r="I72" s="330">
        <v>2.2799999999999998</v>
      </c>
      <c r="J72" s="329">
        <f>(H72-I72)/H72</f>
        <v>0.198142794718669</v>
      </c>
      <c r="K72" s="339">
        <v>33464</v>
      </c>
      <c r="L72" s="338">
        <f>(G72*K72)*J72</f>
        <v>218811.4659213628</v>
      </c>
      <c r="M72" s="326">
        <f>G72*H72*J72</f>
        <v>18.592168002533693</v>
      </c>
      <c r="N72" s="326">
        <v>17</v>
      </c>
      <c r="O72" s="325">
        <f>M72*1000*17</f>
        <v>316066.85604307277</v>
      </c>
      <c r="P72" s="337"/>
      <c r="Q72" s="64"/>
      <c r="R72" s="64"/>
      <c r="S72" s="310"/>
      <c r="T72" s="64"/>
    </row>
    <row r="73" spans="1:20" s="341" customFormat="1" ht="19.5" customHeight="1" x14ac:dyDescent="0.25">
      <c r="A73" s="336" t="s">
        <v>3</v>
      </c>
      <c r="B73" s="335">
        <v>50</v>
      </c>
      <c r="C73" s="333">
        <v>48</v>
      </c>
      <c r="D73" s="334" t="s">
        <v>123</v>
      </c>
      <c r="E73" s="333">
        <v>16</v>
      </c>
      <c r="F73" s="340">
        <v>32</v>
      </c>
      <c r="G73" s="340">
        <f>SUM(E73:F73)</f>
        <v>48</v>
      </c>
      <c r="H73" s="331">
        <v>2.8433990303798087</v>
      </c>
      <c r="I73" s="330">
        <v>1.7</v>
      </c>
      <c r="J73" s="329">
        <f>(H73-I73)/H73</f>
        <v>0.40212401360602507</v>
      </c>
      <c r="K73" s="339">
        <v>7470</v>
      </c>
      <c r="L73" s="338">
        <f>(G73*K73)*J73</f>
        <v>144185.58631857636</v>
      </c>
      <c r="M73" s="326">
        <f>G73*H73*J73</f>
        <v>54.883153458230815</v>
      </c>
      <c r="N73" s="326">
        <v>17</v>
      </c>
      <c r="O73" s="325">
        <f>M73*1000*17</f>
        <v>933013.60878992383</v>
      </c>
      <c r="P73" s="337"/>
      <c r="Q73" s="64"/>
      <c r="R73" s="64"/>
      <c r="S73" s="310"/>
      <c r="T73" s="64"/>
    </row>
    <row r="74" spans="1:20" s="64" customFormat="1" ht="19.5" customHeight="1" x14ac:dyDescent="0.25">
      <c r="A74" s="336" t="s">
        <v>109</v>
      </c>
      <c r="B74" s="335">
        <v>305</v>
      </c>
      <c r="C74" s="333">
        <v>345</v>
      </c>
      <c r="D74" s="334">
        <v>0</v>
      </c>
      <c r="E74" s="333">
        <v>65</v>
      </c>
      <c r="F74" s="332">
        <v>278</v>
      </c>
      <c r="G74" s="332">
        <v>343</v>
      </c>
      <c r="H74" s="331">
        <v>5.6867980607596174</v>
      </c>
      <c r="I74" s="330">
        <v>1.9</v>
      </c>
      <c r="J74" s="329">
        <v>1.3317856622655575</v>
      </c>
      <c r="K74" s="328">
        <v>66928</v>
      </c>
      <c r="L74" s="327">
        <v>4507954.0825614976</v>
      </c>
      <c r="M74" s="326">
        <v>383.03586742027437</v>
      </c>
      <c r="N74" s="326">
        <v>34</v>
      </c>
      <c r="O74" s="325">
        <v>6511609.7461446645</v>
      </c>
      <c r="P74" s="324"/>
      <c r="S74" s="310"/>
    </row>
    <row r="75" spans="1:20" s="64" customFormat="1" ht="19.5" customHeight="1" x14ac:dyDescent="0.25">
      <c r="A75" s="353" t="s">
        <v>94</v>
      </c>
      <c r="B75" s="352">
        <v>27</v>
      </c>
      <c r="C75" s="350">
        <v>27</v>
      </c>
      <c r="D75" s="351">
        <v>0</v>
      </c>
      <c r="E75" s="350">
        <v>5</v>
      </c>
      <c r="F75" s="349">
        <v>22</v>
      </c>
      <c r="G75" s="349">
        <v>27</v>
      </c>
      <c r="H75" s="348">
        <v>5.6867980607596174</v>
      </c>
      <c r="I75" s="347">
        <v>2.4500000000000002</v>
      </c>
      <c r="J75" s="346">
        <v>1.1383551960792713</v>
      </c>
      <c r="K75" s="345">
        <v>40934</v>
      </c>
      <c r="L75" s="344">
        <v>139208.20219512819</v>
      </c>
      <c r="M75" s="326">
        <v>22.87177382025483</v>
      </c>
      <c r="N75" s="326">
        <v>34</v>
      </c>
      <c r="O75" s="325">
        <v>388820.15494433214</v>
      </c>
      <c r="P75" s="343"/>
      <c r="Q75" s="341"/>
      <c r="R75" s="341"/>
      <c r="S75" s="342"/>
      <c r="T75" s="341"/>
    </row>
    <row r="76" spans="1:20" s="64" customFormat="1" ht="19.5" customHeight="1" x14ac:dyDescent="0.25">
      <c r="A76" s="323" t="s">
        <v>218</v>
      </c>
      <c r="B76" s="317">
        <f>SUM(B59:B75)</f>
        <v>2818</v>
      </c>
      <c r="C76" s="317">
        <f>SUM(C59:C75)</f>
        <v>3516</v>
      </c>
      <c r="D76" s="322"/>
      <c r="E76" s="317">
        <f>SUM(E59:E75)</f>
        <v>695</v>
      </c>
      <c r="F76" s="317">
        <f>SUM(F59:F75)</f>
        <v>2819</v>
      </c>
      <c r="G76" s="317">
        <f>SUM(G59:G75)</f>
        <v>3514</v>
      </c>
      <c r="H76" s="321"/>
      <c r="I76" s="320"/>
      <c r="J76" s="319"/>
      <c r="K76" s="317">
        <f>SUM(K59:K75)</f>
        <v>472684</v>
      </c>
      <c r="L76" s="317">
        <f>SUM(L59:L75)</f>
        <v>20423152.084069133</v>
      </c>
      <c r="M76" s="317">
        <f>SUM(M59:M75)</f>
        <v>3175.3141927546476</v>
      </c>
      <c r="N76" s="318"/>
      <c r="O76" s="317">
        <f>SUM(O59:O75)</f>
        <v>53980341.276829004</v>
      </c>
      <c r="P76" s="316"/>
      <c r="S76" s="310"/>
    </row>
    <row r="77" spans="1:20" s="64" customFormat="1" ht="19.5" customHeight="1" thickBot="1" x14ac:dyDescent="0.3">
      <c r="A77" s="275"/>
      <c r="B77" s="312"/>
      <c r="C77" s="312"/>
      <c r="D77" s="315"/>
      <c r="E77" s="312"/>
      <c r="F77" s="312"/>
      <c r="G77" s="312"/>
      <c r="H77" s="314"/>
      <c r="I77" s="269"/>
      <c r="J77" s="313"/>
      <c r="K77" s="312"/>
      <c r="L77" s="312"/>
      <c r="M77" s="312"/>
      <c r="N77" s="266"/>
      <c r="O77" s="312"/>
      <c r="P77" s="311"/>
      <c r="S77" s="310"/>
    </row>
    <row r="78" spans="1:20" s="64" customFormat="1" ht="19.5" customHeight="1" x14ac:dyDescent="0.2">
      <c r="A78" s="309" t="s">
        <v>217</v>
      </c>
      <c r="B78" s="307"/>
      <c r="C78" s="307"/>
      <c r="D78" s="308"/>
      <c r="E78" s="307"/>
      <c r="F78" s="306"/>
      <c r="G78" s="305"/>
      <c r="H78" s="304"/>
      <c r="I78" s="303"/>
      <c r="J78" s="300"/>
      <c r="K78" s="302"/>
      <c r="L78" s="301"/>
      <c r="M78" s="300"/>
      <c r="N78" s="300"/>
      <c r="O78" s="299"/>
      <c r="P78" s="298"/>
    </row>
    <row r="79" spans="1:20" s="64" customFormat="1" ht="19.5" customHeight="1" x14ac:dyDescent="0.2">
      <c r="A79" s="290" t="s">
        <v>216</v>
      </c>
      <c r="B79" s="273"/>
      <c r="C79" s="273"/>
      <c r="D79" s="274"/>
      <c r="E79" s="273"/>
      <c r="F79" s="297"/>
      <c r="G79" s="296"/>
      <c r="H79" s="295"/>
      <c r="I79" s="269"/>
      <c r="J79" s="266"/>
      <c r="K79" s="294"/>
      <c r="L79" s="293"/>
      <c r="M79" s="266"/>
      <c r="N79" s="266"/>
      <c r="O79" s="292"/>
      <c r="P79" s="264"/>
    </row>
    <row r="80" spans="1:20" s="64" customFormat="1" ht="19.5" customHeight="1" x14ac:dyDescent="0.2">
      <c r="A80" s="290" t="s">
        <v>215</v>
      </c>
      <c r="B80" s="273"/>
      <c r="C80" s="273"/>
      <c r="D80" s="274"/>
      <c r="E80" s="273"/>
      <c r="F80" s="297"/>
      <c r="G80" s="296"/>
      <c r="H80" s="295"/>
      <c r="I80" s="269"/>
      <c r="J80" s="266"/>
      <c r="K80" s="294"/>
      <c r="L80" s="293"/>
      <c r="M80" s="266"/>
      <c r="N80" s="266"/>
      <c r="O80" s="292"/>
      <c r="P80" s="264"/>
    </row>
    <row r="81" spans="1:16" s="64" customFormat="1" ht="19.5" customHeight="1" x14ac:dyDescent="0.2">
      <c r="A81" s="291" t="s">
        <v>214</v>
      </c>
      <c r="B81" s="273"/>
      <c r="C81" s="273"/>
      <c r="D81" s="274"/>
      <c r="E81" s="273"/>
      <c r="F81" s="297"/>
      <c r="G81" s="296"/>
      <c r="H81" s="295"/>
      <c r="I81" s="269"/>
      <c r="J81" s="266"/>
      <c r="K81" s="294"/>
      <c r="L81" s="293"/>
      <c r="M81" s="266"/>
      <c r="N81" s="266"/>
      <c r="O81" s="292"/>
      <c r="P81" s="264"/>
    </row>
    <row r="82" spans="1:16" s="64" customFormat="1" ht="19.5" customHeight="1" x14ac:dyDescent="0.2">
      <c r="A82" s="291" t="s">
        <v>213</v>
      </c>
      <c r="B82" s="273"/>
      <c r="C82" s="273"/>
      <c r="D82" s="274"/>
      <c r="E82" s="273"/>
      <c r="F82" s="297"/>
      <c r="G82" s="296"/>
      <c r="H82" s="295"/>
      <c r="I82" s="269"/>
      <c r="J82" s="266"/>
      <c r="K82" s="294"/>
      <c r="L82" s="293"/>
      <c r="M82" s="266"/>
      <c r="N82" s="266"/>
      <c r="O82" s="292"/>
      <c r="P82" s="264"/>
    </row>
    <row r="83" spans="1:16" s="64" customFormat="1" ht="19.5" customHeight="1" x14ac:dyDescent="0.2">
      <c r="A83" s="291" t="s">
        <v>212</v>
      </c>
      <c r="B83" s="273"/>
      <c r="C83" s="273"/>
      <c r="D83" s="274"/>
      <c r="E83" s="273"/>
      <c r="F83" s="297"/>
      <c r="G83" s="296"/>
      <c r="H83" s="295"/>
      <c r="I83" s="269"/>
      <c r="J83" s="266"/>
      <c r="K83" s="294"/>
      <c r="L83" s="293"/>
      <c r="M83" s="266"/>
      <c r="N83" s="266"/>
      <c r="O83" s="292"/>
      <c r="P83" s="264"/>
    </row>
    <row r="84" spans="1:16" s="64" customFormat="1" ht="19.5" customHeight="1" x14ac:dyDescent="0.2">
      <c r="A84" s="291" t="s">
        <v>211</v>
      </c>
      <c r="B84" s="273"/>
      <c r="C84" s="273"/>
      <c r="D84" s="274"/>
      <c r="E84" s="273"/>
      <c r="F84" s="297"/>
      <c r="G84" s="296"/>
      <c r="H84" s="295"/>
      <c r="I84" s="269"/>
      <c r="J84" s="266"/>
      <c r="K84" s="294"/>
      <c r="L84" s="293"/>
      <c r="M84" s="266"/>
      <c r="N84" s="266"/>
      <c r="O84" s="292"/>
      <c r="P84" s="264"/>
    </row>
    <row r="85" spans="1:16" s="64" customFormat="1" ht="19.5" customHeight="1" x14ac:dyDescent="0.2">
      <c r="A85" s="291" t="s">
        <v>210</v>
      </c>
      <c r="B85" s="273"/>
      <c r="C85" s="273"/>
      <c r="D85" s="274"/>
      <c r="E85" s="273"/>
      <c r="F85" s="297"/>
      <c r="G85" s="296"/>
      <c r="H85" s="295"/>
      <c r="I85" s="269"/>
      <c r="J85" s="266"/>
      <c r="K85" s="294"/>
      <c r="L85" s="293"/>
      <c r="M85" s="266"/>
      <c r="N85" s="266"/>
      <c r="O85" s="292"/>
      <c r="P85" s="264"/>
    </row>
    <row r="86" spans="1:16" s="64" customFormat="1" ht="19.5" customHeight="1" x14ac:dyDescent="0.2">
      <c r="A86" s="291" t="s">
        <v>209</v>
      </c>
      <c r="B86" s="273"/>
      <c r="C86" s="273"/>
      <c r="D86" s="274"/>
      <c r="E86" s="273"/>
      <c r="F86" s="297"/>
      <c r="G86" s="296"/>
      <c r="H86" s="295"/>
      <c r="I86" s="269"/>
      <c r="J86" s="266"/>
      <c r="K86" s="294"/>
      <c r="L86" s="293"/>
      <c r="M86" s="266"/>
      <c r="N86" s="266"/>
      <c r="O86" s="292"/>
      <c r="P86" s="264"/>
    </row>
    <row r="87" spans="1:16" s="64" customFormat="1" ht="19.5" customHeight="1" x14ac:dyDescent="0.2">
      <c r="A87" s="290"/>
      <c r="B87" s="273"/>
      <c r="C87" s="273"/>
      <c r="D87" s="274"/>
      <c r="E87" s="273"/>
      <c r="F87" s="297"/>
      <c r="G87" s="296"/>
      <c r="H87" s="295"/>
      <c r="I87" s="269"/>
      <c r="J87" s="266"/>
      <c r="K87" s="294"/>
      <c r="L87" s="293"/>
      <c r="M87" s="266"/>
      <c r="N87" s="266"/>
      <c r="O87" s="292"/>
      <c r="P87" s="264"/>
    </row>
    <row r="88" spans="1:16" s="64" customFormat="1" ht="19.5" customHeight="1" x14ac:dyDescent="0.25">
      <c r="A88" s="290" t="s">
        <v>208</v>
      </c>
      <c r="B88" s="282"/>
      <c r="C88" s="282"/>
      <c r="D88" s="285"/>
      <c r="E88" s="289"/>
      <c r="F88" s="289"/>
      <c r="G88" s="288"/>
      <c r="H88" s="186"/>
      <c r="I88" s="285"/>
      <c r="J88" s="285"/>
      <c r="K88" s="287"/>
      <c r="L88" s="286"/>
      <c r="M88" s="286"/>
      <c r="N88" s="285"/>
      <c r="O88" s="284"/>
      <c r="P88" s="279"/>
    </row>
    <row r="89" spans="1:16" s="64" customFormat="1" ht="19.5" customHeight="1" x14ac:dyDescent="0.25">
      <c r="A89" s="291" t="s">
        <v>207</v>
      </c>
      <c r="B89" s="282"/>
      <c r="C89" s="282"/>
      <c r="D89" s="285"/>
      <c r="E89" s="289"/>
      <c r="F89" s="289"/>
      <c r="G89" s="288"/>
      <c r="H89" s="186"/>
      <c r="I89" s="285"/>
      <c r="J89" s="285"/>
      <c r="K89" s="287"/>
      <c r="L89" s="286"/>
      <c r="M89" s="286"/>
      <c r="N89" s="285"/>
      <c r="O89" s="284"/>
      <c r="P89" s="279"/>
    </row>
    <row r="90" spans="1:16" s="64" customFormat="1" ht="19.5" customHeight="1" x14ac:dyDescent="0.25">
      <c r="A90" s="291" t="s">
        <v>206</v>
      </c>
      <c r="B90" s="282"/>
      <c r="C90" s="282"/>
      <c r="D90" s="285"/>
      <c r="E90" s="289"/>
      <c r="F90" s="289"/>
      <c r="G90" s="288"/>
      <c r="H90" s="186"/>
      <c r="I90" s="285"/>
      <c r="J90" s="285"/>
      <c r="K90" s="287"/>
      <c r="L90" s="286"/>
      <c r="M90" s="286"/>
      <c r="N90" s="285"/>
      <c r="O90" s="284"/>
      <c r="P90" s="279"/>
    </row>
    <row r="91" spans="1:16" s="64" customFormat="1" ht="19.5" customHeight="1" x14ac:dyDescent="0.25">
      <c r="A91" s="291" t="s">
        <v>205</v>
      </c>
      <c r="B91" s="282"/>
      <c r="C91" s="282"/>
      <c r="D91" s="285"/>
      <c r="E91" s="289"/>
      <c r="F91" s="289"/>
      <c r="G91" s="288"/>
      <c r="H91" s="186"/>
      <c r="I91" s="285"/>
      <c r="J91" s="285"/>
      <c r="K91" s="287"/>
      <c r="L91" s="286"/>
      <c r="M91" s="286"/>
      <c r="N91" s="285"/>
      <c r="O91" s="284"/>
      <c r="P91" s="279"/>
    </row>
    <row r="92" spans="1:16" s="64" customFormat="1" ht="19.5" customHeight="1" x14ac:dyDescent="0.25">
      <c r="A92" s="291" t="s">
        <v>204</v>
      </c>
      <c r="B92" s="282"/>
      <c r="C92" s="282"/>
      <c r="D92" s="285"/>
      <c r="E92" s="289"/>
      <c r="F92" s="289"/>
      <c r="G92" s="288"/>
      <c r="H92" s="186"/>
      <c r="I92" s="285"/>
      <c r="J92" s="285"/>
      <c r="K92" s="287"/>
      <c r="L92" s="286"/>
      <c r="M92" s="286"/>
      <c r="N92" s="285"/>
      <c r="O92" s="284"/>
      <c r="P92" s="279"/>
    </row>
    <row r="93" spans="1:16" s="64" customFormat="1" ht="19.5" customHeight="1" x14ac:dyDescent="0.25">
      <c r="A93" s="291" t="s">
        <v>203</v>
      </c>
      <c r="B93" s="282"/>
      <c r="C93" s="282"/>
      <c r="D93" s="285"/>
      <c r="E93" s="289"/>
      <c r="F93" s="289"/>
      <c r="G93" s="288"/>
      <c r="H93" s="186"/>
      <c r="I93" s="285"/>
      <c r="J93" s="285"/>
      <c r="K93" s="287"/>
      <c r="L93" s="286"/>
      <c r="M93" s="286"/>
      <c r="N93" s="285"/>
      <c r="O93" s="284"/>
      <c r="P93" s="279"/>
    </row>
    <row r="94" spans="1:16" s="64" customFormat="1" ht="19.5" customHeight="1" x14ac:dyDescent="0.25">
      <c r="A94" s="291" t="s">
        <v>203</v>
      </c>
      <c r="B94" s="282"/>
      <c r="C94" s="282"/>
      <c r="D94" s="285"/>
      <c r="E94" s="289"/>
      <c r="F94" s="289"/>
      <c r="G94" s="288"/>
      <c r="H94" s="186"/>
      <c r="I94" s="285"/>
      <c r="J94" s="285"/>
      <c r="K94" s="287"/>
      <c r="L94" s="286"/>
      <c r="M94" s="286"/>
      <c r="N94" s="285"/>
      <c r="O94" s="284"/>
      <c r="P94" s="279"/>
    </row>
    <row r="95" spans="1:16" s="64" customFormat="1" ht="19.5" customHeight="1" x14ac:dyDescent="0.25">
      <c r="A95" s="291" t="s">
        <v>197</v>
      </c>
      <c r="B95" s="282"/>
      <c r="C95" s="282"/>
      <c r="D95" s="285"/>
      <c r="E95" s="289"/>
      <c r="F95" s="289"/>
      <c r="G95" s="288"/>
      <c r="H95" s="186"/>
      <c r="I95" s="285"/>
      <c r="J95" s="285"/>
      <c r="K95" s="287"/>
      <c r="L95" s="286"/>
      <c r="M95" s="286"/>
      <c r="N95" s="285"/>
      <c r="O95" s="284"/>
      <c r="P95" s="279"/>
    </row>
    <row r="96" spans="1:16" s="64" customFormat="1" ht="19.5" customHeight="1" x14ac:dyDescent="0.25">
      <c r="A96" s="291" t="s">
        <v>202</v>
      </c>
      <c r="B96" s="282"/>
      <c r="C96" s="282"/>
      <c r="D96" s="285"/>
      <c r="E96" s="289"/>
      <c r="F96" s="289"/>
      <c r="G96" s="288"/>
      <c r="H96" s="186"/>
      <c r="I96" s="285"/>
      <c r="J96" s="285"/>
      <c r="K96" s="287"/>
      <c r="L96" s="286"/>
      <c r="M96" s="286"/>
      <c r="N96" s="285"/>
      <c r="O96" s="284"/>
      <c r="P96" s="279"/>
    </row>
    <row r="97" spans="1:16" s="64" customFormat="1" ht="19.5" customHeight="1" x14ac:dyDescent="0.25">
      <c r="A97" s="291" t="s">
        <v>201</v>
      </c>
      <c r="B97" s="282"/>
      <c r="C97" s="282"/>
      <c r="D97" s="285"/>
      <c r="E97" s="289"/>
      <c r="F97" s="289"/>
      <c r="G97" s="288"/>
      <c r="H97" s="186"/>
      <c r="I97" s="285"/>
      <c r="J97" s="285"/>
      <c r="K97" s="287"/>
      <c r="L97" s="286"/>
      <c r="M97" s="286"/>
      <c r="N97" s="285"/>
      <c r="O97" s="284"/>
      <c r="P97" s="279"/>
    </row>
    <row r="98" spans="1:16" s="64" customFormat="1" ht="19.5" customHeight="1" x14ac:dyDescent="0.25">
      <c r="A98" s="290"/>
      <c r="B98" s="282"/>
      <c r="C98" s="282"/>
      <c r="D98" s="285"/>
      <c r="E98" s="289"/>
      <c r="F98" s="289"/>
      <c r="G98" s="288"/>
      <c r="H98" s="186"/>
      <c r="I98" s="285"/>
      <c r="J98" s="285"/>
      <c r="K98" s="287"/>
      <c r="L98" s="286"/>
      <c r="M98" s="286"/>
      <c r="N98" s="285"/>
      <c r="O98" s="284"/>
      <c r="P98" s="279"/>
    </row>
    <row r="99" spans="1:16" s="64" customFormat="1" ht="19.5" customHeight="1" x14ac:dyDescent="0.25">
      <c r="A99" s="290" t="s">
        <v>200</v>
      </c>
      <c r="B99" s="282"/>
      <c r="C99" s="282"/>
      <c r="D99" s="285"/>
      <c r="E99" s="289"/>
      <c r="F99" s="289"/>
      <c r="G99" s="288"/>
      <c r="H99" s="186"/>
      <c r="I99" s="285"/>
      <c r="J99" s="285"/>
      <c r="K99" s="287"/>
      <c r="L99" s="286"/>
      <c r="M99" s="286"/>
      <c r="N99" s="285"/>
      <c r="O99" s="284"/>
      <c r="P99" s="279"/>
    </row>
    <row r="100" spans="1:16" s="64" customFormat="1" ht="19.5" customHeight="1" x14ac:dyDescent="0.25">
      <c r="A100" s="291" t="s">
        <v>199</v>
      </c>
      <c r="B100" s="282"/>
      <c r="C100" s="282"/>
      <c r="D100" s="285"/>
      <c r="E100" s="289"/>
      <c r="F100" s="289"/>
      <c r="G100" s="288"/>
      <c r="H100" s="186"/>
      <c r="I100" s="285"/>
      <c r="J100" s="285"/>
      <c r="K100" s="287"/>
      <c r="L100" s="286"/>
      <c r="M100" s="286"/>
      <c r="N100" s="285"/>
      <c r="O100" s="284"/>
      <c r="P100" s="279"/>
    </row>
    <row r="101" spans="1:16" s="64" customFormat="1" ht="19.5" customHeight="1" x14ac:dyDescent="0.25">
      <c r="A101" s="291" t="s">
        <v>198</v>
      </c>
      <c r="B101" s="282"/>
      <c r="C101" s="282"/>
      <c r="D101" s="285"/>
      <c r="E101" s="289"/>
      <c r="F101" s="289"/>
      <c r="G101" s="288"/>
      <c r="H101" s="186"/>
      <c r="I101" s="285"/>
      <c r="J101" s="285"/>
      <c r="K101" s="287"/>
      <c r="L101" s="286"/>
      <c r="M101" s="286"/>
      <c r="N101" s="285"/>
      <c r="O101" s="284"/>
      <c r="P101" s="279"/>
    </row>
    <row r="102" spans="1:16" s="64" customFormat="1" ht="19.5" customHeight="1" x14ac:dyDescent="0.25">
      <c r="A102" s="291" t="s">
        <v>197</v>
      </c>
      <c r="B102" s="282"/>
      <c r="C102" s="282"/>
      <c r="D102" s="285"/>
      <c r="E102" s="289"/>
      <c r="F102" s="289"/>
      <c r="G102" s="288"/>
      <c r="H102" s="186"/>
      <c r="I102" s="285"/>
      <c r="J102" s="285"/>
      <c r="K102" s="287"/>
      <c r="L102" s="286"/>
      <c r="M102" s="286"/>
      <c r="N102" s="285"/>
      <c r="O102" s="284"/>
      <c r="P102" s="279"/>
    </row>
    <row r="103" spans="1:16" s="64" customFormat="1" ht="19.5" customHeight="1" x14ac:dyDescent="0.25">
      <c r="A103" s="291" t="s">
        <v>196</v>
      </c>
      <c r="B103" s="282"/>
      <c r="C103" s="282"/>
      <c r="D103" s="285"/>
      <c r="E103" s="289"/>
      <c r="F103" s="289"/>
      <c r="G103" s="288"/>
      <c r="H103" s="186"/>
      <c r="I103" s="285"/>
      <c r="J103" s="285"/>
      <c r="K103" s="287"/>
      <c r="L103" s="286"/>
      <c r="M103" s="286"/>
      <c r="N103" s="285"/>
      <c r="O103" s="284"/>
      <c r="P103" s="279"/>
    </row>
    <row r="104" spans="1:16" s="64" customFormat="1" ht="19.5" customHeight="1" x14ac:dyDescent="0.25">
      <c r="A104" s="291"/>
      <c r="B104" s="282"/>
      <c r="C104" s="282"/>
      <c r="D104" s="285"/>
      <c r="E104" s="289"/>
      <c r="F104" s="289"/>
      <c r="G104" s="288"/>
      <c r="H104" s="186"/>
      <c r="I104" s="285"/>
      <c r="J104" s="285"/>
      <c r="K104" s="287"/>
      <c r="L104" s="286"/>
      <c r="M104" s="286"/>
      <c r="N104" s="285"/>
      <c r="O104" s="284"/>
      <c r="P104" s="279"/>
    </row>
    <row r="105" spans="1:16" s="64" customFormat="1" ht="19.5" customHeight="1" x14ac:dyDescent="0.25">
      <c r="A105" s="291"/>
      <c r="B105" s="282"/>
      <c r="C105" s="282"/>
      <c r="D105" s="285"/>
      <c r="E105" s="289"/>
      <c r="F105" s="289"/>
      <c r="G105" s="288"/>
      <c r="H105" s="186"/>
      <c r="I105" s="285"/>
      <c r="J105" s="285"/>
      <c r="K105" s="287"/>
      <c r="L105" s="286"/>
      <c r="M105" s="286"/>
      <c r="N105" s="285"/>
      <c r="O105" s="284"/>
      <c r="P105" s="279"/>
    </row>
    <row r="106" spans="1:16" s="64" customFormat="1" ht="19.5" customHeight="1" x14ac:dyDescent="0.25">
      <c r="A106" s="290"/>
      <c r="B106" s="282"/>
      <c r="C106" s="282"/>
      <c r="D106" s="285"/>
      <c r="E106" s="289"/>
      <c r="F106" s="289"/>
      <c r="G106" s="288"/>
      <c r="H106" s="186"/>
      <c r="I106" s="285"/>
      <c r="J106" s="285"/>
      <c r="K106" s="287"/>
      <c r="L106" s="286"/>
      <c r="M106" s="286"/>
      <c r="N106" s="285"/>
      <c r="O106" s="284"/>
      <c r="P106" s="279"/>
    </row>
    <row r="107" spans="1:16" s="64" customFormat="1" ht="19.5" customHeight="1" x14ac:dyDescent="0.25">
      <c r="A107" s="290"/>
      <c r="B107" s="282"/>
      <c r="C107" s="282"/>
      <c r="D107" s="285"/>
      <c r="E107" s="289"/>
      <c r="F107" s="289"/>
      <c r="G107" s="288"/>
      <c r="H107" s="186"/>
      <c r="I107" s="285"/>
      <c r="J107" s="285"/>
      <c r="K107" s="287"/>
      <c r="L107" s="286"/>
      <c r="M107" s="286"/>
      <c r="N107" s="285"/>
      <c r="O107" s="284"/>
      <c r="P107" s="279"/>
    </row>
    <row r="108" spans="1:16" s="64" customFormat="1" ht="19.5" customHeight="1" x14ac:dyDescent="0.25">
      <c r="A108" s="290"/>
      <c r="B108" s="282"/>
      <c r="C108" s="282"/>
      <c r="D108" s="285"/>
      <c r="E108" s="289"/>
      <c r="F108" s="289"/>
      <c r="G108" s="288"/>
      <c r="H108" s="186"/>
      <c r="I108" s="285"/>
      <c r="J108" s="285"/>
      <c r="K108" s="287"/>
      <c r="L108" s="286"/>
      <c r="M108" s="286"/>
      <c r="N108" s="285"/>
      <c r="O108" s="284"/>
      <c r="P108" s="279"/>
    </row>
    <row r="109" spans="1:16" s="64" customFormat="1" ht="19.5" customHeight="1" x14ac:dyDescent="0.25">
      <c r="A109" s="290"/>
      <c r="B109" s="282"/>
      <c r="C109" s="282"/>
      <c r="D109" s="285"/>
      <c r="E109" s="289"/>
      <c r="F109" s="289"/>
      <c r="G109" s="288"/>
      <c r="H109" s="186"/>
      <c r="I109" s="285"/>
      <c r="J109" s="285"/>
      <c r="K109" s="287"/>
      <c r="L109" s="286"/>
      <c r="M109" s="286"/>
      <c r="N109" s="285"/>
      <c r="O109" s="284"/>
      <c r="P109" s="279"/>
    </row>
    <row r="110" spans="1:16" s="64" customFormat="1" ht="19.5" customHeight="1" x14ac:dyDescent="0.25">
      <c r="A110" s="290"/>
      <c r="B110" s="282"/>
      <c r="C110" s="282"/>
      <c r="D110" s="285"/>
      <c r="E110" s="289"/>
      <c r="F110" s="289"/>
      <c r="G110" s="288"/>
      <c r="H110" s="186"/>
      <c r="I110" s="285"/>
      <c r="J110" s="285"/>
      <c r="K110" s="287"/>
      <c r="L110" s="286"/>
      <c r="M110" s="286"/>
      <c r="N110" s="285"/>
      <c r="O110" s="284"/>
      <c r="P110" s="279"/>
    </row>
    <row r="111" spans="1:16" s="64" customFormat="1" ht="19.5" customHeight="1" x14ac:dyDescent="0.25">
      <c r="A111" s="290"/>
      <c r="B111" s="282"/>
      <c r="C111" s="282"/>
      <c r="D111" s="285"/>
      <c r="E111" s="289"/>
      <c r="F111" s="289"/>
      <c r="G111" s="288"/>
      <c r="H111" s="186"/>
      <c r="I111" s="285"/>
      <c r="J111" s="285"/>
      <c r="K111" s="287"/>
      <c r="L111" s="286"/>
      <c r="M111" s="286"/>
      <c r="N111" s="285"/>
      <c r="O111" s="284"/>
      <c r="P111" s="279"/>
    </row>
    <row r="112" spans="1:16" s="64" customFormat="1" ht="19.5" customHeight="1" x14ac:dyDescent="0.25">
      <c r="A112" s="290"/>
      <c r="B112" s="282"/>
      <c r="C112" s="282"/>
      <c r="D112" s="285"/>
      <c r="E112" s="289"/>
      <c r="F112" s="289"/>
      <c r="G112" s="288"/>
      <c r="H112" s="186"/>
      <c r="I112" s="285"/>
      <c r="J112" s="285"/>
      <c r="K112" s="287"/>
      <c r="L112" s="286"/>
      <c r="M112" s="286"/>
      <c r="N112" s="285"/>
      <c r="O112" s="284"/>
      <c r="P112" s="279"/>
    </row>
    <row r="113" spans="1:16" s="64" customFormat="1" ht="19.5" customHeight="1" x14ac:dyDescent="0.25">
      <c r="A113" s="290"/>
      <c r="B113" s="282"/>
      <c r="C113" s="282"/>
      <c r="D113" s="285"/>
      <c r="E113" s="289"/>
      <c r="F113" s="289"/>
      <c r="G113" s="288"/>
      <c r="H113" s="186"/>
      <c r="I113" s="285"/>
      <c r="J113" s="285"/>
      <c r="K113" s="287"/>
      <c r="L113" s="286"/>
      <c r="M113" s="286"/>
      <c r="N113" s="285"/>
      <c r="O113" s="284"/>
      <c r="P113" s="279"/>
    </row>
    <row r="114" spans="1:16" s="64" customFormat="1" ht="19.5" customHeight="1" x14ac:dyDescent="0.25">
      <c r="A114" s="290"/>
      <c r="B114" s="282"/>
      <c r="C114" s="282"/>
      <c r="D114" s="285"/>
      <c r="E114" s="289"/>
      <c r="F114" s="289"/>
      <c r="G114" s="288"/>
      <c r="H114" s="186"/>
      <c r="I114" s="285"/>
      <c r="J114" s="285"/>
      <c r="K114" s="287"/>
      <c r="L114" s="286"/>
      <c r="M114" s="286"/>
      <c r="N114" s="285"/>
      <c r="O114" s="284"/>
      <c r="P114" s="279"/>
    </row>
    <row r="115" spans="1:16" s="64" customFormat="1" ht="19.5" customHeight="1" x14ac:dyDescent="0.25">
      <c r="A115" s="290"/>
      <c r="B115" s="282"/>
      <c r="C115" s="282"/>
      <c r="D115" s="285"/>
      <c r="E115" s="289"/>
      <c r="F115" s="289"/>
      <c r="G115" s="288"/>
      <c r="H115" s="186"/>
      <c r="I115" s="285"/>
      <c r="J115" s="285"/>
      <c r="K115" s="287"/>
      <c r="L115" s="286"/>
      <c r="M115" s="286"/>
      <c r="N115" s="285"/>
      <c r="O115" s="284"/>
      <c r="P115" s="279"/>
    </row>
    <row r="116" spans="1:16" s="64" customFormat="1" ht="19.5" customHeight="1" x14ac:dyDescent="0.25">
      <c r="A116" s="280" t="s">
        <v>195</v>
      </c>
      <c r="B116" s="282"/>
      <c r="C116" s="282"/>
      <c r="D116" s="283"/>
      <c r="E116" s="282" t="s">
        <v>194</v>
      </c>
      <c r="F116" s="282"/>
      <c r="G116" s="282"/>
      <c r="H116" s="280"/>
      <c r="I116" s="280"/>
      <c r="J116" s="278"/>
      <c r="K116" s="277"/>
      <c r="L116" s="280" t="s">
        <v>194</v>
      </c>
      <c r="M116" s="280"/>
      <c r="N116" s="280"/>
      <c r="O116" s="280"/>
      <c r="P116" s="14"/>
    </row>
    <row r="117" spans="1:16" s="64" customFormat="1" ht="19.5" customHeight="1" x14ac:dyDescent="0.25">
      <c r="A117" s="280"/>
      <c r="B117" s="282"/>
      <c r="C117" s="282"/>
      <c r="D117" s="283"/>
      <c r="E117" s="282"/>
      <c r="F117" s="282"/>
      <c r="G117" s="282"/>
      <c r="H117" s="280"/>
      <c r="I117" s="280"/>
      <c r="J117" s="278"/>
      <c r="K117" s="281"/>
      <c r="L117" s="280"/>
      <c r="M117" s="280"/>
      <c r="N117" s="280"/>
      <c r="O117" s="280"/>
      <c r="P117" s="279"/>
    </row>
    <row r="118" spans="1:16" s="64" customFormat="1" ht="19.5" customHeight="1" x14ac:dyDescent="0.25">
      <c r="A118" s="786" t="s">
        <v>193</v>
      </c>
      <c r="B118" s="786"/>
      <c r="C118" s="786"/>
      <c r="D118" s="278"/>
      <c r="E118" s="786" t="s">
        <v>192</v>
      </c>
      <c r="F118" s="786"/>
      <c r="G118" s="786"/>
      <c r="H118" s="786"/>
      <c r="I118" s="786"/>
      <c r="J118" s="278"/>
      <c r="K118" s="277"/>
      <c r="L118" s="786" t="s">
        <v>191</v>
      </c>
      <c r="M118" s="786"/>
      <c r="N118" s="786"/>
      <c r="O118" s="786"/>
      <c r="P118" s="276"/>
    </row>
    <row r="119" spans="1:16" s="64" customFormat="1" ht="19.5" customHeight="1" x14ac:dyDescent="0.25">
      <c r="A119" s="783"/>
      <c r="B119" s="783"/>
      <c r="C119" s="783"/>
      <c r="D119" s="278"/>
      <c r="E119" s="783" t="s">
        <v>190</v>
      </c>
      <c r="F119" s="783"/>
      <c r="G119" s="783"/>
      <c r="H119" s="783"/>
      <c r="I119" s="783"/>
      <c r="J119" s="278"/>
      <c r="K119" s="277"/>
      <c r="L119" s="783" t="s">
        <v>189</v>
      </c>
      <c r="M119" s="783"/>
      <c r="N119" s="783"/>
      <c r="O119" s="783"/>
      <c r="P119" s="276"/>
    </row>
    <row r="120" spans="1:16" s="64" customFormat="1" ht="19.5" customHeight="1" x14ac:dyDescent="0.2">
      <c r="A120" s="275"/>
      <c r="B120" s="273"/>
      <c r="C120" s="273"/>
      <c r="D120" s="274"/>
      <c r="E120" s="273"/>
      <c r="F120" s="272"/>
      <c r="G120" s="271"/>
      <c r="H120" s="270"/>
      <c r="I120" s="269"/>
      <c r="J120" s="266"/>
      <c r="K120" s="268"/>
      <c r="L120" s="267"/>
      <c r="M120" s="266"/>
      <c r="N120" s="266"/>
      <c r="O120" s="265"/>
      <c r="P120" s="264"/>
    </row>
    <row r="121" spans="1:16" ht="18.95" customHeight="1" x14ac:dyDescent="0.25">
      <c r="A121" s="827"/>
      <c r="B121" s="827"/>
      <c r="C121" s="827"/>
      <c r="D121" s="827"/>
      <c r="E121" s="827"/>
      <c r="F121" s="827"/>
      <c r="G121" s="827"/>
      <c r="H121" s="827"/>
      <c r="I121" s="827"/>
      <c r="J121" s="827"/>
      <c r="K121" s="827"/>
      <c r="L121" s="827"/>
      <c r="M121" s="827"/>
      <c r="N121" s="827"/>
      <c r="O121" s="827"/>
      <c r="P121" s="827"/>
    </row>
    <row r="122" spans="1:16" ht="18.95" customHeight="1" x14ac:dyDescent="0.25">
      <c r="A122" s="828"/>
      <c r="B122" s="828"/>
      <c r="C122" s="828"/>
      <c r="D122" s="828"/>
      <c r="E122" s="828"/>
      <c r="F122" s="828"/>
      <c r="G122" s="828"/>
      <c r="H122" s="828"/>
      <c r="I122" s="828"/>
      <c r="J122" s="828"/>
      <c r="K122" s="828"/>
      <c r="L122" s="828"/>
      <c r="M122" s="263"/>
      <c r="N122" s="263"/>
      <c r="O122" s="262"/>
      <c r="P122" s="19"/>
    </row>
    <row r="123" spans="1:16" ht="18.95" customHeight="1" x14ac:dyDescent="0.25">
      <c r="A123" s="261"/>
      <c r="B123" s="260"/>
      <c r="C123" s="260"/>
      <c r="D123" s="251"/>
      <c r="E123" s="260"/>
      <c r="F123" s="260"/>
      <c r="G123" s="259"/>
      <c r="H123" s="19"/>
      <c r="I123" s="251"/>
      <c r="J123" s="251"/>
      <c r="K123" s="258"/>
      <c r="P123" s="19"/>
    </row>
    <row r="131" spans="6:6" ht="18.95" customHeight="1" x14ac:dyDescent="0.2">
      <c r="F131" s="257"/>
    </row>
  </sheetData>
  <sortState xmlns:xlrd2="http://schemas.microsoft.com/office/spreadsheetml/2017/richdata2" ref="A58:T75">
    <sortCondition ref="A58:A75"/>
  </sortState>
  <mergeCells count="24">
    <mergeCell ref="A121:P121"/>
    <mergeCell ref="A122:L122"/>
    <mergeCell ref="A118:C118"/>
    <mergeCell ref="E118:I118"/>
    <mergeCell ref="L118:O118"/>
    <mergeCell ref="A119:C119"/>
    <mergeCell ref="E119:I119"/>
    <mergeCell ref="L119:O119"/>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 III</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dcterms:created xsi:type="dcterms:W3CDTF">2018-07-23T01:57:49Z</dcterms:created>
  <dcterms:modified xsi:type="dcterms:W3CDTF">2021-08-13T14:00:38Z</dcterms:modified>
</cp:coreProperties>
</file>