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Marieke\GitHub\Rice_Field_Damage_Philippines\app\data\source_data\rice_losses\"/>
    </mc:Choice>
  </mc:AlternateContent>
  <xr:revisionPtr revIDLastSave="0" documentId="13_ncr:1_{521ECC43-63C3-4E70-82A9-F38DFF1DE38E}" xr6:coauthVersionLast="47" xr6:coauthVersionMax="47" xr10:uidLastSave="{00000000-0000-0000-0000-000000000000}"/>
  <bookViews>
    <workbookView xWindow="-120" yWindow="-120" windowWidth="29040" windowHeight="16440" xr2:uid="{00000000-000D-0000-FFFF-FFFF00000000}"/>
  </bookViews>
  <sheets>
    <sheet name="RFO" sheetId="1" r:id="rId1"/>
    <sheet name="Ursula_Rice" sheetId="13" state="hidden" r:id="rId2"/>
    <sheet name="Rice-Urduja" sheetId="12" state="hidden" r:id="rId3"/>
    <sheet name="rice-Ruby" sheetId="11" state="hidden" r:id="rId4"/>
    <sheet name="rice-nona" sheetId="10" state="hidden" r:id="rId5"/>
    <sheet name="Rice_TISOY" sheetId="8" state="hidden" r:id="rId6"/>
    <sheet name="Rice_Glenda" sheetId="9" state="hidden" r:id="rId7"/>
  </sheets>
  <definedNames>
    <definedName name="_xlnm._FilterDatabase" localSheetId="5" hidden="1">Rice_TISOY!$A$27:$U$58</definedName>
    <definedName name="_xlnm._FilterDatabase" localSheetId="1" hidden="1">Ursula_Rice!$A$51:$U$52</definedName>
    <definedName name="Glenda_Biliran">Rice_Glenda!$A$24:$O$29</definedName>
    <definedName name="Glenda_ESamar">Rice_Glenda!$A$48:$L$53</definedName>
    <definedName name="Glenda_leyte">Rice_Glenda!$A$19:$L$21</definedName>
    <definedName name="Glenda_NSamar">Rice_Glenda!$A$58:$L$75</definedName>
    <definedName name="Glenda_Samar">Rice_Glenda!$A$32:$O$43</definedName>
    <definedName name="Nona_Biliran">'rice-nona'!$A$18:$P$19</definedName>
    <definedName name="Nona_ESamar">'rice-nona'!$A$25:$P$26</definedName>
    <definedName name="Nona_NSamar">'rice-nona'!$A$28:$P$46</definedName>
    <definedName name="Nona_Samar">'rice-nona'!$A$21:$P$23</definedName>
    <definedName name="_xlnm.Print_Area" localSheetId="6">Rice_Glenda!$A$1:$P$103</definedName>
    <definedName name="_xlnm.Print_Area" localSheetId="5">Rice_TISOY!$A$1:$R$72</definedName>
    <definedName name="_xlnm.Print_Area" localSheetId="4">'rice-nona'!$A$1:$Q$46</definedName>
    <definedName name="_xlnm.Print_Area" localSheetId="3">'rice-Ruby'!$A$1:$Q$119</definedName>
    <definedName name="_xlnm.Print_Area" localSheetId="2">'Rice-Urduja'!$A$1:$R$167</definedName>
    <definedName name="_xlnm.Print_Area" localSheetId="1">Ursula_Rice!$A$1:$R$71</definedName>
    <definedName name="_xlnm.Print_Titles" localSheetId="6">Rice_Glenda!$1:$15</definedName>
    <definedName name="_xlnm.Print_Titles" localSheetId="5">Rice_TISOY!$5:$14</definedName>
    <definedName name="_xlnm.Print_Titles" localSheetId="4">'rice-nona'!$1:$15</definedName>
    <definedName name="_xlnm.Print_Titles" localSheetId="3">'rice-Ruby'!$1:$15</definedName>
    <definedName name="_xlnm.Print_Titles" localSheetId="2">'Rice-Urduja'!$6:$15</definedName>
    <definedName name="_xlnm.Print_Titles" localSheetId="1">Ursula_Rice!$5:$14</definedName>
    <definedName name="Ruby_Biliran">'rice-Ruby'!$A$45:$P$51</definedName>
    <definedName name="Ruby_ESamar">'rice-Ruby'!$A$76:$P$93</definedName>
    <definedName name="Ruby_Leyte">'rice-Ruby'!$A$18:$P$42</definedName>
    <definedName name="Ruby_NSamar">'rice-Ruby'!$A$96:$P$113</definedName>
    <definedName name="Ruby_Samar">'rice-Ruby'!$A$54:$P$73</definedName>
    <definedName name="TISOY_BILIRAN">Rice_TISOY!$A$20:$P$25</definedName>
    <definedName name="Tisoy_ESamar">Rice_TISOY!$A$61:$R$67</definedName>
    <definedName name="Tisoy_NSamar">Rice_TISOY!$A$73:$P$88</definedName>
    <definedName name="Tisoy_wSamar">Rice_TISOY!$A$1:$R$72</definedName>
    <definedName name="Urduja_Biliran">'Rice-Urduja'!$A$64:$Q$70</definedName>
    <definedName name="Urduja_ESamar">'Rice-Urduja'!$A$123:$Q$145</definedName>
    <definedName name="Urduja_Leyte">'Rice-Urduja'!$A$19:$Q$60</definedName>
    <definedName name="Urduja_NSamar">'Rice-Urduja'!$A$155:$Q$169</definedName>
    <definedName name="Urduja_Samar">'Rice-Urduja'!$A$96:$Q$117</definedName>
    <definedName name="Urduja_SLeyte">'Rice-Urduja'!$A$76:$Q$90</definedName>
    <definedName name="Ursula_Biliran">Ursula_Rice!$A$43:$M$49</definedName>
    <definedName name="Ursula_ESamar">Ursula_Rice!$A$59:$M$62</definedName>
    <definedName name="Ursula_Leyte">Ursula_Rice!$A$18:$M$40</definedName>
    <definedName name="Ursula_WSamar">Ursula_Rice!$A$52:$M$56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8" i="1" l="1"/>
  <c r="K48" i="1"/>
  <c r="CE127" i="1" l="1"/>
  <c r="CE114" i="1"/>
  <c r="BY127" i="1" l="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G88" i="1"/>
  <c r="F88" i="1"/>
  <c r="D88" i="1"/>
  <c r="C88" i="1"/>
  <c r="B88" i="1"/>
  <c r="E87" i="1"/>
  <c r="E86" i="1"/>
  <c r="E85" i="1"/>
  <c r="E84" i="1"/>
  <c r="E83" i="1"/>
  <c r="E82" i="1"/>
  <c r="E81" i="1"/>
  <c r="E80" i="1"/>
  <c r="E79" i="1"/>
  <c r="E78" i="1"/>
  <c r="E77" i="1"/>
  <c r="E76" i="1"/>
  <c r="E75" i="1"/>
  <c r="E74" i="1"/>
  <c r="E73" i="1" s="1"/>
  <c r="G73" i="1"/>
  <c r="F73" i="1"/>
  <c r="D73" i="1"/>
  <c r="C73" i="1"/>
  <c r="B73" i="1"/>
  <c r="E72" i="1"/>
  <c r="E71" i="1"/>
  <c r="E70" i="1"/>
  <c r="E69" i="1"/>
  <c r="E68" i="1"/>
  <c r="E67" i="1"/>
  <c r="E66" i="1"/>
  <c r="E65" i="1"/>
  <c r="E64" i="1"/>
  <c r="E63" i="1"/>
  <c r="E62" i="1"/>
  <c r="E61" i="1"/>
  <c r="E60" i="1"/>
  <c r="E59" i="1"/>
  <c r="E51" i="1" s="1"/>
  <c r="E58" i="1"/>
  <c r="E57" i="1"/>
  <c r="E56" i="1"/>
  <c r="E55" i="1"/>
  <c r="E54" i="1"/>
  <c r="E53" i="1"/>
  <c r="E52" i="1"/>
  <c r="G51" i="1"/>
  <c r="F51" i="1"/>
  <c r="D51" i="1"/>
  <c r="C51" i="1"/>
  <c r="B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G21" i="1"/>
  <c r="F21" i="1"/>
  <c r="D21" i="1"/>
  <c r="C21" i="1"/>
  <c r="B21" i="1"/>
  <c r="E20" i="1"/>
  <c r="E19" i="1"/>
  <c r="E18" i="1"/>
  <c r="E17" i="1"/>
  <c r="E16" i="1"/>
  <c r="E15" i="1"/>
  <c r="E14" i="1"/>
  <c r="E13" i="1"/>
  <c r="E12" i="1"/>
  <c r="E11" i="1"/>
  <c r="E10" i="1" s="1"/>
  <c r="G10" i="1"/>
  <c r="F10" i="1"/>
  <c r="D10" i="1"/>
  <c r="C10" i="1"/>
  <c r="B10"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M88" i="1"/>
  <c r="L88" i="1"/>
  <c r="J88" i="1"/>
  <c r="I88" i="1"/>
  <c r="H88" i="1"/>
  <c r="K87" i="1"/>
  <c r="K86" i="1"/>
  <c r="K85" i="1"/>
  <c r="K84" i="1"/>
  <c r="K83" i="1"/>
  <c r="K82" i="1"/>
  <c r="K81" i="1"/>
  <c r="K80" i="1"/>
  <c r="K79" i="1"/>
  <c r="K78" i="1"/>
  <c r="K77" i="1"/>
  <c r="K76" i="1"/>
  <c r="K75" i="1"/>
  <c r="K74" i="1"/>
  <c r="M73" i="1"/>
  <c r="L73" i="1"/>
  <c r="J73" i="1"/>
  <c r="I73" i="1"/>
  <c r="H73" i="1"/>
  <c r="K72" i="1"/>
  <c r="K71" i="1"/>
  <c r="K70" i="1"/>
  <c r="K69" i="1"/>
  <c r="K68" i="1"/>
  <c r="K67" i="1"/>
  <c r="K66" i="1"/>
  <c r="K65" i="1"/>
  <c r="K64" i="1"/>
  <c r="K63" i="1"/>
  <c r="K62" i="1"/>
  <c r="K61" i="1"/>
  <c r="K60" i="1"/>
  <c r="K59" i="1"/>
  <c r="K58" i="1"/>
  <c r="K57" i="1"/>
  <c r="K56" i="1"/>
  <c r="K55" i="1"/>
  <c r="K54" i="1"/>
  <c r="K53" i="1"/>
  <c r="K52" i="1"/>
  <c r="M51" i="1"/>
  <c r="L51" i="1"/>
  <c r="J51" i="1"/>
  <c r="I51" i="1"/>
  <c r="H51" i="1"/>
  <c r="K50" i="1"/>
  <c r="K49" i="1"/>
  <c r="K47" i="1"/>
  <c r="K46" i="1"/>
  <c r="K45" i="1"/>
  <c r="K44" i="1"/>
  <c r="K43" i="1"/>
  <c r="K42" i="1"/>
  <c r="K41" i="1"/>
  <c r="K40" i="1"/>
  <c r="K39" i="1"/>
  <c r="K38" i="1"/>
  <c r="K37" i="1"/>
  <c r="K36" i="1"/>
  <c r="K35" i="1"/>
  <c r="K34" i="1"/>
  <c r="K33" i="1"/>
  <c r="K32" i="1"/>
  <c r="K31" i="1"/>
  <c r="K30" i="1"/>
  <c r="K29" i="1"/>
  <c r="K28" i="1"/>
  <c r="K27" i="1"/>
  <c r="K26" i="1"/>
  <c r="K25" i="1"/>
  <c r="K24" i="1"/>
  <c r="K23" i="1"/>
  <c r="K22" i="1"/>
  <c r="M21" i="1"/>
  <c r="L21" i="1"/>
  <c r="J21" i="1"/>
  <c r="I21" i="1"/>
  <c r="H21" i="1"/>
  <c r="K20" i="1"/>
  <c r="K19" i="1"/>
  <c r="K18" i="1"/>
  <c r="K17" i="1"/>
  <c r="K16" i="1"/>
  <c r="K15" i="1"/>
  <c r="K14" i="1"/>
  <c r="K13" i="1"/>
  <c r="K12" i="1"/>
  <c r="K11" i="1"/>
  <c r="M10" i="1"/>
  <c r="L10" i="1"/>
  <c r="J10" i="1"/>
  <c r="I10" i="1"/>
  <c r="H10"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S88" i="1"/>
  <c r="R88" i="1"/>
  <c r="P88" i="1"/>
  <c r="O88" i="1"/>
  <c r="N88" i="1"/>
  <c r="Q87" i="1"/>
  <c r="Q86" i="1"/>
  <c r="Q85" i="1"/>
  <c r="Q84" i="1"/>
  <c r="Q83" i="1"/>
  <c r="Q82" i="1"/>
  <c r="Q81" i="1"/>
  <c r="Q80" i="1"/>
  <c r="Q79" i="1"/>
  <c r="Q78" i="1"/>
  <c r="Q77" i="1"/>
  <c r="Q76" i="1"/>
  <c r="Q75" i="1"/>
  <c r="Q74" i="1"/>
  <c r="S73" i="1"/>
  <c r="R73" i="1"/>
  <c r="P73" i="1"/>
  <c r="O73" i="1"/>
  <c r="N73" i="1"/>
  <c r="Q72" i="1"/>
  <c r="Q71" i="1"/>
  <c r="Q70" i="1"/>
  <c r="Q69" i="1"/>
  <c r="Q68" i="1"/>
  <c r="Q67" i="1"/>
  <c r="Q66" i="1"/>
  <c r="Q65" i="1"/>
  <c r="Q64" i="1"/>
  <c r="Q63" i="1"/>
  <c r="Q62" i="1"/>
  <c r="Q61" i="1"/>
  <c r="Q60" i="1"/>
  <c r="Q59" i="1"/>
  <c r="Q58" i="1"/>
  <c r="Q57" i="1"/>
  <c r="Q56" i="1"/>
  <c r="Q55" i="1"/>
  <c r="Q54" i="1"/>
  <c r="Q53" i="1"/>
  <c r="Q52" i="1"/>
  <c r="S51" i="1"/>
  <c r="R51" i="1"/>
  <c r="P51" i="1"/>
  <c r="O51" i="1"/>
  <c r="N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S21" i="1"/>
  <c r="R21" i="1"/>
  <c r="P21" i="1"/>
  <c r="O21" i="1"/>
  <c r="N21" i="1"/>
  <c r="Q20" i="1"/>
  <c r="Q19" i="1"/>
  <c r="Q17" i="1"/>
  <c r="Q16" i="1"/>
  <c r="Q15" i="1"/>
  <c r="Q14" i="1"/>
  <c r="Q13" i="1"/>
  <c r="Q12" i="1"/>
  <c r="Q11" i="1"/>
  <c r="S10" i="1"/>
  <c r="R10" i="1"/>
  <c r="P10" i="1"/>
  <c r="O10" i="1"/>
  <c r="N10" i="1"/>
  <c r="AO128" i="1"/>
  <c r="AO127" i="1"/>
  <c r="AO126" i="1"/>
  <c r="AO125" i="1"/>
  <c r="AO124" i="1"/>
  <c r="AO123" i="1"/>
  <c r="AO122" i="1"/>
  <c r="AO121" i="1"/>
  <c r="AO120" i="1"/>
  <c r="AO119" i="1"/>
  <c r="AO118" i="1"/>
  <c r="AO117" i="1"/>
  <c r="AO116" i="1"/>
  <c r="AO115" i="1"/>
  <c r="AO114" i="1"/>
  <c r="AO113" i="1"/>
  <c r="AO112" i="1"/>
  <c r="AO111" i="1"/>
  <c r="AO110" i="1"/>
  <c r="AO109" i="1"/>
  <c r="AO108" i="1"/>
  <c r="AO107" i="1"/>
  <c r="AO106" i="1"/>
  <c r="AO105" i="1"/>
  <c r="AO104" i="1"/>
  <c r="AO103" i="1"/>
  <c r="AO102" i="1"/>
  <c r="AO101" i="1"/>
  <c r="AO100" i="1"/>
  <c r="AO99" i="1"/>
  <c r="AO98" i="1"/>
  <c r="AO97" i="1"/>
  <c r="AO96" i="1"/>
  <c r="AO95" i="1"/>
  <c r="AO94" i="1"/>
  <c r="AO93" i="1"/>
  <c r="AO92" i="1"/>
  <c r="AO91" i="1"/>
  <c r="AO90" i="1"/>
  <c r="AO89" i="1"/>
  <c r="AQ88" i="1"/>
  <c r="AP88" i="1"/>
  <c r="AN88" i="1"/>
  <c r="AM88" i="1"/>
  <c r="AL88" i="1"/>
  <c r="AO87" i="1"/>
  <c r="AO86" i="1"/>
  <c r="AO85" i="1"/>
  <c r="AO84" i="1"/>
  <c r="AO83" i="1"/>
  <c r="AO82" i="1"/>
  <c r="AO81" i="1"/>
  <c r="AO80" i="1"/>
  <c r="AO79" i="1"/>
  <c r="AO78" i="1"/>
  <c r="AO77" i="1"/>
  <c r="AO76" i="1"/>
  <c r="AO75" i="1"/>
  <c r="AO74" i="1"/>
  <c r="AQ73" i="1"/>
  <c r="AP73" i="1"/>
  <c r="AN73" i="1"/>
  <c r="AM73" i="1"/>
  <c r="AL73" i="1"/>
  <c r="AO72" i="1"/>
  <c r="AO71" i="1"/>
  <c r="AO70" i="1"/>
  <c r="AO69" i="1"/>
  <c r="AO68" i="1"/>
  <c r="AO67" i="1"/>
  <c r="AO66" i="1"/>
  <c r="AO65" i="1"/>
  <c r="AO64" i="1"/>
  <c r="AO63" i="1"/>
  <c r="AO62" i="1"/>
  <c r="AO61" i="1"/>
  <c r="AO60" i="1"/>
  <c r="AO59" i="1"/>
  <c r="AO58" i="1"/>
  <c r="AO57" i="1"/>
  <c r="AO56" i="1"/>
  <c r="AO55" i="1"/>
  <c r="AO54" i="1"/>
  <c r="AO53" i="1"/>
  <c r="AO52" i="1"/>
  <c r="AQ51" i="1"/>
  <c r="AP51" i="1"/>
  <c r="AN51" i="1"/>
  <c r="AM51" i="1"/>
  <c r="AL51" i="1"/>
  <c r="AO50" i="1"/>
  <c r="AO49" i="1"/>
  <c r="AO48" i="1"/>
  <c r="AO47" i="1"/>
  <c r="AO46" i="1"/>
  <c r="AO45" i="1"/>
  <c r="AO44" i="1"/>
  <c r="AO43" i="1"/>
  <c r="AO42" i="1"/>
  <c r="AO41" i="1"/>
  <c r="AO40" i="1"/>
  <c r="AO39" i="1"/>
  <c r="AO38" i="1"/>
  <c r="AO37" i="1"/>
  <c r="AO36" i="1"/>
  <c r="AO35" i="1"/>
  <c r="AO34" i="1"/>
  <c r="AO33" i="1"/>
  <c r="AO32" i="1"/>
  <c r="AO31" i="1"/>
  <c r="AO30" i="1"/>
  <c r="AO29" i="1"/>
  <c r="AO28" i="1"/>
  <c r="AO27" i="1"/>
  <c r="AO26" i="1"/>
  <c r="AO25" i="1"/>
  <c r="AO24" i="1"/>
  <c r="AO23" i="1"/>
  <c r="AO22" i="1"/>
  <c r="AQ21" i="1"/>
  <c r="AP21" i="1"/>
  <c r="AN21" i="1"/>
  <c r="AM21" i="1"/>
  <c r="AL21" i="1"/>
  <c r="AO20" i="1"/>
  <c r="AO19" i="1"/>
  <c r="AO18" i="1"/>
  <c r="AO17" i="1"/>
  <c r="AO16" i="1"/>
  <c r="AO15" i="1"/>
  <c r="AO14" i="1"/>
  <c r="AO13" i="1"/>
  <c r="AO12" i="1"/>
  <c r="AO11" i="1"/>
  <c r="AQ10" i="1"/>
  <c r="AP10" i="1"/>
  <c r="AN10" i="1"/>
  <c r="AM10" i="1"/>
  <c r="AL10" i="1"/>
  <c r="W50"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Y88" i="1"/>
  <c r="X88" i="1"/>
  <c r="V88" i="1"/>
  <c r="U88" i="1"/>
  <c r="T88" i="1"/>
  <c r="W87" i="1"/>
  <c r="W86" i="1"/>
  <c r="W85" i="1"/>
  <c r="W84" i="1"/>
  <c r="W83" i="1"/>
  <c r="W82" i="1"/>
  <c r="W81" i="1"/>
  <c r="W80" i="1"/>
  <c r="W79" i="1"/>
  <c r="W78" i="1"/>
  <c r="W77" i="1"/>
  <c r="W76" i="1"/>
  <c r="W75" i="1"/>
  <c r="W74" i="1"/>
  <c r="Y73" i="1"/>
  <c r="X73" i="1"/>
  <c r="V73" i="1"/>
  <c r="U73" i="1"/>
  <c r="T73" i="1"/>
  <c r="W72" i="1"/>
  <c r="W71" i="1"/>
  <c r="W70" i="1"/>
  <c r="W69" i="1"/>
  <c r="W68" i="1"/>
  <c r="W67" i="1"/>
  <c r="W66" i="1"/>
  <c r="W65" i="1"/>
  <c r="W64" i="1"/>
  <c r="W63" i="1"/>
  <c r="W62" i="1"/>
  <c r="W61" i="1"/>
  <c r="W60" i="1"/>
  <c r="W59" i="1"/>
  <c r="W58" i="1"/>
  <c r="W57" i="1"/>
  <c r="W56" i="1"/>
  <c r="W55" i="1"/>
  <c r="W54" i="1"/>
  <c r="W53" i="1"/>
  <c r="W52" i="1"/>
  <c r="Y51" i="1"/>
  <c r="X51" i="1"/>
  <c r="V51" i="1"/>
  <c r="U51" i="1"/>
  <c r="T51"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Y21" i="1"/>
  <c r="X21" i="1"/>
  <c r="V21" i="1"/>
  <c r="U21" i="1"/>
  <c r="T21" i="1"/>
  <c r="W20" i="1"/>
  <c r="W19" i="1"/>
  <c r="W18" i="1"/>
  <c r="W17" i="1"/>
  <c r="W16" i="1"/>
  <c r="W15" i="1"/>
  <c r="W14" i="1"/>
  <c r="W13" i="1"/>
  <c r="W12" i="1"/>
  <c r="W11" i="1"/>
  <c r="Y10" i="1"/>
  <c r="X10" i="1"/>
  <c r="V10" i="1"/>
  <c r="U10" i="1"/>
  <c r="T10" i="1"/>
  <c r="BV10" i="1"/>
  <c r="BV21" i="1"/>
  <c r="BV51" i="1"/>
  <c r="BV88" i="1"/>
  <c r="AE73" i="1"/>
  <c r="AD73" i="1"/>
  <c r="AB73" i="1"/>
  <c r="AA73" i="1"/>
  <c r="Z73" i="1"/>
  <c r="AK73" i="1"/>
  <c r="AJ73" i="1"/>
  <c r="AH73" i="1"/>
  <c r="AG73" i="1"/>
  <c r="AF73" i="1"/>
  <c r="AW73" i="1"/>
  <c r="AV73" i="1"/>
  <c r="AT73" i="1"/>
  <c r="AS73" i="1"/>
  <c r="AR73" i="1"/>
  <c r="BC73" i="1"/>
  <c r="BB73" i="1"/>
  <c r="AZ73" i="1"/>
  <c r="AY73" i="1"/>
  <c r="AX73" i="1"/>
  <c r="BI73" i="1"/>
  <c r="BH73" i="1"/>
  <c r="BF73" i="1"/>
  <c r="BE73" i="1"/>
  <c r="BD73" i="1"/>
  <c r="BO73" i="1"/>
  <c r="BN73" i="1"/>
  <c r="BL73" i="1"/>
  <c r="BK73" i="1"/>
  <c r="BJ73" i="1"/>
  <c r="BP73" i="1"/>
  <c r="BV73" i="1"/>
  <c r="E88" i="1" l="1"/>
  <c r="K88" i="1"/>
  <c r="K73" i="1"/>
  <c r="K10" i="1"/>
  <c r="E21" i="1"/>
  <c r="K51" i="1"/>
  <c r="K21" i="1"/>
  <c r="Q10" i="1"/>
  <c r="Q88" i="1"/>
  <c r="Q51" i="1"/>
  <c r="Q21" i="1"/>
  <c r="AO73" i="1"/>
  <c r="AO88" i="1"/>
  <c r="Q73" i="1"/>
  <c r="AO10" i="1"/>
  <c r="AO51" i="1"/>
  <c r="AO21" i="1"/>
  <c r="W51" i="1"/>
  <c r="W10" i="1"/>
  <c r="W73" i="1"/>
  <c r="W21" i="1"/>
  <c r="W88" i="1"/>
  <c r="CK128" i="1"/>
  <c r="CK126" i="1"/>
  <c r="CK125" i="1"/>
  <c r="CK124" i="1"/>
  <c r="CK123" i="1"/>
  <c r="CK122" i="1"/>
  <c r="CK121" i="1"/>
  <c r="CK120" i="1"/>
  <c r="CK119" i="1"/>
  <c r="CK118" i="1"/>
  <c r="CK117" i="1"/>
  <c r="CK116" i="1"/>
  <c r="CK115" i="1"/>
  <c r="CK114" i="1"/>
  <c r="CK113" i="1"/>
  <c r="CK112" i="1"/>
  <c r="CK111" i="1"/>
  <c r="CK110" i="1"/>
  <c r="CK109" i="1"/>
  <c r="CK108" i="1"/>
  <c r="CK107" i="1"/>
  <c r="CK106" i="1"/>
  <c r="CK105" i="1"/>
  <c r="CK104" i="1"/>
  <c r="CK103" i="1"/>
  <c r="CK102" i="1"/>
  <c r="CK101" i="1"/>
  <c r="CK100" i="1"/>
  <c r="CK99" i="1"/>
  <c r="CK98" i="1"/>
  <c r="CK97" i="1"/>
  <c r="CK96" i="1"/>
  <c r="CK95" i="1"/>
  <c r="CK94" i="1"/>
  <c r="CK93" i="1"/>
  <c r="CK92" i="1"/>
  <c r="CK91" i="1"/>
  <c r="CK90" i="1"/>
  <c r="CK89" i="1"/>
  <c r="CM88" i="1"/>
  <c r="CL88" i="1"/>
  <c r="CJ88" i="1"/>
  <c r="CI88" i="1"/>
  <c r="CH88" i="1"/>
  <c r="CK87" i="1"/>
  <c r="CK86" i="1"/>
  <c r="CK85" i="1"/>
  <c r="CK84" i="1"/>
  <c r="CK83" i="1"/>
  <c r="CK82" i="1"/>
  <c r="CK81" i="1"/>
  <c r="CK80" i="1"/>
  <c r="CK79" i="1"/>
  <c r="CK78" i="1"/>
  <c r="CK77" i="1"/>
  <c r="CK76" i="1"/>
  <c r="CK75" i="1"/>
  <c r="CK74" i="1"/>
  <c r="CM73" i="1"/>
  <c r="CL73" i="1"/>
  <c r="CJ73" i="1"/>
  <c r="CI73" i="1"/>
  <c r="CH73" i="1"/>
  <c r="CK72" i="1"/>
  <c r="CK71" i="1"/>
  <c r="CK70" i="1"/>
  <c r="CK69" i="1"/>
  <c r="CK68" i="1"/>
  <c r="CK67" i="1"/>
  <c r="CK66" i="1"/>
  <c r="CK65" i="1"/>
  <c r="CK64" i="1"/>
  <c r="CK63" i="1"/>
  <c r="CK62" i="1"/>
  <c r="CK61" i="1"/>
  <c r="CK60" i="1"/>
  <c r="CK59" i="1"/>
  <c r="CK58" i="1"/>
  <c r="CK57" i="1"/>
  <c r="CK56" i="1"/>
  <c r="CK55" i="1"/>
  <c r="CK54" i="1"/>
  <c r="CK53" i="1"/>
  <c r="CK52" i="1"/>
  <c r="CM51" i="1"/>
  <c r="CL51" i="1"/>
  <c r="CJ51" i="1"/>
  <c r="CI51" i="1"/>
  <c r="CH51" i="1"/>
  <c r="CK50" i="1"/>
  <c r="CK49" i="1"/>
  <c r="CK48" i="1"/>
  <c r="CK47" i="1"/>
  <c r="CK46" i="1"/>
  <c r="CK45" i="1"/>
  <c r="CK44" i="1"/>
  <c r="CK43" i="1"/>
  <c r="CK42" i="1"/>
  <c r="CK41" i="1"/>
  <c r="CK40" i="1"/>
  <c r="CK39" i="1"/>
  <c r="CK38" i="1"/>
  <c r="CK37" i="1"/>
  <c r="CK36" i="1"/>
  <c r="CK35" i="1"/>
  <c r="CK34" i="1"/>
  <c r="CK33" i="1"/>
  <c r="CK32" i="1"/>
  <c r="CK31" i="1"/>
  <c r="CK30" i="1"/>
  <c r="CK29" i="1"/>
  <c r="CK28" i="1"/>
  <c r="CK27" i="1"/>
  <c r="CK26" i="1"/>
  <c r="CK25" i="1"/>
  <c r="CK24" i="1"/>
  <c r="CK23" i="1"/>
  <c r="CK22" i="1"/>
  <c r="CM21" i="1"/>
  <c r="CL21" i="1"/>
  <c r="CJ21" i="1"/>
  <c r="CI21" i="1"/>
  <c r="CH21" i="1"/>
  <c r="CK20" i="1"/>
  <c r="CK19" i="1"/>
  <c r="CK18" i="1"/>
  <c r="CK17" i="1"/>
  <c r="CK16" i="1"/>
  <c r="CK15" i="1"/>
  <c r="CK14" i="1"/>
  <c r="CK13" i="1"/>
  <c r="CK12" i="1"/>
  <c r="CK11" i="1"/>
  <c r="CM10" i="1"/>
  <c r="CL10" i="1"/>
  <c r="CJ10" i="1"/>
  <c r="CI10" i="1"/>
  <c r="CH10" i="1"/>
  <c r="CE128" i="1"/>
  <c r="CE126" i="1"/>
  <c r="CE125" i="1"/>
  <c r="CE124" i="1"/>
  <c r="CE123" i="1"/>
  <c r="CE122" i="1"/>
  <c r="CE121" i="1"/>
  <c r="CE120" i="1"/>
  <c r="CE119" i="1"/>
  <c r="CE118" i="1"/>
  <c r="CE117" i="1"/>
  <c r="CE116" i="1"/>
  <c r="CE115" i="1"/>
  <c r="CE113" i="1"/>
  <c r="CE112" i="1"/>
  <c r="CE111" i="1"/>
  <c r="CE110" i="1"/>
  <c r="CE109" i="1"/>
  <c r="CE108" i="1"/>
  <c r="CE107" i="1"/>
  <c r="CE106" i="1"/>
  <c r="CE105" i="1"/>
  <c r="CE104" i="1"/>
  <c r="CE103" i="1"/>
  <c r="CE102" i="1"/>
  <c r="CE101" i="1"/>
  <c r="CE100" i="1"/>
  <c r="CE99" i="1"/>
  <c r="CE98" i="1"/>
  <c r="CE97" i="1"/>
  <c r="CE96" i="1"/>
  <c r="CE95" i="1"/>
  <c r="CE94" i="1"/>
  <c r="CE93" i="1"/>
  <c r="CE92" i="1"/>
  <c r="CE91" i="1"/>
  <c r="CE90" i="1"/>
  <c r="CE89" i="1"/>
  <c r="CG88" i="1"/>
  <c r="CF88" i="1"/>
  <c r="CD88" i="1"/>
  <c r="CC88" i="1"/>
  <c r="CB88" i="1"/>
  <c r="CE87" i="1"/>
  <c r="CE86" i="1"/>
  <c r="CE85" i="1"/>
  <c r="CE84" i="1"/>
  <c r="CE83" i="1"/>
  <c r="CE82" i="1"/>
  <c r="CE81" i="1"/>
  <c r="CE80" i="1"/>
  <c r="CE79" i="1"/>
  <c r="CE78" i="1"/>
  <c r="CE77" i="1"/>
  <c r="CE76" i="1"/>
  <c r="CE75" i="1"/>
  <c r="CE74" i="1"/>
  <c r="CG73" i="1"/>
  <c r="CF73" i="1"/>
  <c r="CD73" i="1"/>
  <c r="CC73" i="1"/>
  <c r="CB73" i="1"/>
  <c r="CE72" i="1"/>
  <c r="CE71" i="1"/>
  <c r="CE70" i="1"/>
  <c r="CE69" i="1"/>
  <c r="CE68" i="1"/>
  <c r="CE67" i="1"/>
  <c r="CE66" i="1"/>
  <c r="CE65" i="1"/>
  <c r="CE64" i="1"/>
  <c r="CE63" i="1"/>
  <c r="CE62" i="1"/>
  <c r="CE61" i="1"/>
  <c r="CE60" i="1"/>
  <c r="CE59" i="1"/>
  <c r="CE58" i="1"/>
  <c r="CE57" i="1"/>
  <c r="CE56" i="1"/>
  <c r="CE55" i="1"/>
  <c r="CE54" i="1"/>
  <c r="CE53" i="1"/>
  <c r="CE52" i="1"/>
  <c r="CG51" i="1"/>
  <c r="CF51" i="1"/>
  <c r="CD51" i="1"/>
  <c r="CC51" i="1"/>
  <c r="CB51" i="1"/>
  <c r="CE50" i="1"/>
  <c r="CE49" i="1"/>
  <c r="CE48" i="1"/>
  <c r="CE47" i="1"/>
  <c r="CE46" i="1"/>
  <c r="CE45" i="1"/>
  <c r="CE44" i="1"/>
  <c r="CE43" i="1"/>
  <c r="CE42" i="1"/>
  <c r="CE41" i="1"/>
  <c r="CE40" i="1"/>
  <c r="CE39" i="1"/>
  <c r="CE38" i="1"/>
  <c r="CE37" i="1"/>
  <c r="CE36" i="1"/>
  <c r="CE35" i="1"/>
  <c r="CE34" i="1"/>
  <c r="CE33" i="1"/>
  <c r="CE32" i="1"/>
  <c r="CE31" i="1"/>
  <c r="CE30" i="1"/>
  <c r="CE29" i="1"/>
  <c r="CE28" i="1"/>
  <c r="CE27" i="1"/>
  <c r="CE26" i="1"/>
  <c r="CE25" i="1"/>
  <c r="CE24" i="1"/>
  <c r="CE23" i="1"/>
  <c r="CE22" i="1"/>
  <c r="CG21" i="1"/>
  <c r="CF21" i="1"/>
  <c r="CD21" i="1"/>
  <c r="CC21" i="1"/>
  <c r="CB21" i="1"/>
  <c r="CE20" i="1"/>
  <c r="CE19" i="1"/>
  <c r="CE18" i="1"/>
  <c r="CE17" i="1"/>
  <c r="CE16" i="1"/>
  <c r="CE15" i="1"/>
  <c r="CE14" i="1"/>
  <c r="CE13" i="1"/>
  <c r="CE12" i="1"/>
  <c r="CE11" i="1"/>
  <c r="CG10" i="1"/>
  <c r="CF10" i="1"/>
  <c r="CD10" i="1"/>
  <c r="CC10" i="1"/>
  <c r="CB10" i="1"/>
  <c r="BY128" i="1"/>
  <c r="BY126" i="1"/>
  <c r="BY125" i="1"/>
  <c r="BY124" i="1"/>
  <c r="BY123" i="1"/>
  <c r="BY122" i="1"/>
  <c r="BY121" i="1"/>
  <c r="BY120" i="1"/>
  <c r="BY119" i="1"/>
  <c r="BY118" i="1"/>
  <c r="BY117" i="1"/>
  <c r="BY116" i="1"/>
  <c r="BY115" i="1"/>
  <c r="BY114" i="1"/>
  <c r="BY113" i="1"/>
  <c r="BY112" i="1"/>
  <c r="BY111" i="1"/>
  <c r="BY110" i="1"/>
  <c r="BY109" i="1"/>
  <c r="BY108" i="1"/>
  <c r="BY107" i="1"/>
  <c r="BY106" i="1"/>
  <c r="BY105" i="1"/>
  <c r="BY104" i="1"/>
  <c r="BY103" i="1"/>
  <c r="BY102" i="1"/>
  <c r="BY101" i="1"/>
  <c r="BY100" i="1"/>
  <c r="BY99" i="1"/>
  <c r="BY98" i="1"/>
  <c r="BY97" i="1"/>
  <c r="BY96" i="1"/>
  <c r="BY95" i="1"/>
  <c r="BY94" i="1"/>
  <c r="BY93" i="1"/>
  <c r="BY92" i="1"/>
  <c r="BY91" i="1"/>
  <c r="BY90" i="1"/>
  <c r="BY89" i="1"/>
  <c r="CA88" i="1"/>
  <c r="BZ88" i="1"/>
  <c r="BX88" i="1"/>
  <c r="BW88" i="1"/>
  <c r="BY87" i="1"/>
  <c r="BY86" i="1"/>
  <c r="BY85" i="1"/>
  <c r="BY84" i="1"/>
  <c r="BY83" i="1"/>
  <c r="BY82" i="1"/>
  <c r="BY81" i="1"/>
  <c r="BY80" i="1"/>
  <c r="BY79" i="1"/>
  <c r="BY78" i="1"/>
  <c r="BY77" i="1"/>
  <c r="BY76" i="1"/>
  <c r="BY75" i="1"/>
  <c r="BY74" i="1"/>
  <c r="CA73" i="1"/>
  <c r="BZ73" i="1"/>
  <c r="BX73" i="1"/>
  <c r="BW73" i="1"/>
  <c r="BY72" i="1"/>
  <c r="BY71" i="1"/>
  <c r="BY70" i="1"/>
  <c r="BY69" i="1"/>
  <c r="BY68" i="1"/>
  <c r="BY67" i="1"/>
  <c r="BY66" i="1"/>
  <c r="BY65" i="1"/>
  <c r="BY64" i="1"/>
  <c r="BY63" i="1"/>
  <c r="BY62" i="1"/>
  <c r="BY61" i="1"/>
  <c r="BY60" i="1"/>
  <c r="BY59" i="1"/>
  <c r="BY58" i="1"/>
  <c r="BY57" i="1"/>
  <c r="BY56" i="1"/>
  <c r="BY55" i="1"/>
  <c r="BY54" i="1"/>
  <c r="BY53" i="1"/>
  <c r="BY52" i="1"/>
  <c r="CA51" i="1"/>
  <c r="BZ51" i="1"/>
  <c r="BX51" i="1"/>
  <c r="BW51" i="1"/>
  <c r="BY50" i="1"/>
  <c r="BY49" i="1"/>
  <c r="BY48" i="1"/>
  <c r="BY47" i="1"/>
  <c r="BY46" i="1"/>
  <c r="BY45" i="1"/>
  <c r="BY44" i="1"/>
  <c r="BY43" i="1"/>
  <c r="BY42" i="1"/>
  <c r="BY41" i="1"/>
  <c r="BY40" i="1"/>
  <c r="BY39" i="1"/>
  <c r="BY38" i="1"/>
  <c r="BY37" i="1"/>
  <c r="BY36" i="1"/>
  <c r="BY35" i="1"/>
  <c r="BY34" i="1"/>
  <c r="BY33" i="1"/>
  <c r="BY32" i="1"/>
  <c r="BY31" i="1"/>
  <c r="BY30" i="1"/>
  <c r="BY29" i="1"/>
  <c r="BY28" i="1"/>
  <c r="BY27" i="1"/>
  <c r="BY26" i="1"/>
  <c r="BY25" i="1"/>
  <c r="BY24" i="1"/>
  <c r="BY23" i="1"/>
  <c r="BY22" i="1"/>
  <c r="CA21" i="1"/>
  <c r="BZ21" i="1"/>
  <c r="BX21" i="1"/>
  <c r="BW21" i="1"/>
  <c r="BY20" i="1"/>
  <c r="BY19" i="1"/>
  <c r="BY18" i="1"/>
  <c r="BY17" i="1"/>
  <c r="BY16" i="1"/>
  <c r="BY15" i="1"/>
  <c r="BY14" i="1"/>
  <c r="BY13" i="1"/>
  <c r="BY12" i="1"/>
  <c r="BY11" i="1"/>
  <c r="CA10" i="1"/>
  <c r="BZ10" i="1"/>
  <c r="BX10" i="1"/>
  <c r="BW10" i="1"/>
  <c r="BS128" i="1"/>
  <c r="BS126" i="1"/>
  <c r="BS125" i="1"/>
  <c r="BS124" i="1"/>
  <c r="BS123" i="1"/>
  <c r="BS122" i="1"/>
  <c r="BS121" i="1"/>
  <c r="BS120" i="1"/>
  <c r="BS119" i="1"/>
  <c r="BS118" i="1"/>
  <c r="BS117" i="1"/>
  <c r="BS116" i="1"/>
  <c r="BS115" i="1"/>
  <c r="BS114" i="1"/>
  <c r="BS113" i="1"/>
  <c r="BS112" i="1"/>
  <c r="BS111" i="1"/>
  <c r="BS110" i="1"/>
  <c r="BS109" i="1"/>
  <c r="BS108" i="1"/>
  <c r="BS107" i="1"/>
  <c r="BS106" i="1"/>
  <c r="BS105" i="1"/>
  <c r="BS104" i="1"/>
  <c r="BS103" i="1"/>
  <c r="BS102" i="1"/>
  <c r="BS101" i="1"/>
  <c r="BS100" i="1"/>
  <c r="BS99" i="1"/>
  <c r="BS98" i="1"/>
  <c r="BS97" i="1"/>
  <c r="BS96" i="1"/>
  <c r="BS95" i="1"/>
  <c r="BS94" i="1"/>
  <c r="BS93" i="1"/>
  <c r="BS92" i="1"/>
  <c r="BS91" i="1"/>
  <c r="BS90" i="1"/>
  <c r="BS89" i="1"/>
  <c r="BU88" i="1"/>
  <c r="BT88" i="1"/>
  <c r="BR88" i="1"/>
  <c r="BQ88" i="1"/>
  <c r="BP88" i="1"/>
  <c r="BS87" i="1"/>
  <c r="BS86" i="1"/>
  <c r="BS85" i="1"/>
  <c r="BS84" i="1"/>
  <c r="BS83" i="1"/>
  <c r="BS82" i="1"/>
  <c r="BS81" i="1"/>
  <c r="BS80" i="1"/>
  <c r="BS79" i="1"/>
  <c r="BS78" i="1"/>
  <c r="BS77" i="1"/>
  <c r="BS76" i="1"/>
  <c r="BS75" i="1"/>
  <c r="BS74" i="1"/>
  <c r="BU73" i="1"/>
  <c r="BT73" i="1"/>
  <c r="BR73" i="1"/>
  <c r="BQ73" i="1"/>
  <c r="BS72" i="1"/>
  <c r="BS71" i="1"/>
  <c r="BS70" i="1"/>
  <c r="BS69" i="1"/>
  <c r="BS68" i="1"/>
  <c r="BS67" i="1"/>
  <c r="BS66" i="1"/>
  <c r="BS65" i="1"/>
  <c r="BS64" i="1"/>
  <c r="BS63" i="1"/>
  <c r="BS62" i="1"/>
  <c r="BS61" i="1"/>
  <c r="BS60" i="1"/>
  <c r="BS59" i="1"/>
  <c r="BS58" i="1"/>
  <c r="BS57" i="1"/>
  <c r="BS56" i="1"/>
  <c r="BS55" i="1"/>
  <c r="BS54" i="1"/>
  <c r="BS53" i="1"/>
  <c r="BS52" i="1"/>
  <c r="BU51" i="1"/>
  <c r="BT51" i="1"/>
  <c r="BR51" i="1"/>
  <c r="BQ51" i="1"/>
  <c r="BP51" i="1"/>
  <c r="BS50" i="1"/>
  <c r="BS49" i="1"/>
  <c r="BS48" i="1"/>
  <c r="BS47" i="1"/>
  <c r="BS46" i="1"/>
  <c r="BS45" i="1"/>
  <c r="BS44" i="1"/>
  <c r="BS43" i="1"/>
  <c r="BS42" i="1"/>
  <c r="BS41" i="1"/>
  <c r="BS40" i="1"/>
  <c r="BS39" i="1"/>
  <c r="BS38" i="1"/>
  <c r="BS37" i="1"/>
  <c r="BS36" i="1"/>
  <c r="BS35" i="1"/>
  <c r="BS34" i="1"/>
  <c r="BS33" i="1"/>
  <c r="BS32" i="1"/>
  <c r="BS31" i="1"/>
  <c r="BS30" i="1"/>
  <c r="BS29" i="1"/>
  <c r="BS28" i="1"/>
  <c r="BS27" i="1"/>
  <c r="BS26" i="1"/>
  <c r="BS25" i="1"/>
  <c r="BS24" i="1"/>
  <c r="BS23" i="1"/>
  <c r="BS22" i="1"/>
  <c r="BU21" i="1"/>
  <c r="BT21" i="1"/>
  <c r="BR21" i="1"/>
  <c r="BQ21" i="1"/>
  <c r="BP21" i="1"/>
  <c r="BS20" i="1"/>
  <c r="BS19" i="1"/>
  <c r="BS18" i="1"/>
  <c r="BS17" i="1"/>
  <c r="BS16" i="1"/>
  <c r="BS15" i="1"/>
  <c r="BS14" i="1"/>
  <c r="BS13" i="1"/>
  <c r="BS12" i="1"/>
  <c r="BS11" i="1"/>
  <c r="BU10" i="1"/>
  <c r="BT10" i="1"/>
  <c r="BR10" i="1"/>
  <c r="BQ10" i="1"/>
  <c r="BP10" i="1"/>
  <c r="BG127" i="1"/>
  <c r="BG79" i="1"/>
  <c r="BS10" i="1" l="1"/>
  <c r="CE88" i="1"/>
  <c r="CK73" i="1"/>
  <c r="CE51" i="1"/>
  <c r="CE73" i="1"/>
  <c r="CE21" i="1"/>
  <c r="BY21" i="1"/>
  <c r="CE10" i="1"/>
  <c r="BS21" i="1"/>
  <c r="CK88" i="1"/>
  <c r="BY88" i="1"/>
  <c r="CK51" i="1"/>
  <c r="CK21" i="1"/>
  <c r="CK10" i="1"/>
  <c r="BY51" i="1"/>
  <c r="BY73" i="1"/>
  <c r="BY10" i="1"/>
  <c r="BS73" i="1"/>
  <c r="BS88" i="1"/>
  <c r="BS51" i="1"/>
  <c r="BB21" i="1"/>
  <c r="AU127" i="1"/>
  <c r="AC127" i="1"/>
  <c r="AI128" i="1" l="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5" i="1"/>
  <c r="AI94" i="1"/>
  <c r="AI93" i="1"/>
  <c r="AI92" i="1"/>
  <c r="AI91" i="1"/>
  <c r="AI90" i="1"/>
  <c r="AI89" i="1"/>
  <c r="AK88" i="1"/>
  <c r="AJ88" i="1"/>
  <c r="AH88" i="1"/>
  <c r="AG88" i="1"/>
  <c r="AF88" i="1"/>
  <c r="AI87" i="1"/>
  <c r="AI86" i="1"/>
  <c r="AI85" i="1"/>
  <c r="AI84" i="1"/>
  <c r="AI83" i="1"/>
  <c r="AI82" i="1"/>
  <c r="AI81" i="1"/>
  <c r="AI80" i="1"/>
  <c r="AI79" i="1"/>
  <c r="AI78" i="1"/>
  <c r="AI77" i="1"/>
  <c r="AI76" i="1"/>
  <c r="AI75" i="1"/>
  <c r="AI74" i="1"/>
  <c r="AI72" i="1"/>
  <c r="AI71" i="1"/>
  <c r="AI70" i="1"/>
  <c r="AI69" i="1"/>
  <c r="AI68" i="1"/>
  <c r="AI67" i="1"/>
  <c r="AI66" i="1"/>
  <c r="AI65" i="1"/>
  <c r="AI64" i="1"/>
  <c r="AI63" i="1"/>
  <c r="AI62" i="1"/>
  <c r="AI61" i="1"/>
  <c r="AI60" i="1"/>
  <c r="AI59" i="1"/>
  <c r="AI58" i="1"/>
  <c r="AI57" i="1"/>
  <c r="AI56" i="1"/>
  <c r="AI55" i="1"/>
  <c r="AI54" i="1"/>
  <c r="AI53" i="1"/>
  <c r="AI52" i="1"/>
  <c r="AK51" i="1"/>
  <c r="AJ51" i="1"/>
  <c r="AH51" i="1"/>
  <c r="AG51" i="1"/>
  <c r="AF51" i="1"/>
  <c r="AI50" i="1"/>
  <c r="AI49" i="1"/>
  <c r="AI48" i="1"/>
  <c r="AI47" i="1"/>
  <c r="AI46" i="1"/>
  <c r="AI45" i="1"/>
  <c r="AI44" i="1"/>
  <c r="AI43" i="1"/>
  <c r="AI42" i="1"/>
  <c r="AI41" i="1"/>
  <c r="AI40" i="1"/>
  <c r="AI39" i="1"/>
  <c r="AI38" i="1"/>
  <c r="AI37" i="1"/>
  <c r="AI36" i="1"/>
  <c r="AI35" i="1"/>
  <c r="AI34" i="1"/>
  <c r="AI33" i="1"/>
  <c r="AI32" i="1"/>
  <c r="AI31" i="1"/>
  <c r="AI30" i="1"/>
  <c r="AI29" i="1"/>
  <c r="AI28" i="1"/>
  <c r="AI27" i="1"/>
  <c r="AI26" i="1"/>
  <c r="AI25" i="1"/>
  <c r="AI24" i="1"/>
  <c r="AI23" i="1"/>
  <c r="AI22" i="1"/>
  <c r="AK21" i="1"/>
  <c r="AJ21" i="1"/>
  <c r="AH21" i="1"/>
  <c r="AG21" i="1"/>
  <c r="AF21" i="1"/>
  <c r="AI20" i="1"/>
  <c r="AI19" i="1"/>
  <c r="AI18" i="1"/>
  <c r="AI17" i="1"/>
  <c r="AI16" i="1"/>
  <c r="AI15" i="1"/>
  <c r="AI14" i="1"/>
  <c r="AI13" i="1"/>
  <c r="AI12" i="1"/>
  <c r="AI11" i="1"/>
  <c r="AK10" i="1"/>
  <c r="AJ10" i="1"/>
  <c r="AH10" i="1"/>
  <c r="AG10" i="1"/>
  <c r="AF10" i="1"/>
  <c r="AI73" i="1" l="1"/>
  <c r="AI88" i="1"/>
  <c r="AI51" i="1"/>
  <c r="AI10" i="1"/>
  <c r="AI21" i="1"/>
  <c r="BM128" i="1"/>
  <c r="BM126" i="1"/>
  <c r="BM125" i="1"/>
  <c r="BM124" i="1"/>
  <c r="BM123" i="1"/>
  <c r="BM122" i="1"/>
  <c r="BM121" i="1"/>
  <c r="BM120" i="1"/>
  <c r="BM119" i="1"/>
  <c r="BM118" i="1"/>
  <c r="BM117" i="1"/>
  <c r="BM116" i="1"/>
  <c r="BM115" i="1"/>
  <c r="BM114" i="1"/>
  <c r="BM113" i="1"/>
  <c r="BM112" i="1"/>
  <c r="BM111" i="1"/>
  <c r="BM110" i="1"/>
  <c r="BM109" i="1"/>
  <c r="BM108" i="1"/>
  <c r="BM107" i="1"/>
  <c r="BM106" i="1"/>
  <c r="BM105" i="1"/>
  <c r="BM104" i="1"/>
  <c r="BM103" i="1"/>
  <c r="BM102" i="1"/>
  <c r="BM101" i="1"/>
  <c r="BM100" i="1"/>
  <c r="BM99" i="1"/>
  <c r="BM98" i="1"/>
  <c r="BM97" i="1"/>
  <c r="BM96" i="1"/>
  <c r="BM95" i="1"/>
  <c r="BM94" i="1"/>
  <c r="BM93" i="1"/>
  <c r="BM92" i="1"/>
  <c r="BM91" i="1"/>
  <c r="BM90" i="1"/>
  <c r="BM89" i="1"/>
  <c r="BO88" i="1"/>
  <c r="BN88" i="1"/>
  <c r="BL88" i="1"/>
  <c r="BK88" i="1"/>
  <c r="BJ88" i="1"/>
  <c r="BM87" i="1"/>
  <c r="BM86" i="1"/>
  <c r="BM85" i="1"/>
  <c r="BM84" i="1"/>
  <c r="BM83" i="1"/>
  <c r="BM82" i="1"/>
  <c r="BM81" i="1"/>
  <c r="BM80" i="1"/>
  <c r="BM79" i="1"/>
  <c r="BM78" i="1"/>
  <c r="BM77" i="1"/>
  <c r="BM76" i="1"/>
  <c r="BM75" i="1"/>
  <c r="BM74" i="1"/>
  <c r="BM72" i="1"/>
  <c r="BM71" i="1"/>
  <c r="BM70" i="1"/>
  <c r="BM69" i="1"/>
  <c r="BM68" i="1"/>
  <c r="BM67" i="1"/>
  <c r="BM66" i="1"/>
  <c r="BM65" i="1"/>
  <c r="BM64" i="1"/>
  <c r="BM63" i="1"/>
  <c r="BM62" i="1"/>
  <c r="BM61" i="1"/>
  <c r="BM60" i="1"/>
  <c r="BM59" i="1"/>
  <c r="BM58" i="1"/>
  <c r="BM57" i="1"/>
  <c r="BM56" i="1"/>
  <c r="BM55" i="1"/>
  <c r="BM54" i="1"/>
  <c r="BM53" i="1"/>
  <c r="BM52" i="1"/>
  <c r="BO51" i="1"/>
  <c r="BN51" i="1"/>
  <c r="BL51" i="1"/>
  <c r="BK51" i="1"/>
  <c r="BJ51" i="1"/>
  <c r="BM50" i="1"/>
  <c r="BM49" i="1"/>
  <c r="BM48" i="1"/>
  <c r="BM47" i="1"/>
  <c r="BM46" i="1"/>
  <c r="BM45" i="1"/>
  <c r="BM44" i="1"/>
  <c r="BM43" i="1"/>
  <c r="BM42" i="1"/>
  <c r="BM41" i="1"/>
  <c r="BM40" i="1"/>
  <c r="BM39" i="1"/>
  <c r="BM38" i="1"/>
  <c r="BM37" i="1"/>
  <c r="BM36" i="1"/>
  <c r="BM35" i="1"/>
  <c r="BM34" i="1"/>
  <c r="BM33" i="1"/>
  <c r="BM32" i="1"/>
  <c r="BM31" i="1"/>
  <c r="BM30" i="1"/>
  <c r="BM29" i="1"/>
  <c r="BM28" i="1"/>
  <c r="BM27" i="1"/>
  <c r="BM26" i="1"/>
  <c r="BM25" i="1"/>
  <c r="BM24" i="1"/>
  <c r="BM23" i="1"/>
  <c r="BM22" i="1"/>
  <c r="BO21" i="1"/>
  <c r="BN21" i="1"/>
  <c r="BL21" i="1"/>
  <c r="BK21" i="1"/>
  <c r="BJ21" i="1"/>
  <c r="BM20" i="1"/>
  <c r="BM19" i="1"/>
  <c r="BM18" i="1"/>
  <c r="BM17" i="1"/>
  <c r="BM16" i="1"/>
  <c r="BM15" i="1"/>
  <c r="BM14" i="1"/>
  <c r="BM13" i="1"/>
  <c r="BM12" i="1"/>
  <c r="BM11" i="1"/>
  <c r="BO10" i="1"/>
  <c r="BN10" i="1"/>
  <c r="BL10" i="1"/>
  <c r="BK10" i="1"/>
  <c r="BJ10" i="1"/>
  <c r="BG128" i="1"/>
  <c r="BG126" i="1"/>
  <c r="BG125" i="1"/>
  <c r="BG124" i="1"/>
  <c r="BG123" i="1"/>
  <c r="BG122" i="1"/>
  <c r="BG121" i="1"/>
  <c r="BG120" i="1"/>
  <c r="BG119" i="1"/>
  <c r="BG118" i="1"/>
  <c r="BG117" i="1"/>
  <c r="BG116" i="1"/>
  <c r="BG115" i="1"/>
  <c r="BG114" i="1"/>
  <c r="BG113" i="1"/>
  <c r="BG112" i="1"/>
  <c r="BG111" i="1"/>
  <c r="BG110" i="1"/>
  <c r="BG109" i="1"/>
  <c r="BG108" i="1"/>
  <c r="BG107" i="1"/>
  <c r="BG106" i="1"/>
  <c r="BG105" i="1"/>
  <c r="BG104" i="1"/>
  <c r="BG103" i="1"/>
  <c r="BG102" i="1"/>
  <c r="BG101" i="1"/>
  <c r="BG100" i="1"/>
  <c r="BG99" i="1"/>
  <c r="BG98" i="1"/>
  <c r="BG97" i="1"/>
  <c r="BG96" i="1"/>
  <c r="BG95" i="1"/>
  <c r="BG94" i="1"/>
  <c r="BG93" i="1"/>
  <c r="BG92" i="1"/>
  <c r="BG91" i="1"/>
  <c r="BG90" i="1"/>
  <c r="BG89" i="1"/>
  <c r="BI88" i="1"/>
  <c r="BH88" i="1"/>
  <c r="BF88" i="1"/>
  <c r="BE88" i="1"/>
  <c r="BD88" i="1"/>
  <c r="BG87" i="1"/>
  <c r="BG86" i="1"/>
  <c r="BG85" i="1"/>
  <c r="BG84" i="1"/>
  <c r="BG83" i="1"/>
  <c r="BG82" i="1"/>
  <c r="BG81" i="1"/>
  <c r="BG80" i="1"/>
  <c r="BG78" i="1"/>
  <c r="BG77" i="1"/>
  <c r="BG76" i="1"/>
  <c r="BG75" i="1"/>
  <c r="BG74" i="1"/>
  <c r="BG72" i="1"/>
  <c r="BG71" i="1"/>
  <c r="BG70" i="1"/>
  <c r="BG69" i="1"/>
  <c r="BG68" i="1"/>
  <c r="BG67" i="1"/>
  <c r="BG66" i="1"/>
  <c r="BG65" i="1"/>
  <c r="BG64" i="1"/>
  <c r="BG63" i="1"/>
  <c r="BG62" i="1"/>
  <c r="BG61" i="1"/>
  <c r="BG60" i="1"/>
  <c r="BG59" i="1"/>
  <c r="BG58" i="1"/>
  <c r="BG57" i="1"/>
  <c r="BG56" i="1"/>
  <c r="BG55" i="1"/>
  <c r="BG54" i="1"/>
  <c r="BG53" i="1"/>
  <c r="BG52" i="1"/>
  <c r="BI51" i="1"/>
  <c r="BH51" i="1"/>
  <c r="BF51" i="1"/>
  <c r="BE51" i="1"/>
  <c r="BD51" i="1"/>
  <c r="BG50" i="1"/>
  <c r="BG49" i="1"/>
  <c r="BG48" i="1"/>
  <c r="BG47" i="1"/>
  <c r="BG46" i="1"/>
  <c r="BG45" i="1"/>
  <c r="BG44" i="1"/>
  <c r="BG43" i="1"/>
  <c r="BG42" i="1"/>
  <c r="BG41" i="1"/>
  <c r="BG40" i="1"/>
  <c r="BG39" i="1"/>
  <c r="BG38" i="1"/>
  <c r="BG37" i="1"/>
  <c r="BG36" i="1"/>
  <c r="BG35" i="1"/>
  <c r="BG34" i="1"/>
  <c r="BG33" i="1"/>
  <c r="BG32" i="1"/>
  <c r="BG31" i="1"/>
  <c r="BG30" i="1"/>
  <c r="BG29" i="1"/>
  <c r="BG28" i="1"/>
  <c r="BG27" i="1"/>
  <c r="BG26" i="1"/>
  <c r="BG25" i="1"/>
  <c r="BG24" i="1"/>
  <c r="BG23" i="1"/>
  <c r="BG22" i="1"/>
  <c r="BI21" i="1"/>
  <c r="BH21" i="1"/>
  <c r="BF21" i="1"/>
  <c r="BE21" i="1"/>
  <c r="BD21" i="1"/>
  <c r="BG20" i="1"/>
  <c r="BG18" i="1"/>
  <c r="BG17" i="1"/>
  <c r="BG16" i="1"/>
  <c r="BG15" i="1"/>
  <c r="BG14" i="1"/>
  <c r="BG13" i="1"/>
  <c r="BG12" i="1"/>
  <c r="BG11" i="1"/>
  <c r="BI10" i="1"/>
  <c r="BH10" i="1"/>
  <c r="BF10" i="1"/>
  <c r="BE10" i="1"/>
  <c r="BD10" i="1"/>
  <c r="AU128" i="1"/>
  <c r="AU126" i="1"/>
  <c r="AU125" i="1"/>
  <c r="AU124" i="1"/>
  <c r="AU123" i="1"/>
  <c r="AU122" i="1"/>
  <c r="AU121" i="1"/>
  <c r="AU120" i="1"/>
  <c r="AU119" i="1"/>
  <c r="AU118" i="1"/>
  <c r="AU117" i="1"/>
  <c r="AU116" i="1"/>
  <c r="AU115" i="1"/>
  <c r="AU114" i="1"/>
  <c r="AU113" i="1"/>
  <c r="AU112" i="1"/>
  <c r="AU111" i="1"/>
  <c r="AU110" i="1"/>
  <c r="AU109" i="1"/>
  <c r="AU108" i="1"/>
  <c r="AU107" i="1"/>
  <c r="AU106" i="1"/>
  <c r="AU105" i="1"/>
  <c r="AU104" i="1"/>
  <c r="AU103" i="1"/>
  <c r="AU102" i="1"/>
  <c r="AU101" i="1"/>
  <c r="AU100" i="1"/>
  <c r="AU99" i="1"/>
  <c r="AU98" i="1"/>
  <c r="AU97" i="1"/>
  <c r="AU95" i="1"/>
  <c r="AU94" i="1"/>
  <c r="AU93" i="1"/>
  <c r="AU92" i="1"/>
  <c r="AU91" i="1"/>
  <c r="AU90" i="1"/>
  <c r="AU89" i="1"/>
  <c r="AW88" i="1"/>
  <c r="AV88" i="1"/>
  <c r="AT88" i="1"/>
  <c r="AS88" i="1"/>
  <c r="AR88" i="1"/>
  <c r="AU87" i="1"/>
  <c r="AU86" i="1"/>
  <c r="AU85" i="1"/>
  <c r="AU84" i="1"/>
  <c r="AU83" i="1"/>
  <c r="AU82" i="1"/>
  <c r="AU81" i="1"/>
  <c r="AU80" i="1"/>
  <c r="AU79" i="1"/>
  <c r="AU78" i="1"/>
  <c r="AU77" i="1"/>
  <c r="AU76" i="1"/>
  <c r="AU75" i="1"/>
  <c r="AU74" i="1"/>
  <c r="AU72" i="1"/>
  <c r="AU71" i="1"/>
  <c r="AU70" i="1"/>
  <c r="AU69" i="1"/>
  <c r="AU68" i="1"/>
  <c r="AU67" i="1"/>
  <c r="AU66" i="1"/>
  <c r="AU65" i="1"/>
  <c r="AU64" i="1"/>
  <c r="AU63" i="1"/>
  <c r="AU62" i="1"/>
  <c r="AU61" i="1"/>
  <c r="AU60" i="1"/>
  <c r="AU59" i="1"/>
  <c r="AU58" i="1"/>
  <c r="AU57" i="1"/>
  <c r="AU56" i="1"/>
  <c r="AU55" i="1"/>
  <c r="AU54" i="1"/>
  <c r="AU53" i="1"/>
  <c r="AU52" i="1"/>
  <c r="AW51" i="1"/>
  <c r="AV51" i="1"/>
  <c r="AT51" i="1"/>
  <c r="AS51" i="1"/>
  <c r="AR51" i="1"/>
  <c r="AU50" i="1"/>
  <c r="AU49" i="1"/>
  <c r="AU48" i="1"/>
  <c r="AU47" i="1"/>
  <c r="AU46" i="1"/>
  <c r="AU45" i="1"/>
  <c r="AU44" i="1"/>
  <c r="AU43" i="1"/>
  <c r="AU42" i="1"/>
  <c r="AU41" i="1"/>
  <c r="AU40" i="1"/>
  <c r="AU39" i="1"/>
  <c r="AU38" i="1"/>
  <c r="AU37" i="1"/>
  <c r="AU36" i="1"/>
  <c r="AU35" i="1"/>
  <c r="AU34" i="1"/>
  <c r="AU33" i="1"/>
  <c r="AU32" i="1"/>
  <c r="AU31" i="1"/>
  <c r="AU30" i="1"/>
  <c r="AU29" i="1"/>
  <c r="AU28" i="1"/>
  <c r="AU27" i="1"/>
  <c r="AU26" i="1"/>
  <c r="AU25" i="1"/>
  <c r="AU24" i="1"/>
  <c r="AU23" i="1"/>
  <c r="AU22" i="1"/>
  <c r="AW21" i="1"/>
  <c r="AV21" i="1"/>
  <c r="AT21" i="1"/>
  <c r="AS21" i="1"/>
  <c r="AR21" i="1"/>
  <c r="AU20" i="1"/>
  <c r="AU19" i="1"/>
  <c r="AU18" i="1"/>
  <c r="AU17" i="1"/>
  <c r="AU16" i="1"/>
  <c r="AU15" i="1"/>
  <c r="AU14" i="1"/>
  <c r="AU13" i="1"/>
  <c r="AU12" i="1"/>
  <c r="AU11" i="1"/>
  <c r="AW10" i="1"/>
  <c r="AV10" i="1"/>
  <c r="AT10" i="1"/>
  <c r="AS10" i="1"/>
  <c r="AR10" i="1"/>
  <c r="BA128" i="1"/>
  <c r="BA126" i="1"/>
  <c r="BA125" i="1"/>
  <c r="BA124" i="1"/>
  <c r="BA123" i="1"/>
  <c r="BA122" i="1"/>
  <c r="BA121" i="1"/>
  <c r="BA120" i="1"/>
  <c r="BA119" i="1"/>
  <c r="BA118" i="1"/>
  <c r="BA117" i="1"/>
  <c r="BA116" i="1"/>
  <c r="BA115" i="1"/>
  <c r="BA114" i="1"/>
  <c r="BA113" i="1"/>
  <c r="BA112" i="1"/>
  <c r="BA111" i="1"/>
  <c r="BA110" i="1"/>
  <c r="BA109" i="1"/>
  <c r="BA108" i="1"/>
  <c r="BA107" i="1"/>
  <c r="BA106" i="1"/>
  <c r="BA105" i="1"/>
  <c r="BA104" i="1"/>
  <c r="BA103" i="1"/>
  <c r="BA102" i="1"/>
  <c r="BA101" i="1"/>
  <c r="BA100" i="1"/>
  <c r="BA99" i="1"/>
  <c r="BA98" i="1"/>
  <c r="BA97" i="1"/>
  <c r="BA96" i="1"/>
  <c r="BA95" i="1"/>
  <c r="BA94" i="1"/>
  <c r="BA93" i="1"/>
  <c r="BA92" i="1"/>
  <c r="BA91" i="1"/>
  <c r="BA90" i="1"/>
  <c r="BA89" i="1"/>
  <c r="BC88" i="1"/>
  <c r="BB88" i="1"/>
  <c r="AZ88" i="1"/>
  <c r="AY88" i="1"/>
  <c r="AX88" i="1"/>
  <c r="BA87" i="1"/>
  <c r="BA86" i="1"/>
  <c r="BA85" i="1"/>
  <c r="BA84" i="1"/>
  <c r="BA83" i="1"/>
  <c r="BA82" i="1"/>
  <c r="BA81" i="1"/>
  <c r="BA80" i="1"/>
  <c r="BA79" i="1"/>
  <c r="BA78" i="1"/>
  <c r="BA77" i="1"/>
  <c r="BA76" i="1"/>
  <c r="BA75" i="1"/>
  <c r="BA74" i="1"/>
  <c r="BA72" i="1"/>
  <c r="BA71" i="1"/>
  <c r="BA70" i="1"/>
  <c r="BA69" i="1"/>
  <c r="BA68" i="1"/>
  <c r="BA67" i="1"/>
  <c r="BA66" i="1"/>
  <c r="BA65" i="1"/>
  <c r="BA64" i="1"/>
  <c r="BA63" i="1"/>
  <c r="BA62" i="1"/>
  <c r="BA61" i="1"/>
  <c r="BA60" i="1"/>
  <c r="BA59" i="1"/>
  <c r="BA58" i="1"/>
  <c r="BA57" i="1"/>
  <c r="BA56" i="1"/>
  <c r="BA55" i="1"/>
  <c r="BA54" i="1"/>
  <c r="BA53" i="1"/>
  <c r="BA52" i="1"/>
  <c r="BC51" i="1"/>
  <c r="BB51" i="1"/>
  <c r="AZ51" i="1"/>
  <c r="AY51" i="1"/>
  <c r="AX51" i="1"/>
  <c r="BA50" i="1"/>
  <c r="BA49" i="1"/>
  <c r="BA48" i="1"/>
  <c r="BA47" i="1"/>
  <c r="BA46" i="1"/>
  <c r="BA45" i="1"/>
  <c r="BA44" i="1"/>
  <c r="BA43" i="1"/>
  <c r="BA42" i="1"/>
  <c r="BA41" i="1"/>
  <c r="BA40" i="1"/>
  <c r="BA39" i="1"/>
  <c r="BA38" i="1"/>
  <c r="BA37" i="1"/>
  <c r="BA36" i="1"/>
  <c r="BA35" i="1"/>
  <c r="BA34" i="1"/>
  <c r="BA33" i="1"/>
  <c r="BA32" i="1"/>
  <c r="BA31" i="1"/>
  <c r="BA30" i="1"/>
  <c r="BA29" i="1"/>
  <c r="BA28" i="1"/>
  <c r="BA27" i="1"/>
  <c r="BA26" i="1"/>
  <c r="BA25" i="1"/>
  <c r="BA24" i="1"/>
  <c r="BA23" i="1"/>
  <c r="BA22" i="1"/>
  <c r="BC21" i="1"/>
  <c r="AZ21" i="1"/>
  <c r="AY21" i="1"/>
  <c r="AX21" i="1"/>
  <c r="BA20" i="1"/>
  <c r="BA19" i="1"/>
  <c r="BA18" i="1"/>
  <c r="BA17" i="1"/>
  <c r="BA16" i="1"/>
  <c r="BA15" i="1"/>
  <c r="BA14" i="1"/>
  <c r="BA13" i="1"/>
  <c r="BA12" i="1"/>
  <c r="BA11" i="1"/>
  <c r="BC10" i="1"/>
  <c r="BB10" i="1"/>
  <c r="AZ10" i="1"/>
  <c r="AY10" i="1"/>
  <c r="AX10" i="1"/>
  <c r="AE88" i="1"/>
  <c r="AB88" i="1"/>
  <c r="AD88" i="1"/>
  <c r="AA88" i="1"/>
  <c r="Z88" i="1"/>
  <c r="AC128"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1" i="1"/>
  <c r="AC87" i="1"/>
  <c r="AC86" i="1"/>
  <c r="AC85" i="1"/>
  <c r="AC84" i="1"/>
  <c r="AC83" i="1"/>
  <c r="AC82" i="1"/>
  <c r="AC80" i="1"/>
  <c r="AC79" i="1"/>
  <c r="AC78" i="1"/>
  <c r="AC77" i="1"/>
  <c r="AC76" i="1"/>
  <c r="AC75" i="1"/>
  <c r="AC74" i="1"/>
  <c r="AE51" i="1"/>
  <c r="AB51" i="1"/>
  <c r="AD51" i="1"/>
  <c r="AA51" i="1"/>
  <c r="Z51" i="1"/>
  <c r="AC72" i="1"/>
  <c r="AC71" i="1"/>
  <c r="AC70" i="1"/>
  <c r="AC69" i="1"/>
  <c r="AC68" i="1"/>
  <c r="AC67" i="1"/>
  <c r="AC66" i="1"/>
  <c r="AC65" i="1"/>
  <c r="AC64" i="1"/>
  <c r="AC63" i="1"/>
  <c r="AC62" i="1"/>
  <c r="AC61" i="1"/>
  <c r="AC60" i="1"/>
  <c r="AC59" i="1"/>
  <c r="AC58" i="1"/>
  <c r="AC57" i="1"/>
  <c r="AC56" i="1"/>
  <c r="AC55" i="1"/>
  <c r="AC54" i="1"/>
  <c r="AC53" i="1"/>
  <c r="AC5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22" i="1"/>
  <c r="AE21" i="1"/>
  <c r="AC12" i="1"/>
  <c r="AC13" i="1"/>
  <c r="AC14" i="1"/>
  <c r="AC15" i="1"/>
  <c r="AC16" i="1"/>
  <c r="AC17" i="1"/>
  <c r="AC18" i="1"/>
  <c r="AC19" i="1"/>
  <c r="AC20" i="1"/>
  <c r="AC11" i="1"/>
  <c r="AB21" i="1"/>
  <c r="AD21" i="1"/>
  <c r="AA21" i="1"/>
  <c r="Z21" i="1"/>
  <c r="Z10" i="1"/>
  <c r="AE10" i="1"/>
  <c r="AD10" i="1"/>
  <c r="AB10" i="1"/>
  <c r="AA10" i="1"/>
  <c r="D17" i="13"/>
  <c r="F18" i="13"/>
  <c r="G18" i="13"/>
  <c r="K18" i="13"/>
  <c r="Q18" i="13"/>
  <c r="H19" i="13"/>
  <c r="K19" i="13"/>
  <c r="M19" i="13" s="1"/>
  <c r="Q19" i="13"/>
  <c r="H21" i="13"/>
  <c r="K21" i="13"/>
  <c r="M21" i="13" s="1"/>
  <c r="Q21" i="13"/>
  <c r="H22" i="13"/>
  <c r="K22" i="13"/>
  <c r="M22" i="13" s="1"/>
  <c r="Q22" i="13"/>
  <c r="H26" i="13"/>
  <c r="K26" i="13"/>
  <c r="M26" i="13" s="1"/>
  <c r="Q26" i="13"/>
  <c r="H27" i="13"/>
  <c r="K27" i="13"/>
  <c r="M27" i="13" s="1"/>
  <c r="Q27" i="13"/>
  <c r="H30" i="13"/>
  <c r="K30" i="13"/>
  <c r="M30" i="13" s="1"/>
  <c r="Q30" i="13"/>
  <c r="H31" i="13"/>
  <c r="K31" i="13"/>
  <c r="M31" i="13" s="1"/>
  <c r="Q31" i="13"/>
  <c r="H32" i="13"/>
  <c r="K32" i="13"/>
  <c r="M32" i="13" s="1"/>
  <c r="Q32" i="13"/>
  <c r="H35" i="13"/>
  <c r="K35" i="13"/>
  <c r="M35" i="13" s="1"/>
  <c r="Q35" i="13"/>
  <c r="D42" i="13"/>
  <c r="F42" i="13"/>
  <c r="G42" i="13"/>
  <c r="H43" i="13"/>
  <c r="K43" i="13"/>
  <c r="M43" i="13" s="1"/>
  <c r="Q43" i="13"/>
  <c r="H44" i="13"/>
  <c r="K44" i="13"/>
  <c r="M44" i="13" s="1"/>
  <c r="Q44" i="13"/>
  <c r="H45" i="13"/>
  <c r="K45" i="13"/>
  <c r="M45" i="13" s="1"/>
  <c r="Q45" i="13"/>
  <c r="H47" i="13"/>
  <c r="K47" i="13"/>
  <c r="N47" i="13" s="1"/>
  <c r="M47" i="13" s="1"/>
  <c r="Q47" i="13"/>
  <c r="H48" i="13"/>
  <c r="K48" i="13"/>
  <c r="M48" i="13" s="1"/>
  <c r="Q48" i="13"/>
  <c r="C51" i="13"/>
  <c r="D51" i="13"/>
  <c r="F51" i="13"/>
  <c r="G51" i="13"/>
  <c r="N51" i="13"/>
  <c r="P51" i="13"/>
  <c r="H52" i="13"/>
  <c r="K52" i="13"/>
  <c r="M52" i="13" s="1"/>
  <c r="Q52" i="13"/>
  <c r="H53" i="13"/>
  <c r="K53" i="13"/>
  <c r="M53" i="13" s="1"/>
  <c r="Q53" i="13"/>
  <c r="H54" i="13"/>
  <c r="K54" i="13"/>
  <c r="M54" i="13" s="1"/>
  <c r="Q54" i="13"/>
  <c r="H55" i="13"/>
  <c r="K55" i="13"/>
  <c r="M55" i="13" s="1"/>
  <c r="Q55" i="13"/>
  <c r="H56" i="13"/>
  <c r="K56" i="13"/>
  <c r="M56" i="13" s="1"/>
  <c r="Q56" i="13"/>
  <c r="C58" i="13"/>
  <c r="D58" i="13"/>
  <c r="F58" i="13"/>
  <c r="G58" i="13"/>
  <c r="P58" i="13"/>
  <c r="H59" i="13"/>
  <c r="K59" i="13"/>
  <c r="M59" i="13" s="1"/>
  <c r="Q59" i="13"/>
  <c r="H60" i="13"/>
  <c r="K60" i="13"/>
  <c r="M60" i="13" s="1"/>
  <c r="Q60" i="13"/>
  <c r="H61" i="13"/>
  <c r="K61" i="13"/>
  <c r="M61" i="13" s="1"/>
  <c r="Q61" i="13"/>
  <c r="H62" i="13"/>
  <c r="K62" i="13"/>
  <c r="M62" i="13" s="1"/>
  <c r="Q62" i="13"/>
  <c r="C64" i="13"/>
  <c r="D64" i="13"/>
  <c r="F64" i="13"/>
  <c r="G64" i="13"/>
  <c r="M64" i="13"/>
  <c r="H65" i="13"/>
  <c r="H64" i="13" s="1"/>
  <c r="K65" i="13"/>
  <c r="N65" i="13" s="1"/>
  <c r="N64" i="13" s="1"/>
  <c r="Q65" i="13"/>
  <c r="AC73" i="1" l="1"/>
  <c r="BM73" i="1"/>
  <c r="BA73" i="1"/>
  <c r="AU73" i="1"/>
  <c r="AU88" i="1"/>
  <c r="BG73" i="1"/>
  <c r="AC88" i="1"/>
  <c r="BG88" i="1"/>
  <c r="BG21" i="1"/>
  <c r="BG10" i="1"/>
  <c r="BG51" i="1"/>
  <c r="AC21" i="1"/>
  <c r="AU21" i="1"/>
  <c r="AU10" i="1"/>
  <c r="BM88" i="1"/>
  <c r="BM51" i="1"/>
  <c r="BM21" i="1"/>
  <c r="BM10" i="1"/>
  <c r="AU51" i="1"/>
  <c r="BA88" i="1"/>
  <c r="BA51" i="1"/>
  <c r="BA21" i="1"/>
  <c r="BA10" i="1"/>
  <c r="AC51" i="1"/>
  <c r="G17" i="13"/>
  <c r="G16" i="13" s="1"/>
  <c r="F17" i="13"/>
  <c r="F16" i="13" s="1"/>
  <c r="C42" i="13"/>
  <c r="C17" i="13"/>
  <c r="M18" i="13"/>
  <c r="P65" i="13"/>
  <c r="P64" i="13" s="1"/>
  <c r="H58" i="13"/>
  <c r="M58" i="13"/>
  <c r="M51" i="13"/>
  <c r="H51" i="13"/>
  <c r="D16" i="13"/>
  <c r="H42" i="13"/>
  <c r="P42" i="13"/>
  <c r="N42" i="13"/>
  <c r="N17" i="13"/>
  <c r="P17" i="13"/>
  <c r="H18" i="13"/>
  <c r="H17" i="13" s="1"/>
  <c r="C16" i="13" l="1"/>
  <c r="M17" i="13"/>
  <c r="M42" i="13"/>
  <c r="H16" i="13"/>
  <c r="N16" i="13"/>
  <c r="P16" i="13"/>
  <c r="M16" i="13" l="1"/>
  <c r="G63" i="12" l="1"/>
  <c r="C63" i="12"/>
  <c r="L122" i="12"/>
  <c r="C122" i="12"/>
  <c r="G122" i="12"/>
  <c r="C18" i="12"/>
  <c r="F18" i="12"/>
  <c r="G18" i="12"/>
  <c r="O18" i="12"/>
  <c r="O17" i="12" s="1"/>
  <c r="H19" i="12"/>
  <c r="K19" i="12"/>
  <c r="P19" i="12"/>
  <c r="H20" i="12"/>
  <c r="K20" i="12"/>
  <c r="P20" i="12"/>
  <c r="H21" i="12"/>
  <c r="K21" i="12"/>
  <c r="P21" i="12"/>
  <c r="H22" i="12"/>
  <c r="K22" i="12"/>
  <c r="P22" i="12"/>
  <c r="H24" i="12"/>
  <c r="K24" i="12"/>
  <c r="P24" i="12"/>
  <c r="H25" i="12"/>
  <c r="K25" i="12"/>
  <c r="P25" i="12"/>
  <c r="H26" i="12"/>
  <c r="K26" i="12"/>
  <c r="P26" i="12"/>
  <c r="H27" i="12"/>
  <c r="P27" i="12"/>
  <c r="H29" i="12"/>
  <c r="K29" i="12"/>
  <c r="P29" i="12"/>
  <c r="H30" i="12"/>
  <c r="K30" i="12"/>
  <c r="P30" i="12"/>
  <c r="H31" i="12"/>
  <c r="K31" i="12"/>
  <c r="P31" i="12"/>
  <c r="H33" i="12"/>
  <c r="M33" i="12" s="1"/>
  <c r="P33" i="12"/>
  <c r="H34" i="12"/>
  <c r="M34" i="12" s="1"/>
  <c r="P34" i="12"/>
  <c r="H35" i="12"/>
  <c r="K35" i="12"/>
  <c r="P35" i="12"/>
  <c r="H36" i="12"/>
  <c r="K36" i="12"/>
  <c r="P36" i="12"/>
  <c r="H37" i="12"/>
  <c r="K37" i="12"/>
  <c r="P37" i="12"/>
  <c r="H38" i="12"/>
  <c r="K38" i="12"/>
  <c r="P38" i="12"/>
  <c r="H39" i="12"/>
  <c r="K39" i="12"/>
  <c r="H40" i="12"/>
  <c r="M40" i="12" s="1"/>
  <c r="P40" i="12"/>
  <c r="H41" i="12"/>
  <c r="M41" i="12" s="1"/>
  <c r="P41" i="12"/>
  <c r="H42" i="12"/>
  <c r="K42" i="12"/>
  <c r="P42" i="12"/>
  <c r="H43" i="12"/>
  <c r="K43" i="12"/>
  <c r="P43" i="12"/>
  <c r="H44" i="12"/>
  <c r="K44" i="12"/>
  <c r="P44" i="12"/>
  <c r="H45" i="12"/>
  <c r="K45" i="12"/>
  <c r="P45" i="12"/>
  <c r="L18" i="12"/>
  <c r="H46" i="12"/>
  <c r="K46" i="12"/>
  <c r="P46" i="12"/>
  <c r="H47" i="12"/>
  <c r="K47" i="12"/>
  <c r="P47" i="12"/>
  <c r="H49" i="12"/>
  <c r="K49" i="12"/>
  <c r="P49" i="12"/>
  <c r="H50" i="12"/>
  <c r="M50" i="12" s="1"/>
  <c r="P50" i="12"/>
  <c r="H51" i="12"/>
  <c r="K51" i="12"/>
  <c r="P51" i="12"/>
  <c r="H52" i="12"/>
  <c r="K52" i="12"/>
  <c r="P52" i="12"/>
  <c r="H53" i="12"/>
  <c r="P53" i="12"/>
  <c r="H54" i="12"/>
  <c r="M54" i="12" s="1"/>
  <c r="P54" i="12"/>
  <c r="H56" i="12"/>
  <c r="M56" i="12" s="1"/>
  <c r="P56" i="12"/>
  <c r="H59" i="12"/>
  <c r="J59" i="12"/>
  <c r="K59" i="12" s="1"/>
  <c r="P59" i="12"/>
  <c r="H60" i="12"/>
  <c r="K60" i="12"/>
  <c r="P60" i="12"/>
  <c r="H61" i="12"/>
  <c r="M61" i="12" s="1"/>
  <c r="P61" i="12"/>
  <c r="Q62" i="12"/>
  <c r="F63" i="12"/>
  <c r="L63" i="12"/>
  <c r="O63" i="12"/>
  <c r="H64" i="12"/>
  <c r="K64" i="12"/>
  <c r="P64" i="12"/>
  <c r="H65" i="12"/>
  <c r="K65" i="12"/>
  <c r="P65" i="12"/>
  <c r="H66" i="12"/>
  <c r="K66" i="12"/>
  <c r="P66" i="12"/>
  <c r="H67" i="12"/>
  <c r="K67" i="12"/>
  <c r="P67" i="12"/>
  <c r="H68" i="12"/>
  <c r="K68" i="12"/>
  <c r="P68" i="12"/>
  <c r="H69" i="12"/>
  <c r="J69" i="12"/>
  <c r="K69" i="12" s="1"/>
  <c r="P69" i="12"/>
  <c r="H71" i="12"/>
  <c r="M71" i="12" s="1"/>
  <c r="P71" i="12"/>
  <c r="C73" i="12"/>
  <c r="F73" i="12"/>
  <c r="G73" i="12"/>
  <c r="J73" i="12"/>
  <c r="L73" i="12"/>
  <c r="O73" i="12"/>
  <c r="H74" i="12"/>
  <c r="P74" i="12"/>
  <c r="H75" i="12"/>
  <c r="M75" i="12" s="1"/>
  <c r="P75" i="12"/>
  <c r="H76" i="12"/>
  <c r="K76" i="12"/>
  <c r="P76" i="12"/>
  <c r="H77" i="12"/>
  <c r="M77" i="12" s="1"/>
  <c r="P77" i="12"/>
  <c r="H78" i="12"/>
  <c r="M78" i="12" s="1"/>
  <c r="P78" i="12"/>
  <c r="H79" i="12"/>
  <c r="M79" i="12" s="1"/>
  <c r="P79" i="12"/>
  <c r="H80" i="12"/>
  <c r="M80" i="12" s="1"/>
  <c r="P80" i="12"/>
  <c r="H81" i="12"/>
  <c r="M81" i="12" s="1"/>
  <c r="P81" i="12"/>
  <c r="H82" i="12"/>
  <c r="K82" i="12"/>
  <c r="H83" i="12"/>
  <c r="M83" i="12" s="1"/>
  <c r="P83" i="12"/>
  <c r="H84" i="12"/>
  <c r="M84" i="12" s="1"/>
  <c r="P84" i="12"/>
  <c r="H85" i="12"/>
  <c r="M85" i="12" s="1"/>
  <c r="P85" i="12"/>
  <c r="H86" i="12"/>
  <c r="M86" i="12" s="1"/>
  <c r="P86" i="12"/>
  <c r="H87" i="12"/>
  <c r="M87" i="12" s="1"/>
  <c r="P87" i="12"/>
  <c r="H88" i="12"/>
  <c r="M88" i="12" s="1"/>
  <c r="P88" i="12"/>
  <c r="H89" i="12"/>
  <c r="M89" i="12" s="1"/>
  <c r="P89" i="12"/>
  <c r="H90" i="12"/>
  <c r="K90" i="12"/>
  <c r="P90" i="12"/>
  <c r="H91" i="12"/>
  <c r="M91" i="12" s="1"/>
  <c r="P91" i="12"/>
  <c r="H92" i="12"/>
  <c r="M92" i="12" s="1"/>
  <c r="P92" i="12"/>
  <c r="H95" i="12"/>
  <c r="P95" i="12"/>
  <c r="H98" i="12"/>
  <c r="M98" i="12" s="1"/>
  <c r="P98" i="12"/>
  <c r="H99" i="12"/>
  <c r="K99" i="12"/>
  <c r="H101" i="12"/>
  <c r="K101" i="12"/>
  <c r="P101" i="12"/>
  <c r="H102" i="12"/>
  <c r="K102" i="12"/>
  <c r="P102" i="12"/>
  <c r="H103" i="12"/>
  <c r="M103" i="12" s="1"/>
  <c r="P103" i="12"/>
  <c r="H104" i="12"/>
  <c r="K104" i="12"/>
  <c r="P104" i="12"/>
  <c r="H105" i="12"/>
  <c r="K105" i="12"/>
  <c r="P105" i="12"/>
  <c r="H106" i="12"/>
  <c r="M106" i="12" s="1"/>
  <c r="P106" i="12"/>
  <c r="H107" i="12"/>
  <c r="M107" i="12" s="1"/>
  <c r="P107" i="12"/>
  <c r="H108" i="12"/>
  <c r="M108" i="12" s="1"/>
  <c r="P108" i="12"/>
  <c r="H109" i="12"/>
  <c r="K109" i="12"/>
  <c r="P109" i="12"/>
  <c r="H110" i="12"/>
  <c r="M110" i="12" s="1"/>
  <c r="P110" i="12"/>
  <c r="H111" i="12"/>
  <c r="K111" i="12"/>
  <c r="P111" i="12"/>
  <c r="H112" i="12"/>
  <c r="K112" i="12"/>
  <c r="P112" i="12"/>
  <c r="H113" i="12"/>
  <c r="K113" i="12"/>
  <c r="P113" i="12"/>
  <c r="H114" i="12"/>
  <c r="K114" i="12"/>
  <c r="P114" i="12"/>
  <c r="H115" i="12"/>
  <c r="M115" i="12" s="1"/>
  <c r="P115" i="12"/>
  <c r="H116" i="12"/>
  <c r="M116" i="12" s="1"/>
  <c r="P116" i="12"/>
  <c r="H117" i="12"/>
  <c r="K117" i="12"/>
  <c r="H118" i="12"/>
  <c r="M118" i="12" s="1"/>
  <c r="P118" i="12"/>
  <c r="H119" i="12"/>
  <c r="M119" i="12" s="1"/>
  <c r="P119" i="12"/>
  <c r="H120" i="12"/>
  <c r="M120" i="12" s="1"/>
  <c r="P120" i="12"/>
  <c r="N122" i="12"/>
  <c r="O122" i="12"/>
  <c r="O94" i="12" s="1"/>
  <c r="H123" i="12"/>
  <c r="K123" i="12"/>
  <c r="P123" i="12"/>
  <c r="H124" i="12"/>
  <c r="K124" i="12"/>
  <c r="P124" i="12"/>
  <c r="H125" i="12"/>
  <c r="M125" i="12" s="1"/>
  <c r="P125" i="12"/>
  <c r="H126" i="12"/>
  <c r="M126" i="12" s="1"/>
  <c r="P126" i="12"/>
  <c r="H127" i="12"/>
  <c r="K127" i="12"/>
  <c r="P127" i="12"/>
  <c r="H129" i="12"/>
  <c r="K129" i="12"/>
  <c r="P129" i="12"/>
  <c r="H130" i="12"/>
  <c r="M130" i="12" s="1"/>
  <c r="P130" i="12"/>
  <c r="H131" i="12"/>
  <c r="M131" i="12" s="1"/>
  <c r="P131" i="12"/>
  <c r="H132" i="12"/>
  <c r="M132" i="12" s="1"/>
  <c r="P132" i="12"/>
  <c r="F133" i="12"/>
  <c r="F122" i="12" s="1"/>
  <c r="K133" i="12"/>
  <c r="P133" i="12"/>
  <c r="H134" i="12"/>
  <c r="M134" i="12" s="1"/>
  <c r="P134" i="12"/>
  <c r="H135" i="12"/>
  <c r="M135" i="12" s="1"/>
  <c r="P135" i="12"/>
  <c r="H136" i="12"/>
  <c r="K136" i="12"/>
  <c r="P136" i="12"/>
  <c r="H137" i="12"/>
  <c r="K137" i="12"/>
  <c r="P137" i="12"/>
  <c r="H138" i="12"/>
  <c r="M138" i="12" s="1"/>
  <c r="P138" i="12"/>
  <c r="H140" i="12"/>
  <c r="K140" i="12"/>
  <c r="P140" i="12"/>
  <c r="H141" i="12"/>
  <c r="M141" i="12" s="1"/>
  <c r="P141" i="12"/>
  <c r="H143" i="12"/>
  <c r="K143" i="12"/>
  <c r="P143" i="12"/>
  <c r="H144" i="12"/>
  <c r="K144" i="12"/>
  <c r="P144" i="12"/>
  <c r="H145" i="12"/>
  <c r="K145" i="12"/>
  <c r="P145" i="12"/>
  <c r="O147" i="12"/>
  <c r="H148" i="12"/>
  <c r="P148" i="12"/>
  <c r="H149" i="12"/>
  <c r="M149" i="12" s="1"/>
  <c r="P149" i="12"/>
  <c r="H150" i="12"/>
  <c r="M150" i="12" s="1"/>
  <c r="P150" i="12"/>
  <c r="H151" i="12"/>
  <c r="M151" i="12" s="1"/>
  <c r="P151" i="12"/>
  <c r="H152" i="12"/>
  <c r="M152" i="12" s="1"/>
  <c r="P152" i="12"/>
  <c r="H153" i="12"/>
  <c r="M153" i="12" s="1"/>
  <c r="P153" i="12"/>
  <c r="H154" i="12"/>
  <c r="M154" i="12" s="1"/>
  <c r="P154" i="12"/>
  <c r="H155" i="12"/>
  <c r="K155" i="12"/>
  <c r="P155" i="12"/>
  <c r="H156" i="12"/>
  <c r="M156" i="12" s="1"/>
  <c r="P156" i="12"/>
  <c r="H157" i="12"/>
  <c r="M157" i="12" s="1"/>
  <c r="P157" i="12"/>
  <c r="H158" i="12"/>
  <c r="M158" i="12" s="1"/>
  <c r="P158" i="12"/>
  <c r="H159" i="12"/>
  <c r="K159" i="12"/>
  <c r="P159" i="12"/>
  <c r="H160" i="12"/>
  <c r="M160" i="12" s="1"/>
  <c r="P160" i="12"/>
  <c r="H161" i="12"/>
  <c r="M161" i="12" s="1"/>
  <c r="P161" i="12"/>
  <c r="H162" i="12"/>
  <c r="K162" i="12"/>
  <c r="P162" i="12"/>
  <c r="H163" i="12"/>
  <c r="M163" i="12" s="1"/>
  <c r="P163" i="12"/>
  <c r="H164" i="12"/>
  <c r="M164" i="12" s="1"/>
  <c r="P164" i="12"/>
  <c r="H165" i="12"/>
  <c r="J165" i="12"/>
  <c r="K165" i="12" s="1"/>
  <c r="P165" i="12"/>
  <c r="H166" i="12"/>
  <c r="M166" i="12" s="1"/>
  <c r="P166" i="12"/>
  <c r="H167" i="12"/>
  <c r="K167" i="12"/>
  <c r="P167" i="12"/>
  <c r="H168" i="12"/>
  <c r="M168" i="12" s="1"/>
  <c r="P168" i="12"/>
  <c r="H169" i="12"/>
  <c r="K169" i="12"/>
  <c r="P169" i="12"/>
  <c r="H170" i="12"/>
  <c r="M170" i="12" s="1"/>
  <c r="P170" i="12"/>
  <c r="H171" i="12"/>
  <c r="M171" i="12" s="1"/>
  <c r="P171" i="12"/>
  <c r="Q172" i="12"/>
  <c r="H18" i="11"/>
  <c r="J18" i="11"/>
  <c r="K18" i="11" s="1"/>
  <c r="H20" i="11"/>
  <c r="J20" i="11"/>
  <c r="K20" i="11" s="1"/>
  <c r="H22" i="11"/>
  <c r="J22" i="11"/>
  <c r="K22" i="11" s="1"/>
  <c r="H23" i="11"/>
  <c r="J23" i="11"/>
  <c r="K23" i="11" s="1"/>
  <c r="H27" i="11"/>
  <c r="J27" i="11"/>
  <c r="K27" i="11" s="1"/>
  <c r="H28" i="11"/>
  <c r="J28" i="11"/>
  <c r="K28" i="11" s="1"/>
  <c r="H29" i="11"/>
  <c r="J29" i="11"/>
  <c r="K29" i="11" s="1"/>
  <c r="H31" i="11"/>
  <c r="J31" i="11"/>
  <c r="K31" i="11" s="1"/>
  <c r="H33" i="11"/>
  <c r="J33" i="11"/>
  <c r="K33" i="11" s="1"/>
  <c r="H34" i="11"/>
  <c r="J34" i="11"/>
  <c r="K34" i="11" s="1"/>
  <c r="H35" i="11"/>
  <c r="J35" i="11"/>
  <c r="K35" i="11" s="1"/>
  <c r="H36" i="11"/>
  <c r="J36" i="11"/>
  <c r="K36" i="11" s="1"/>
  <c r="H37" i="11"/>
  <c r="J37" i="11"/>
  <c r="K37" i="11" s="1"/>
  <c r="H38" i="11"/>
  <c r="J38" i="11"/>
  <c r="K38" i="11" s="1"/>
  <c r="H40" i="11"/>
  <c r="J40" i="11"/>
  <c r="K40" i="11" s="1"/>
  <c r="H41" i="11"/>
  <c r="J41" i="11"/>
  <c r="K41" i="11" s="1"/>
  <c r="G42" i="11"/>
  <c r="J42" i="11"/>
  <c r="K42" i="11" s="1"/>
  <c r="H46" i="11"/>
  <c r="J46" i="11"/>
  <c r="K46" i="11" s="1"/>
  <c r="H47" i="11"/>
  <c r="J47" i="11"/>
  <c r="K47" i="11" s="1"/>
  <c r="H48" i="11"/>
  <c r="J48" i="11"/>
  <c r="K48" i="11" s="1"/>
  <c r="H49" i="11"/>
  <c r="J49" i="11"/>
  <c r="K49" i="11" s="1"/>
  <c r="H50" i="11"/>
  <c r="J50" i="11"/>
  <c r="K50" i="11" s="1"/>
  <c r="H56" i="11"/>
  <c r="J56" i="11"/>
  <c r="K56" i="11" s="1"/>
  <c r="H57" i="11"/>
  <c r="J57" i="11"/>
  <c r="K57" i="11" s="1"/>
  <c r="H59" i="11"/>
  <c r="J59" i="11"/>
  <c r="K59" i="11" s="1"/>
  <c r="J60" i="11"/>
  <c r="K60" i="11" s="1"/>
  <c r="H62" i="11"/>
  <c r="J62" i="11"/>
  <c r="K62" i="11" s="1"/>
  <c r="H63" i="11"/>
  <c r="J63" i="11"/>
  <c r="K63" i="11" s="1"/>
  <c r="H65" i="11"/>
  <c r="J65" i="11"/>
  <c r="K65" i="11" s="1"/>
  <c r="H66" i="11"/>
  <c r="J66" i="11"/>
  <c r="K66" i="11" s="1"/>
  <c r="H67" i="11"/>
  <c r="J67" i="11"/>
  <c r="K67" i="11" s="1"/>
  <c r="H70" i="11"/>
  <c r="J70" i="11"/>
  <c r="K70" i="11" s="1"/>
  <c r="H71" i="11"/>
  <c r="J71" i="11"/>
  <c r="K71" i="11" s="1"/>
  <c r="H72" i="11"/>
  <c r="J72" i="11"/>
  <c r="K72" i="11" s="1"/>
  <c r="H73" i="11"/>
  <c r="J73" i="11"/>
  <c r="K73" i="11" s="1"/>
  <c r="H76" i="11"/>
  <c r="J76" i="11"/>
  <c r="K76" i="11" s="1"/>
  <c r="H77" i="11"/>
  <c r="J77" i="11"/>
  <c r="K77" i="11" s="1"/>
  <c r="H78" i="11"/>
  <c r="J78" i="11"/>
  <c r="K78" i="11" s="1"/>
  <c r="H80" i="11"/>
  <c r="J80" i="11"/>
  <c r="K80" i="11" s="1"/>
  <c r="H81" i="11"/>
  <c r="J81" i="11"/>
  <c r="K81" i="11" s="1"/>
  <c r="H82" i="11"/>
  <c r="J82" i="11"/>
  <c r="K82" i="11" s="1"/>
  <c r="H83" i="11"/>
  <c r="J83" i="11"/>
  <c r="K83" i="11" s="1"/>
  <c r="H84" i="11"/>
  <c r="J84" i="11"/>
  <c r="K84" i="11" s="1"/>
  <c r="H85" i="11"/>
  <c r="J85" i="11"/>
  <c r="K85" i="11" s="1"/>
  <c r="H86" i="11"/>
  <c r="J86" i="11"/>
  <c r="K86" i="11" s="1"/>
  <c r="H87" i="11"/>
  <c r="J87" i="11"/>
  <c r="K87" i="11" s="1"/>
  <c r="H89" i="11"/>
  <c r="J89" i="11"/>
  <c r="K89" i="11" s="1"/>
  <c r="H90" i="11"/>
  <c r="J90" i="11"/>
  <c r="K90" i="11" s="1"/>
  <c r="H93" i="11"/>
  <c r="J93" i="11"/>
  <c r="K93" i="11" s="1"/>
  <c r="H96" i="11"/>
  <c r="J96" i="11"/>
  <c r="K96" i="11" s="1"/>
  <c r="H97" i="11"/>
  <c r="J97" i="11"/>
  <c r="K97" i="11" s="1"/>
  <c r="H98" i="11"/>
  <c r="J98" i="11"/>
  <c r="K98" i="11" s="1"/>
  <c r="H99" i="11"/>
  <c r="J99" i="11"/>
  <c r="K99" i="11" s="1"/>
  <c r="H100" i="11"/>
  <c r="J100" i="11"/>
  <c r="K100" i="11" s="1"/>
  <c r="H101" i="11"/>
  <c r="J101" i="11"/>
  <c r="K101" i="11" s="1"/>
  <c r="H102" i="11"/>
  <c r="J102" i="11"/>
  <c r="K102" i="11" s="1"/>
  <c r="H103" i="11"/>
  <c r="J103" i="11"/>
  <c r="K103" i="11" s="1"/>
  <c r="H104" i="11"/>
  <c r="J104" i="11"/>
  <c r="K104" i="11" s="1"/>
  <c r="H105" i="11"/>
  <c r="J105" i="11"/>
  <c r="K105" i="11" s="1"/>
  <c r="H106" i="11"/>
  <c r="J106" i="11"/>
  <c r="K106" i="11" s="1"/>
  <c r="H108" i="11"/>
  <c r="J108" i="11"/>
  <c r="K108" i="11" s="1"/>
  <c r="H109" i="11"/>
  <c r="J109" i="11"/>
  <c r="K109" i="11" s="1"/>
  <c r="G110" i="11"/>
  <c r="H110" i="11" s="1"/>
  <c r="J110" i="11"/>
  <c r="K110" i="11" s="1"/>
  <c r="H111" i="11"/>
  <c r="K111" i="11"/>
  <c r="H113" i="11"/>
  <c r="J113" i="11"/>
  <c r="K113" i="11" s="1"/>
  <c r="C27" i="10"/>
  <c r="C17" i="10"/>
  <c r="D17" i="10"/>
  <c r="F17" i="10"/>
  <c r="G17" i="10"/>
  <c r="H18" i="10"/>
  <c r="K18" i="10"/>
  <c r="H19" i="10"/>
  <c r="J19" i="10"/>
  <c r="K19" i="10" s="1"/>
  <c r="C20" i="10"/>
  <c r="D20" i="10"/>
  <c r="F20" i="10"/>
  <c r="G20" i="10"/>
  <c r="H21" i="10"/>
  <c r="J21" i="10"/>
  <c r="K21" i="10" s="1"/>
  <c r="H22" i="10"/>
  <c r="J22" i="10"/>
  <c r="K22" i="10" s="1"/>
  <c r="H23" i="10"/>
  <c r="J23" i="10"/>
  <c r="K23" i="10" s="1"/>
  <c r="C24" i="10"/>
  <c r="D24" i="10"/>
  <c r="F24" i="10"/>
  <c r="G24" i="10"/>
  <c r="H25" i="10"/>
  <c r="J25" i="10"/>
  <c r="K25" i="10" s="1"/>
  <c r="H26" i="10"/>
  <c r="J26" i="10"/>
  <c r="K26" i="10" s="1"/>
  <c r="G27" i="10"/>
  <c r="H28" i="10"/>
  <c r="K28" i="10"/>
  <c r="H30" i="10"/>
  <c r="K30" i="10"/>
  <c r="H32" i="10"/>
  <c r="K32" i="10"/>
  <c r="H33" i="10"/>
  <c r="K33" i="10"/>
  <c r="H34" i="10"/>
  <c r="K34" i="10"/>
  <c r="D27" i="10"/>
  <c r="H36" i="10"/>
  <c r="K36" i="10"/>
  <c r="H37" i="10"/>
  <c r="J37" i="10"/>
  <c r="K37" i="10" s="1"/>
  <c r="H38" i="10"/>
  <c r="J38" i="10"/>
  <c r="K38" i="10" s="1"/>
  <c r="H40" i="10"/>
  <c r="K40" i="10"/>
  <c r="H41" i="10"/>
  <c r="K41" i="10"/>
  <c r="H42" i="10"/>
  <c r="K42" i="10"/>
  <c r="H43" i="10"/>
  <c r="K43" i="10"/>
  <c r="H44" i="10"/>
  <c r="J44" i="10"/>
  <c r="K44" i="10" s="1"/>
  <c r="H45" i="10"/>
  <c r="J45" i="10"/>
  <c r="K45" i="10" s="1"/>
  <c r="H46" i="10"/>
  <c r="J46" i="10"/>
  <c r="K46" i="10" s="1"/>
  <c r="G19" i="9"/>
  <c r="J19" i="9"/>
  <c r="G20" i="9"/>
  <c r="J20" i="9"/>
  <c r="G25" i="9"/>
  <c r="J25" i="9"/>
  <c r="G26" i="9"/>
  <c r="J26" i="9"/>
  <c r="G27" i="9"/>
  <c r="J27" i="9"/>
  <c r="G28" i="9"/>
  <c r="J28" i="9"/>
  <c r="G29" i="9"/>
  <c r="J29" i="9"/>
  <c r="G39" i="9"/>
  <c r="J39" i="9"/>
  <c r="G40" i="9"/>
  <c r="J40" i="9"/>
  <c r="F41" i="9"/>
  <c r="G41" i="9" s="1"/>
  <c r="J41" i="9"/>
  <c r="G42" i="9"/>
  <c r="J42" i="9"/>
  <c r="B45" i="9"/>
  <c r="C45" i="9"/>
  <c r="E45" i="9"/>
  <c r="K45" i="9"/>
  <c r="G48" i="9"/>
  <c r="J48" i="9"/>
  <c r="G49" i="9"/>
  <c r="J49" i="9"/>
  <c r="G50" i="9"/>
  <c r="J50" i="9"/>
  <c r="F51" i="9"/>
  <c r="F55" i="9" s="1"/>
  <c r="J51" i="9"/>
  <c r="G52" i="9"/>
  <c r="J52" i="9"/>
  <c r="G53" i="9"/>
  <c r="J53" i="9"/>
  <c r="B55" i="9"/>
  <c r="C55" i="9"/>
  <c r="E55" i="9"/>
  <c r="K55" i="9"/>
  <c r="G59" i="9"/>
  <c r="J59" i="9"/>
  <c r="G60" i="9"/>
  <c r="J60" i="9"/>
  <c r="G68" i="9"/>
  <c r="J68" i="9"/>
  <c r="G70" i="9"/>
  <c r="J70" i="9"/>
  <c r="G71" i="9"/>
  <c r="J71" i="9"/>
  <c r="G73" i="9"/>
  <c r="J73" i="9"/>
  <c r="G72" i="9"/>
  <c r="J72" i="9"/>
  <c r="B76" i="9"/>
  <c r="C76" i="9"/>
  <c r="E76" i="9"/>
  <c r="F76" i="9"/>
  <c r="K76" i="9"/>
  <c r="M40" i="9" l="1"/>
  <c r="O40" i="9" s="1"/>
  <c r="M20" i="12"/>
  <c r="Q20" i="12" s="1"/>
  <c r="M35" i="12"/>
  <c r="Q35" i="12" s="1"/>
  <c r="M102" i="12"/>
  <c r="Q102" i="12" s="1"/>
  <c r="Q158" i="12"/>
  <c r="M47" i="12"/>
  <c r="Q47" i="12" s="1"/>
  <c r="M112" i="12"/>
  <c r="Q112" i="12" s="1"/>
  <c r="M109" i="12"/>
  <c r="Q109" i="12" s="1"/>
  <c r="M136" i="12"/>
  <c r="Q136" i="12" s="1"/>
  <c r="M117" i="12"/>
  <c r="Q117" i="12" s="1"/>
  <c r="M51" i="12"/>
  <c r="Q51" i="12" s="1"/>
  <c r="M66" i="12"/>
  <c r="Q66" i="12" s="1"/>
  <c r="M165" i="12"/>
  <c r="Q165" i="12" s="1"/>
  <c r="M169" i="12"/>
  <c r="Q169" i="12" s="1"/>
  <c r="N82" i="12"/>
  <c r="N73" i="12" s="1"/>
  <c r="Q78" i="12"/>
  <c r="M69" i="12"/>
  <c r="Q69" i="12" s="1"/>
  <c r="M104" i="12"/>
  <c r="Q104" i="12" s="1"/>
  <c r="M76" i="12"/>
  <c r="Q76" i="12" s="1"/>
  <c r="M140" i="12"/>
  <c r="Q140" i="12" s="1"/>
  <c r="Q168" i="12"/>
  <c r="Q161" i="12"/>
  <c r="M144" i="12"/>
  <c r="Q144" i="12" s="1"/>
  <c r="Q120" i="12"/>
  <c r="Q107" i="12"/>
  <c r="Q88" i="12"/>
  <c r="Q40" i="12"/>
  <c r="Q131" i="12"/>
  <c r="Q126" i="12"/>
  <c r="M123" i="12"/>
  <c r="Q123" i="12" s="1"/>
  <c r="Q116" i="12"/>
  <c r="Q84" i="12"/>
  <c r="M43" i="12"/>
  <c r="Q43" i="12" s="1"/>
  <c r="M19" i="12"/>
  <c r="Q19" i="12" s="1"/>
  <c r="M137" i="12"/>
  <c r="Q137" i="12" s="1"/>
  <c r="Q134" i="12"/>
  <c r="Q156" i="12"/>
  <c r="Q130" i="12"/>
  <c r="Q141" i="12"/>
  <c r="M105" i="12"/>
  <c r="Q105" i="12" s="1"/>
  <c r="M129" i="12"/>
  <c r="Q129" i="12" s="1"/>
  <c r="M114" i="12"/>
  <c r="Q114" i="12" s="1"/>
  <c r="Q125" i="12"/>
  <c r="M167" i="12"/>
  <c r="Q167" i="12" s="1"/>
  <c r="Q164" i="12"/>
  <c r="Q91" i="12"/>
  <c r="Q81" i="12"/>
  <c r="Q71" i="12"/>
  <c r="Q34" i="12"/>
  <c r="M29" i="12"/>
  <c r="Q29" i="12" s="1"/>
  <c r="M22" i="12"/>
  <c r="Q22" i="12" s="1"/>
  <c r="Q98" i="12"/>
  <c r="Q80" i="12"/>
  <c r="Q163" i="12"/>
  <c r="F147" i="12"/>
  <c r="Q152" i="12"/>
  <c r="M143" i="12"/>
  <c r="Q143" i="12" s="1"/>
  <c r="G94" i="12"/>
  <c r="M90" i="12"/>
  <c r="Q90" i="12" s="1"/>
  <c r="M36" i="12"/>
  <c r="Q36" i="12" s="1"/>
  <c r="C147" i="12"/>
  <c r="M42" i="12"/>
  <c r="Q42" i="12" s="1"/>
  <c r="M60" i="12"/>
  <c r="Q60" i="12" s="1"/>
  <c r="Q41" i="12"/>
  <c r="M25" i="12"/>
  <c r="Q25" i="12" s="1"/>
  <c r="Q110" i="12"/>
  <c r="M82" i="12"/>
  <c r="M68" i="12"/>
  <c r="Q68" i="12" s="1"/>
  <c r="M67" i="12"/>
  <c r="Q67" i="12" s="1"/>
  <c r="M26" i="12"/>
  <c r="Q26" i="12" s="1"/>
  <c r="Q119" i="12"/>
  <c r="M59" i="12"/>
  <c r="Q59" i="12" s="1"/>
  <c r="Q166" i="12"/>
  <c r="Q160" i="12"/>
  <c r="M155" i="12"/>
  <c r="Q155" i="12" s="1"/>
  <c r="Q151" i="12"/>
  <c r="N147" i="12"/>
  <c r="M145" i="12"/>
  <c r="Q145" i="12" s="1"/>
  <c r="Q115" i="12"/>
  <c r="Q106" i="12"/>
  <c r="Q87" i="12"/>
  <c r="H63" i="12"/>
  <c r="Q61" i="12"/>
  <c r="Q54" i="12"/>
  <c r="M44" i="12"/>
  <c r="Q44" i="12" s="1"/>
  <c r="M38" i="12"/>
  <c r="Q38" i="12" s="1"/>
  <c r="Q33" i="12"/>
  <c r="M31" i="12"/>
  <c r="Q31" i="12" s="1"/>
  <c r="Q171" i="12"/>
  <c r="Q157" i="12"/>
  <c r="L147" i="12"/>
  <c r="L94" i="12"/>
  <c r="Q118" i="12"/>
  <c r="F94" i="12"/>
  <c r="Q56" i="12"/>
  <c r="Q154" i="12"/>
  <c r="Q150" i="12"/>
  <c r="G147" i="12"/>
  <c r="Q138" i="12"/>
  <c r="M124" i="12"/>
  <c r="Q124" i="12" s="1"/>
  <c r="C94" i="12"/>
  <c r="Q86" i="12"/>
  <c r="Q83" i="12"/>
  <c r="Q75" i="12"/>
  <c r="Q50" i="12"/>
  <c r="M21" i="12"/>
  <c r="Q21" i="12" s="1"/>
  <c r="M159" i="12"/>
  <c r="Q159" i="12" s="1"/>
  <c r="Q135" i="12"/>
  <c r="Q132" i="12"/>
  <c r="M127" i="12"/>
  <c r="Q127" i="12" s="1"/>
  <c r="P122" i="12"/>
  <c r="Q108" i="12"/>
  <c r="M101" i="12"/>
  <c r="Q101" i="12" s="1"/>
  <c r="M99" i="12"/>
  <c r="Q99" i="12" s="1"/>
  <c r="Q89" i="12"/>
  <c r="Q77" i="12"/>
  <c r="M52" i="12"/>
  <c r="Q52" i="12" s="1"/>
  <c r="M46" i="12"/>
  <c r="Q46" i="12" s="1"/>
  <c r="M30" i="12"/>
  <c r="Q30" i="12" s="1"/>
  <c r="Q170" i="12"/>
  <c r="Q153" i="12"/>
  <c r="Q149" i="12"/>
  <c r="M111" i="12"/>
  <c r="Q111" i="12" s="1"/>
  <c r="Q103" i="12"/>
  <c r="Q92" i="12"/>
  <c r="H73" i="12"/>
  <c r="M37" i="12"/>
  <c r="Q37" i="12" s="1"/>
  <c r="M113" i="12"/>
  <c r="Q113" i="12" s="1"/>
  <c r="Q85" i="12"/>
  <c r="Q79" i="12"/>
  <c r="M65" i="12"/>
  <c r="Q65" i="12" s="1"/>
  <c r="M49" i="12"/>
  <c r="Q49" i="12" s="1"/>
  <c r="M45" i="12"/>
  <c r="Q45" i="12" s="1"/>
  <c r="M39" i="12"/>
  <c r="Q39" i="12" s="1"/>
  <c r="M24" i="12"/>
  <c r="Q24" i="12" s="1"/>
  <c r="G17" i="12"/>
  <c r="F17" i="12"/>
  <c r="L17" i="12"/>
  <c r="N18" i="12"/>
  <c r="N17" i="12" s="1"/>
  <c r="C17" i="12"/>
  <c r="H133" i="12"/>
  <c r="M133" i="12" s="1"/>
  <c r="Q133" i="12" s="1"/>
  <c r="M95" i="12"/>
  <c r="M53" i="12"/>
  <c r="M148" i="12"/>
  <c r="M74" i="12"/>
  <c r="M64" i="12"/>
  <c r="M162" i="12"/>
  <c r="M27" i="12"/>
  <c r="M108" i="11"/>
  <c r="M40" i="11"/>
  <c r="M105" i="11"/>
  <c r="M101" i="11"/>
  <c r="M97" i="11"/>
  <c r="N84" i="11"/>
  <c r="P84" i="11" s="1"/>
  <c r="N80" i="11"/>
  <c r="P80" i="11" s="1"/>
  <c r="F16" i="11"/>
  <c r="M59" i="11"/>
  <c r="M111" i="11"/>
  <c r="N83" i="11"/>
  <c r="P83" i="11" s="1"/>
  <c r="M76" i="11"/>
  <c r="M62" i="11"/>
  <c r="N36" i="11"/>
  <c r="P36" i="11" s="1"/>
  <c r="M22" i="11"/>
  <c r="M31" i="11"/>
  <c r="M72" i="11"/>
  <c r="M66" i="11"/>
  <c r="N113" i="11"/>
  <c r="P113" i="11" s="1"/>
  <c r="M103" i="11"/>
  <c r="M99" i="11"/>
  <c r="N90" i="11"/>
  <c r="P90" i="11" s="1"/>
  <c r="M80" i="11"/>
  <c r="M20" i="11"/>
  <c r="M104" i="11"/>
  <c r="M29" i="11"/>
  <c r="N87" i="11"/>
  <c r="P87" i="11" s="1"/>
  <c r="N48" i="11"/>
  <c r="P48" i="11" s="1"/>
  <c r="M34" i="11"/>
  <c r="M89" i="11"/>
  <c r="N20" i="11"/>
  <c r="P20" i="11" s="1"/>
  <c r="M86" i="11"/>
  <c r="M70" i="11"/>
  <c r="N63" i="11"/>
  <c r="P63" i="11" s="1"/>
  <c r="M57" i="11"/>
  <c r="M47" i="11"/>
  <c r="M41" i="11"/>
  <c r="N60" i="11"/>
  <c r="P60" i="11" s="1"/>
  <c r="M60" i="11"/>
  <c r="M90" i="11"/>
  <c r="N77" i="11"/>
  <c r="P77" i="11" s="1"/>
  <c r="N38" i="11"/>
  <c r="P38" i="11" s="1"/>
  <c r="N93" i="11"/>
  <c r="P93" i="11" s="1"/>
  <c r="M63" i="11"/>
  <c r="M50" i="11"/>
  <c r="N28" i="11"/>
  <c r="P28" i="11" s="1"/>
  <c r="N82" i="11"/>
  <c r="P82" i="11" s="1"/>
  <c r="D16" i="11"/>
  <c r="M87" i="11"/>
  <c r="M46" i="11"/>
  <c r="C16" i="11"/>
  <c r="N34" i="11"/>
  <c r="P34" i="11" s="1"/>
  <c r="N89" i="11"/>
  <c r="P89" i="11" s="1"/>
  <c r="N62" i="11"/>
  <c r="P62" i="11" s="1"/>
  <c r="M48" i="11"/>
  <c r="N40" i="11"/>
  <c r="P40" i="11" s="1"/>
  <c r="M38" i="11"/>
  <c r="M35" i="11"/>
  <c r="M113" i="11"/>
  <c r="M83" i="11"/>
  <c r="N31" i="11"/>
  <c r="P31" i="11" s="1"/>
  <c r="M28" i="11"/>
  <c r="N86" i="11"/>
  <c r="P86" i="11" s="1"/>
  <c r="M82" i="11"/>
  <c r="M18" i="11"/>
  <c r="M110" i="11"/>
  <c r="N110" i="11"/>
  <c r="P110" i="11" s="1"/>
  <c r="N85" i="11"/>
  <c r="P85" i="11" s="1"/>
  <c r="M77" i="11"/>
  <c r="M71" i="11"/>
  <c r="M23" i="11"/>
  <c r="N23" i="11"/>
  <c r="P23" i="11" s="1"/>
  <c r="M109" i="11"/>
  <c r="N109" i="11"/>
  <c r="P109" i="11" s="1"/>
  <c r="M100" i="11"/>
  <c r="M93" i="11"/>
  <c r="N37" i="11"/>
  <c r="P37" i="11" s="1"/>
  <c r="M106" i="11"/>
  <c r="N106" i="11"/>
  <c r="P106" i="11" s="1"/>
  <c r="N103" i="11"/>
  <c r="P103" i="11" s="1"/>
  <c r="M96" i="11"/>
  <c r="M84" i="11"/>
  <c r="M73" i="11"/>
  <c r="N73" i="11"/>
  <c r="P73" i="11" s="1"/>
  <c r="N70" i="11"/>
  <c r="P70" i="11" s="1"/>
  <c r="M65" i="11"/>
  <c r="N49" i="11"/>
  <c r="P49" i="11" s="1"/>
  <c r="N27" i="11"/>
  <c r="P27" i="11" s="1"/>
  <c r="M102" i="11"/>
  <c r="N102" i="11"/>
  <c r="P102" i="11" s="1"/>
  <c r="N99" i="11"/>
  <c r="P99" i="11" s="1"/>
  <c r="N81" i="11"/>
  <c r="P81" i="11" s="1"/>
  <c r="N57" i="11"/>
  <c r="P57" i="11" s="1"/>
  <c r="M36" i="11"/>
  <c r="M98" i="11"/>
  <c r="N98" i="11"/>
  <c r="P98" i="11" s="1"/>
  <c r="M67" i="11"/>
  <c r="N67" i="11"/>
  <c r="P67" i="11" s="1"/>
  <c r="M56" i="11"/>
  <c r="N56" i="11"/>
  <c r="P56" i="11" s="1"/>
  <c r="N33" i="11"/>
  <c r="P33" i="11" s="1"/>
  <c r="N78" i="11"/>
  <c r="P78" i="11" s="1"/>
  <c r="N108" i="11"/>
  <c r="P108" i="11" s="1"/>
  <c r="N105" i="11"/>
  <c r="P105" i="11" s="1"/>
  <c r="N101" i="11"/>
  <c r="P101" i="11" s="1"/>
  <c r="N97" i="11"/>
  <c r="P97" i="11" s="1"/>
  <c r="M85" i="11"/>
  <c r="M81" i="11"/>
  <c r="M78" i="11"/>
  <c r="N72" i="11"/>
  <c r="P72" i="11" s="1"/>
  <c r="N66" i="11"/>
  <c r="P66" i="11" s="1"/>
  <c r="M49" i="11"/>
  <c r="H42" i="11"/>
  <c r="M37" i="11"/>
  <c r="M33" i="11"/>
  <c r="M27" i="11"/>
  <c r="N22" i="11"/>
  <c r="P22" i="11" s="1"/>
  <c r="N50" i="11"/>
  <c r="P50" i="11" s="1"/>
  <c r="N46" i="11"/>
  <c r="P46" i="11" s="1"/>
  <c r="N76" i="11"/>
  <c r="N47" i="11"/>
  <c r="P47" i="11" s="1"/>
  <c r="N41" i="11"/>
  <c r="P41" i="11" s="1"/>
  <c r="N35" i="11"/>
  <c r="P35" i="11" s="1"/>
  <c r="N29" i="11"/>
  <c r="P29" i="11" s="1"/>
  <c r="N18" i="11"/>
  <c r="N111" i="11"/>
  <c r="P111" i="11" s="1"/>
  <c r="N104" i="11"/>
  <c r="P104" i="11" s="1"/>
  <c r="N100" i="11"/>
  <c r="P100" i="11" s="1"/>
  <c r="N96" i="11"/>
  <c r="P96" i="11" s="1"/>
  <c r="N71" i="11"/>
  <c r="P71" i="11" s="1"/>
  <c r="N65" i="11"/>
  <c r="P65" i="11" s="1"/>
  <c r="N59" i="11"/>
  <c r="P59" i="11" s="1"/>
  <c r="M25" i="10"/>
  <c r="M33" i="10"/>
  <c r="M32" i="10"/>
  <c r="N40" i="10"/>
  <c r="P40" i="10" s="1"/>
  <c r="N23" i="10"/>
  <c r="N46" i="10"/>
  <c r="N37" i="10"/>
  <c r="M37" i="10"/>
  <c r="M43" i="10"/>
  <c r="M45" i="10"/>
  <c r="N30" i="10"/>
  <c r="M18" i="10"/>
  <c r="M34" i="10"/>
  <c r="M40" i="10"/>
  <c r="D16" i="10"/>
  <c r="N43" i="10"/>
  <c r="P43" i="10" s="1"/>
  <c r="M46" i="10"/>
  <c r="N25" i="10"/>
  <c r="M19" i="10"/>
  <c r="G16" i="10"/>
  <c r="M36" i="10"/>
  <c r="N28" i="10"/>
  <c r="M23" i="10"/>
  <c r="N18" i="10"/>
  <c r="N45" i="10"/>
  <c r="M38" i="10"/>
  <c r="C16" i="10"/>
  <c r="M42" i="10"/>
  <c r="N34" i="10"/>
  <c r="M22" i="10"/>
  <c r="N19" i="10"/>
  <c r="M41" i="10"/>
  <c r="M30" i="10"/>
  <c r="M44" i="10"/>
  <c r="N33" i="10"/>
  <c r="H24" i="10"/>
  <c r="N36" i="10"/>
  <c r="M28" i="10"/>
  <c r="M21" i="10"/>
  <c r="N38" i="10"/>
  <c r="N26" i="10"/>
  <c r="N21" i="10"/>
  <c r="H20" i="10"/>
  <c r="M26" i="10"/>
  <c r="N44" i="10"/>
  <c r="N41" i="10"/>
  <c r="H27" i="10"/>
  <c r="N22" i="10"/>
  <c r="H17" i="10"/>
  <c r="F27" i="10"/>
  <c r="N42" i="10"/>
  <c r="N32" i="10"/>
  <c r="L49" i="9"/>
  <c r="M60" i="9"/>
  <c r="O60" i="9" s="1"/>
  <c r="L40" i="9"/>
  <c r="L71" i="9"/>
  <c r="L29" i="9"/>
  <c r="L25" i="9"/>
  <c r="M52" i="9"/>
  <c r="O52" i="9" s="1"/>
  <c r="L19" i="9"/>
  <c r="M71" i="9"/>
  <c r="O71" i="9" s="1"/>
  <c r="L52" i="9"/>
  <c r="M49" i="9"/>
  <c r="O49" i="9" s="1"/>
  <c r="L26" i="9"/>
  <c r="L48" i="9"/>
  <c r="L60" i="9"/>
  <c r="L50" i="9"/>
  <c r="L28" i="9"/>
  <c r="E16" i="9"/>
  <c r="C16" i="9"/>
  <c r="L72" i="9"/>
  <c r="L42" i="9"/>
  <c r="L39" i="9"/>
  <c r="M70" i="9"/>
  <c r="O70" i="9" s="1"/>
  <c r="L59" i="9"/>
  <c r="G51" i="9"/>
  <c r="L51" i="9" s="1"/>
  <c r="L68" i="9"/>
  <c r="M27" i="9"/>
  <c r="O27" i="9" s="1"/>
  <c r="L20" i="9"/>
  <c r="M72" i="9"/>
  <c r="O72" i="9" s="1"/>
  <c r="M28" i="9"/>
  <c r="O28" i="9" s="1"/>
  <c r="M19" i="9"/>
  <c r="O19" i="9" s="1"/>
  <c r="L53" i="9"/>
  <c r="M25" i="9"/>
  <c r="O25" i="9" s="1"/>
  <c r="L73" i="9"/>
  <c r="K16" i="9"/>
  <c r="F45" i="9"/>
  <c r="F16" i="9" s="1"/>
  <c r="L27" i="9"/>
  <c r="B16" i="9"/>
  <c r="L70" i="9"/>
  <c r="L41" i="9"/>
  <c r="M41" i="9"/>
  <c r="O41" i="9" s="1"/>
  <c r="G76" i="9"/>
  <c r="M68" i="9"/>
  <c r="O68" i="9" s="1"/>
  <c r="M53" i="9"/>
  <c r="O53" i="9" s="1"/>
  <c r="M50" i="9"/>
  <c r="O50" i="9" s="1"/>
  <c r="M26" i="9"/>
  <c r="O26" i="9" s="1"/>
  <c r="M73" i="9"/>
  <c r="O73" i="9" s="1"/>
  <c r="M42" i="9"/>
  <c r="O42" i="9" s="1"/>
  <c r="M39" i="9"/>
  <c r="O39" i="9" s="1"/>
  <c r="M29" i="9"/>
  <c r="O29" i="9" s="1"/>
  <c r="M59" i="9"/>
  <c r="M48" i="9"/>
  <c r="M20" i="9"/>
  <c r="O20" i="9" s="1"/>
  <c r="P147" i="12" l="1"/>
  <c r="P82" i="12"/>
  <c r="P73" i="12" s="1"/>
  <c r="P94" i="12"/>
  <c r="P63" i="12"/>
  <c r="N63" i="12"/>
  <c r="N94" i="12"/>
  <c r="H147" i="12"/>
  <c r="H94" i="12"/>
  <c r="Q95" i="12"/>
  <c r="Q27" i="12"/>
  <c r="M122" i="12"/>
  <c r="Q162" i="12"/>
  <c r="M63" i="12"/>
  <c r="Q64" i="12"/>
  <c r="H18" i="12"/>
  <c r="H17" i="12" s="1"/>
  <c r="M73" i="12"/>
  <c r="Q74" i="12"/>
  <c r="Q53" i="12"/>
  <c r="H122" i="12"/>
  <c r="M18" i="12"/>
  <c r="Q148" i="12"/>
  <c r="H16" i="11"/>
  <c r="G16" i="11"/>
  <c r="M42" i="11"/>
  <c r="N42" i="11"/>
  <c r="P42" i="11" s="1"/>
  <c r="P18" i="11"/>
  <c r="P76" i="11"/>
  <c r="P37" i="10"/>
  <c r="P41" i="10"/>
  <c r="P33" i="10"/>
  <c r="P46" i="10"/>
  <c r="P44" i="10"/>
  <c r="P32" i="10"/>
  <c r="P45" i="10"/>
  <c r="P25" i="10"/>
  <c r="P23" i="10"/>
  <c r="P42" i="10"/>
  <c r="P18" i="10"/>
  <c r="P30" i="10"/>
  <c r="P19" i="10"/>
  <c r="P17" i="10" s="1"/>
  <c r="P28" i="10"/>
  <c r="P22" i="10"/>
  <c r="P38" i="10"/>
  <c r="P36" i="10"/>
  <c r="P34" i="10"/>
  <c r="M24" i="10"/>
  <c r="M17" i="10"/>
  <c r="M27" i="10"/>
  <c r="M20" i="10"/>
  <c r="N17" i="10"/>
  <c r="H16" i="10"/>
  <c r="P21" i="10"/>
  <c r="N20" i="10"/>
  <c r="P26" i="10"/>
  <c r="N24" i="10"/>
  <c r="F16" i="10"/>
  <c r="N27" i="10"/>
  <c r="L76" i="9"/>
  <c r="O45" i="9"/>
  <c r="L45" i="9"/>
  <c r="G45" i="9"/>
  <c r="M51" i="9"/>
  <c r="O51" i="9" s="1"/>
  <c r="G55" i="9"/>
  <c r="G16" i="9" s="1"/>
  <c r="L55" i="9"/>
  <c r="M45" i="9"/>
  <c r="O48" i="9"/>
  <c r="M76" i="9"/>
  <c r="O59" i="9"/>
  <c r="O76" i="9" s="1"/>
  <c r="Q82" i="12" l="1"/>
  <c r="Q63" i="12"/>
  <c r="Q73" i="12"/>
  <c r="M147" i="12"/>
  <c r="Q147" i="12" s="1"/>
  <c r="P18" i="12"/>
  <c r="Q122" i="12"/>
  <c r="P20" i="10"/>
  <c r="P27" i="10"/>
  <c r="P24" i="10"/>
  <c r="M16" i="10"/>
  <c r="N16" i="10"/>
  <c r="L16" i="9"/>
  <c r="O55" i="9"/>
  <c r="O16" i="9" s="1"/>
  <c r="M55" i="9"/>
  <c r="M16" i="9" s="1"/>
  <c r="P17" i="12" l="1"/>
  <c r="Q18" i="12"/>
  <c r="M94" i="12"/>
  <c r="N16" i="11"/>
  <c r="P16" i="11"/>
  <c r="P16" i="10"/>
  <c r="Q94" i="12" l="1"/>
  <c r="M17" i="12"/>
  <c r="Q17" i="12" l="1"/>
  <c r="M82" i="8" l="1"/>
  <c r="M74" i="8"/>
  <c r="C19" i="8"/>
  <c r="D19" i="8"/>
  <c r="F19" i="8"/>
  <c r="G19" i="8"/>
  <c r="H20" i="8"/>
  <c r="K20" i="8"/>
  <c r="N20" i="8" s="1"/>
  <c r="P20" i="8" s="1"/>
  <c r="H21" i="8"/>
  <c r="K21" i="8"/>
  <c r="N21" i="8"/>
  <c r="P21" i="8" s="1"/>
  <c r="H22" i="8"/>
  <c r="K22" i="8"/>
  <c r="N22" i="8"/>
  <c r="P22" i="8" s="1"/>
  <c r="H23" i="8"/>
  <c r="K23" i="8"/>
  <c r="N23" i="8" s="1"/>
  <c r="P23" i="8" s="1"/>
  <c r="H24" i="8"/>
  <c r="K24" i="8"/>
  <c r="N24" i="8" s="1"/>
  <c r="P24" i="8" s="1"/>
  <c r="H25" i="8"/>
  <c r="K25" i="8"/>
  <c r="N25" i="8"/>
  <c r="P25" i="8" s="1"/>
  <c r="C38" i="8"/>
  <c r="F38" i="8"/>
  <c r="G38" i="8"/>
  <c r="O38" i="8"/>
  <c r="H39" i="8"/>
  <c r="J39" i="8"/>
  <c r="K39" i="8" s="1"/>
  <c r="M39" i="8" s="1"/>
  <c r="M27" i="8" s="1"/>
  <c r="Q39" i="8"/>
  <c r="H40" i="8"/>
  <c r="K40" i="8"/>
  <c r="N40" i="8"/>
  <c r="P40" i="8"/>
  <c r="Q40" i="8"/>
  <c r="H41" i="8"/>
  <c r="K41" i="8"/>
  <c r="N41" i="8" s="1"/>
  <c r="P41" i="8" s="1"/>
  <c r="Q41" i="8"/>
  <c r="D42" i="8"/>
  <c r="D27" i="8" s="1"/>
  <c r="H43" i="8"/>
  <c r="K43" i="8"/>
  <c r="N43" i="8" s="1"/>
  <c r="P43" i="8" s="1"/>
  <c r="Q43" i="8"/>
  <c r="H44" i="8"/>
  <c r="K44" i="8"/>
  <c r="N44" i="8" s="1"/>
  <c r="P44" i="8" s="1"/>
  <c r="Q44" i="8"/>
  <c r="C45" i="8"/>
  <c r="C42" i="8" s="1"/>
  <c r="C27" i="8" s="1"/>
  <c r="C15" i="8" s="1"/>
  <c r="F45" i="8"/>
  <c r="F42" i="8" s="1"/>
  <c r="F27" i="8" s="1"/>
  <c r="F15" i="8" s="1"/>
  <c r="G45" i="8"/>
  <c r="G42" i="8" s="1"/>
  <c r="O45" i="8"/>
  <c r="O42" i="8" s="1"/>
  <c r="H46" i="8"/>
  <c r="K46" i="8"/>
  <c r="M46" i="8" s="1"/>
  <c r="Q46" i="8"/>
  <c r="H47" i="8"/>
  <c r="K47" i="8"/>
  <c r="N47" i="8" s="1"/>
  <c r="Q47" i="8"/>
  <c r="H48" i="8"/>
  <c r="K48" i="8"/>
  <c r="N48" i="8" s="1"/>
  <c r="P48" i="8" s="1"/>
  <c r="Q48" i="8"/>
  <c r="H49" i="8"/>
  <c r="K49" i="8"/>
  <c r="M49" i="8"/>
  <c r="Q49" i="8"/>
  <c r="H50" i="8"/>
  <c r="K50" i="8"/>
  <c r="N50" i="8" s="1"/>
  <c r="P50" i="8" s="1"/>
  <c r="Q50" i="8"/>
  <c r="C51" i="8"/>
  <c r="G51" i="8"/>
  <c r="O51" i="8"/>
  <c r="H52" i="8"/>
  <c r="H51" i="8" s="1"/>
  <c r="K52" i="8"/>
  <c r="N52" i="8" s="1"/>
  <c r="P52" i="8" s="1"/>
  <c r="Q52" i="8"/>
  <c r="H53" i="8"/>
  <c r="K53" i="8"/>
  <c r="N53" i="8" s="1"/>
  <c r="P53" i="8" s="1"/>
  <c r="Q53" i="8"/>
  <c r="H54" i="8"/>
  <c r="J54" i="8"/>
  <c r="K54" i="8" s="1"/>
  <c r="N54" i="8" s="1"/>
  <c r="P54" i="8" s="1"/>
  <c r="Q54" i="8"/>
  <c r="H55" i="8"/>
  <c r="K55" i="8"/>
  <c r="N55" i="8" s="1"/>
  <c r="P55" i="8" s="1"/>
  <c r="Q55" i="8"/>
  <c r="G56" i="8"/>
  <c r="H57" i="8"/>
  <c r="J57" i="8"/>
  <c r="K57" i="8"/>
  <c r="M57" i="8"/>
  <c r="Q57" i="8"/>
  <c r="H58" i="8"/>
  <c r="H56" i="8" s="1"/>
  <c r="K58" i="8"/>
  <c r="N58" i="8"/>
  <c r="P58" i="8" s="1"/>
  <c r="Q58" i="8"/>
  <c r="C60" i="8"/>
  <c r="D60" i="8"/>
  <c r="F60" i="8"/>
  <c r="G60" i="8"/>
  <c r="N60" i="8"/>
  <c r="P60" i="8"/>
  <c r="H61" i="8"/>
  <c r="H60" i="8" s="1"/>
  <c r="K61" i="8"/>
  <c r="M61" i="8" s="1"/>
  <c r="Q61" i="8"/>
  <c r="H62" i="8"/>
  <c r="J62" i="8"/>
  <c r="K62" i="8" s="1"/>
  <c r="M62" i="8" s="1"/>
  <c r="Q62" i="8"/>
  <c r="H63" i="8"/>
  <c r="K63" i="8"/>
  <c r="M63" i="8" s="1"/>
  <c r="Q63" i="8"/>
  <c r="H64" i="8"/>
  <c r="K64" i="8"/>
  <c r="M64" i="8" s="1"/>
  <c r="Q64" i="8"/>
  <c r="H65" i="8"/>
  <c r="K65" i="8"/>
  <c r="M65" i="8"/>
  <c r="Q65" i="8"/>
  <c r="H66" i="8"/>
  <c r="K66" i="8"/>
  <c r="M66" i="8" s="1"/>
  <c r="Q66" i="8"/>
  <c r="H67" i="8"/>
  <c r="K67" i="8"/>
  <c r="M67" i="8"/>
  <c r="Q67" i="8"/>
  <c r="C69" i="8"/>
  <c r="D69" i="8"/>
  <c r="F69" i="8"/>
  <c r="G69" i="8"/>
  <c r="N69" i="8"/>
  <c r="P69" i="8"/>
  <c r="H70" i="8"/>
  <c r="K70" i="8"/>
  <c r="M70" i="8" s="1"/>
  <c r="M69" i="8" s="1"/>
  <c r="Q70" i="8"/>
  <c r="H71" i="8"/>
  <c r="K71" i="8"/>
  <c r="M71" i="8"/>
  <c r="Q71" i="8"/>
  <c r="N45" i="8" l="1"/>
  <c r="P47" i="8"/>
  <c r="P45" i="8" s="1"/>
  <c r="P42" i="8" s="1"/>
  <c r="P27" i="8" s="1"/>
  <c r="P15" i="8" s="1"/>
  <c r="G27" i="8"/>
  <c r="G15" i="8" s="1"/>
  <c r="H38" i="8"/>
  <c r="H45" i="8"/>
  <c r="H42" i="8" s="1"/>
  <c r="H27" i="8" s="1"/>
  <c r="H69" i="8"/>
  <c r="D15" i="8"/>
  <c r="P19" i="8"/>
  <c r="H19" i="8"/>
  <c r="N19" i="8"/>
  <c r="P38" i="8"/>
  <c r="N27" i="8"/>
  <c r="M60" i="8"/>
  <c r="M15" i="8" s="1"/>
  <c r="P51" i="8"/>
  <c r="N51" i="8"/>
  <c r="N38" i="8"/>
  <c r="N42" i="8"/>
  <c r="H15" i="8" l="1"/>
  <c r="N15" i="8"/>
  <c r="AC1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author>
  </authors>
  <commentList>
    <comment ref="C9" authorId="0" shapeId="0" xr:uid="{260678D8-D06E-44C2-9D8F-5183CDBDC5A6}">
      <text>
        <r>
          <rPr>
            <b/>
            <sz val="9"/>
            <color indexed="81"/>
            <rFont val="Tahoma"/>
            <family val="2"/>
          </rPr>
          <t>Chris:</t>
        </r>
        <r>
          <rPr>
            <sz val="9"/>
            <color indexed="81"/>
            <rFont val="Tahoma"/>
            <family val="2"/>
          </rPr>
          <t xml:space="preserve">
TOTALLY DAMAGED
</t>
        </r>
      </text>
    </comment>
    <comment ref="D9" authorId="0" shapeId="0" xr:uid="{499EB094-7EE8-438A-8DF5-B9646015144B}">
      <text>
        <r>
          <rPr>
            <b/>
            <sz val="9"/>
            <color indexed="81"/>
            <rFont val="Tahoma"/>
            <family val="2"/>
          </rPr>
          <t>Chris:</t>
        </r>
        <r>
          <rPr>
            <sz val="9"/>
            <color indexed="81"/>
            <rFont val="Tahoma"/>
            <family val="2"/>
          </rPr>
          <t xml:space="preserve">
PARTIALLY DAMAGED
</t>
        </r>
      </text>
    </comment>
    <comment ref="I9" authorId="0" shapeId="0" xr:uid="{E85C5F4D-6A56-438F-8A95-60CC8BCECD2F}">
      <text>
        <r>
          <rPr>
            <b/>
            <sz val="9"/>
            <color indexed="81"/>
            <rFont val="Tahoma"/>
            <family val="2"/>
          </rPr>
          <t>Chris:</t>
        </r>
        <r>
          <rPr>
            <sz val="9"/>
            <color indexed="81"/>
            <rFont val="Tahoma"/>
            <family val="2"/>
          </rPr>
          <t xml:space="preserve">
TOTALLY DAMAGED
</t>
        </r>
      </text>
    </comment>
    <comment ref="J9" authorId="0" shapeId="0" xr:uid="{294F6186-98C8-41D4-96D8-BF878FDCD5AF}">
      <text>
        <r>
          <rPr>
            <b/>
            <sz val="9"/>
            <color indexed="81"/>
            <rFont val="Tahoma"/>
            <family val="2"/>
          </rPr>
          <t>Chris:</t>
        </r>
        <r>
          <rPr>
            <sz val="9"/>
            <color indexed="81"/>
            <rFont val="Tahoma"/>
            <family val="2"/>
          </rPr>
          <t xml:space="preserve">
PARTIALLY DAMAGED
</t>
        </r>
      </text>
    </comment>
    <comment ref="O9" authorId="0" shapeId="0" xr:uid="{A539DBFE-FDED-493E-862D-3757EE824038}">
      <text>
        <r>
          <rPr>
            <b/>
            <sz val="9"/>
            <color indexed="81"/>
            <rFont val="Tahoma"/>
            <family val="2"/>
          </rPr>
          <t>Chris:</t>
        </r>
        <r>
          <rPr>
            <sz val="9"/>
            <color indexed="81"/>
            <rFont val="Tahoma"/>
            <family val="2"/>
          </rPr>
          <t xml:space="preserve">
TOTALLY DAMAGED
</t>
        </r>
      </text>
    </comment>
    <comment ref="P9" authorId="0" shapeId="0" xr:uid="{C4F14D6B-92AD-4009-A2DC-317E617EE233}">
      <text>
        <r>
          <rPr>
            <b/>
            <sz val="9"/>
            <color indexed="81"/>
            <rFont val="Tahoma"/>
            <family val="2"/>
          </rPr>
          <t>Chris:</t>
        </r>
        <r>
          <rPr>
            <sz val="9"/>
            <color indexed="81"/>
            <rFont val="Tahoma"/>
            <family val="2"/>
          </rPr>
          <t xml:space="preserve">
PARTIALLY DAMAGED
</t>
        </r>
      </text>
    </comment>
    <comment ref="U9" authorId="0" shapeId="0" xr:uid="{1130090C-6A23-43E5-825D-AB456FE3EDA4}">
      <text>
        <r>
          <rPr>
            <b/>
            <sz val="9"/>
            <color indexed="81"/>
            <rFont val="Tahoma"/>
            <family val="2"/>
          </rPr>
          <t>Chris:</t>
        </r>
        <r>
          <rPr>
            <sz val="9"/>
            <color indexed="81"/>
            <rFont val="Tahoma"/>
            <family val="2"/>
          </rPr>
          <t xml:space="preserve">
TOTALLY DAMAGED
</t>
        </r>
      </text>
    </comment>
    <comment ref="V9" authorId="0" shapeId="0" xr:uid="{DD24DB44-7F1C-49E1-8341-E6A955C8808F}">
      <text>
        <r>
          <rPr>
            <b/>
            <sz val="9"/>
            <color indexed="81"/>
            <rFont val="Tahoma"/>
            <family val="2"/>
          </rPr>
          <t>Chris:</t>
        </r>
        <r>
          <rPr>
            <sz val="9"/>
            <color indexed="81"/>
            <rFont val="Tahoma"/>
            <family val="2"/>
          </rPr>
          <t xml:space="preserve">
PARTIALLY DAMAGED
</t>
        </r>
      </text>
    </comment>
    <comment ref="AA9" authorId="0" shapeId="0" xr:uid="{389CC7A1-9C18-44DB-9EEF-178544A98B21}">
      <text>
        <r>
          <rPr>
            <b/>
            <sz val="9"/>
            <color indexed="81"/>
            <rFont val="Tahoma"/>
            <family val="2"/>
          </rPr>
          <t>Chris:</t>
        </r>
        <r>
          <rPr>
            <sz val="9"/>
            <color indexed="81"/>
            <rFont val="Tahoma"/>
            <family val="2"/>
          </rPr>
          <t xml:space="preserve">
TOTALLY DAMAGED
</t>
        </r>
      </text>
    </comment>
    <comment ref="AB9" authorId="0" shapeId="0" xr:uid="{595F1EF1-A8DE-493A-A49E-F56599E89207}">
      <text>
        <r>
          <rPr>
            <b/>
            <sz val="9"/>
            <color indexed="81"/>
            <rFont val="Tahoma"/>
            <family val="2"/>
          </rPr>
          <t>Chris:</t>
        </r>
        <r>
          <rPr>
            <sz val="9"/>
            <color indexed="81"/>
            <rFont val="Tahoma"/>
            <family val="2"/>
          </rPr>
          <t xml:space="preserve">
PARTIALLY DAMAGED
</t>
        </r>
      </text>
    </comment>
    <comment ref="AG9" authorId="0" shapeId="0" xr:uid="{DEFE1DF0-33F6-4A89-9531-5C2DF3FB0633}">
      <text>
        <r>
          <rPr>
            <b/>
            <sz val="9"/>
            <color indexed="81"/>
            <rFont val="Tahoma"/>
            <family val="2"/>
          </rPr>
          <t>Chris:</t>
        </r>
        <r>
          <rPr>
            <sz val="9"/>
            <color indexed="81"/>
            <rFont val="Tahoma"/>
            <family val="2"/>
          </rPr>
          <t xml:space="preserve">
TOTALLY DAMAGED
</t>
        </r>
      </text>
    </comment>
    <comment ref="AH9" authorId="0" shapeId="0" xr:uid="{B87938E0-0483-41D3-82DE-D8737A5D34CA}">
      <text>
        <r>
          <rPr>
            <b/>
            <sz val="9"/>
            <color indexed="81"/>
            <rFont val="Tahoma"/>
            <family val="2"/>
          </rPr>
          <t>Chris:</t>
        </r>
        <r>
          <rPr>
            <sz val="9"/>
            <color indexed="81"/>
            <rFont val="Tahoma"/>
            <family val="2"/>
          </rPr>
          <t xml:space="preserve">
PARTIALLY DAMAGED
</t>
        </r>
      </text>
    </comment>
    <comment ref="AM9" authorId="0" shapeId="0" xr:uid="{04AA516B-F11F-4C12-9D48-EDFEA77D56E6}">
      <text>
        <r>
          <rPr>
            <b/>
            <sz val="9"/>
            <color indexed="81"/>
            <rFont val="Tahoma"/>
            <family val="2"/>
          </rPr>
          <t>Chris:</t>
        </r>
        <r>
          <rPr>
            <sz val="9"/>
            <color indexed="81"/>
            <rFont val="Tahoma"/>
            <family val="2"/>
          </rPr>
          <t xml:space="preserve">
TOTALLY DAMAGED
</t>
        </r>
      </text>
    </comment>
    <comment ref="AN9" authorId="0" shapeId="0" xr:uid="{118BC415-101C-427F-90FD-8B23D87DF493}">
      <text>
        <r>
          <rPr>
            <b/>
            <sz val="9"/>
            <color indexed="81"/>
            <rFont val="Tahoma"/>
            <family val="2"/>
          </rPr>
          <t>Chris:</t>
        </r>
        <r>
          <rPr>
            <sz val="9"/>
            <color indexed="81"/>
            <rFont val="Tahoma"/>
            <family val="2"/>
          </rPr>
          <t xml:space="preserve">
PARTIALLY DAMAGED
</t>
        </r>
      </text>
    </comment>
    <comment ref="AS9" authorId="0" shapeId="0" xr:uid="{C4878FF8-6A4C-47DF-B845-FBC907178AE9}">
      <text>
        <r>
          <rPr>
            <b/>
            <sz val="9"/>
            <color indexed="81"/>
            <rFont val="Tahoma"/>
            <family val="2"/>
          </rPr>
          <t>Chris:</t>
        </r>
        <r>
          <rPr>
            <sz val="9"/>
            <color indexed="81"/>
            <rFont val="Tahoma"/>
            <family val="2"/>
          </rPr>
          <t xml:space="preserve">
TOTALLY DAMAGED
</t>
        </r>
      </text>
    </comment>
    <comment ref="AT9" authorId="0" shapeId="0" xr:uid="{93D1CBD1-972C-4E8A-9AD2-037EBE4824C6}">
      <text>
        <r>
          <rPr>
            <b/>
            <sz val="9"/>
            <color indexed="81"/>
            <rFont val="Tahoma"/>
            <family val="2"/>
          </rPr>
          <t>Chris:</t>
        </r>
        <r>
          <rPr>
            <sz val="9"/>
            <color indexed="81"/>
            <rFont val="Tahoma"/>
            <family val="2"/>
          </rPr>
          <t xml:space="preserve">
PARTIALLY DAMAGED
</t>
        </r>
      </text>
    </comment>
    <comment ref="AY9" authorId="0" shapeId="0" xr:uid="{D33864A2-9270-41A9-93D7-015A89F34DF2}">
      <text>
        <r>
          <rPr>
            <b/>
            <sz val="9"/>
            <color indexed="81"/>
            <rFont val="Tahoma"/>
            <family val="2"/>
          </rPr>
          <t>Chris:</t>
        </r>
        <r>
          <rPr>
            <sz val="9"/>
            <color indexed="81"/>
            <rFont val="Tahoma"/>
            <family val="2"/>
          </rPr>
          <t xml:space="preserve">
TOTALLY DAMAGED
</t>
        </r>
      </text>
    </comment>
    <comment ref="AZ9" authorId="0" shapeId="0" xr:uid="{36AB307B-E719-444A-9829-888F6A149BF9}">
      <text>
        <r>
          <rPr>
            <b/>
            <sz val="9"/>
            <color indexed="81"/>
            <rFont val="Tahoma"/>
            <family val="2"/>
          </rPr>
          <t>Chris:</t>
        </r>
        <r>
          <rPr>
            <sz val="9"/>
            <color indexed="81"/>
            <rFont val="Tahoma"/>
            <family val="2"/>
          </rPr>
          <t xml:space="preserve">
PARTIALLY DAMAGED
</t>
        </r>
      </text>
    </comment>
    <comment ref="BE9" authorId="0" shapeId="0" xr:uid="{2CE3A425-82F0-4EF4-AC80-11262E092CDC}">
      <text>
        <r>
          <rPr>
            <b/>
            <sz val="9"/>
            <color indexed="81"/>
            <rFont val="Tahoma"/>
            <family val="2"/>
          </rPr>
          <t>Chris:</t>
        </r>
        <r>
          <rPr>
            <sz val="9"/>
            <color indexed="81"/>
            <rFont val="Tahoma"/>
            <family val="2"/>
          </rPr>
          <t xml:space="preserve">
TOTALLY DAMAGED
</t>
        </r>
      </text>
    </comment>
    <comment ref="BF9" authorId="0" shapeId="0" xr:uid="{84D35589-0550-4688-B953-7BF845710BE9}">
      <text>
        <r>
          <rPr>
            <b/>
            <sz val="9"/>
            <color indexed="81"/>
            <rFont val="Tahoma"/>
            <family val="2"/>
          </rPr>
          <t>Chris:</t>
        </r>
        <r>
          <rPr>
            <sz val="9"/>
            <color indexed="81"/>
            <rFont val="Tahoma"/>
            <family val="2"/>
          </rPr>
          <t xml:space="preserve">
PARTIALLY DAMAGED
</t>
        </r>
      </text>
    </comment>
    <comment ref="BK9" authorId="0" shapeId="0" xr:uid="{89BEB548-E2DF-4C04-BE3B-C1724C65C259}">
      <text>
        <r>
          <rPr>
            <b/>
            <sz val="9"/>
            <color indexed="81"/>
            <rFont val="Tahoma"/>
            <family val="2"/>
          </rPr>
          <t>Chris:</t>
        </r>
        <r>
          <rPr>
            <sz val="9"/>
            <color indexed="81"/>
            <rFont val="Tahoma"/>
            <family val="2"/>
          </rPr>
          <t xml:space="preserve">
TOTALLY DAMAGED
</t>
        </r>
      </text>
    </comment>
    <comment ref="BL9" authorId="0" shapeId="0" xr:uid="{AEB9D144-8922-4990-B4D3-D774844C760C}">
      <text>
        <r>
          <rPr>
            <b/>
            <sz val="9"/>
            <color indexed="81"/>
            <rFont val="Tahoma"/>
            <family val="2"/>
          </rPr>
          <t>Chris:</t>
        </r>
        <r>
          <rPr>
            <sz val="9"/>
            <color indexed="81"/>
            <rFont val="Tahoma"/>
            <family val="2"/>
          </rPr>
          <t xml:space="preserve">
PARTIALLY DAMAGED
</t>
        </r>
      </text>
    </comment>
    <comment ref="BQ9" authorId="0" shapeId="0" xr:uid="{E389560E-1D1E-4B92-B0B9-316A84D2362C}">
      <text>
        <r>
          <rPr>
            <b/>
            <sz val="9"/>
            <color indexed="81"/>
            <rFont val="Tahoma"/>
            <family val="2"/>
          </rPr>
          <t>Chris:</t>
        </r>
        <r>
          <rPr>
            <sz val="9"/>
            <color indexed="81"/>
            <rFont val="Tahoma"/>
            <family val="2"/>
          </rPr>
          <t xml:space="preserve">
TOTALLY DAMAGED
</t>
        </r>
      </text>
    </comment>
    <comment ref="BR9" authorId="0" shapeId="0" xr:uid="{C547970C-E660-4065-9D27-B654BC8FC621}">
      <text>
        <r>
          <rPr>
            <b/>
            <sz val="9"/>
            <color indexed="81"/>
            <rFont val="Tahoma"/>
            <family val="2"/>
          </rPr>
          <t>Chris:</t>
        </r>
        <r>
          <rPr>
            <sz val="9"/>
            <color indexed="81"/>
            <rFont val="Tahoma"/>
            <family val="2"/>
          </rPr>
          <t xml:space="preserve">
PARTIALLY DAMAGED
</t>
        </r>
      </text>
    </comment>
    <comment ref="BW9" authorId="0" shapeId="0" xr:uid="{D380E181-89EE-4D67-BDE9-04B0A4419C40}">
      <text>
        <r>
          <rPr>
            <b/>
            <sz val="9"/>
            <color indexed="81"/>
            <rFont val="Tahoma"/>
            <family val="2"/>
          </rPr>
          <t>Chris:</t>
        </r>
        <r>
          <rPr>
            <sz val="9"/>
            <color indexed="81"/>
            <rFont val="Tahoma"/>
            <family val="2"/>
          </rPr>
          <t xml:space="preserve">
TOTALLY DAMAGED
</t>
        </r>
      </text>
    </comment>
    <comment ref="BX9" authorId="0" shapeId="0" xr:uid="{CAA6BC1B-9028-44D4-8910-53EB291C7B82}">
      <text>
        <r>
          <rPr>
            <b/>
            <sz val="9"/>
            <color indexed="81"/>
            <rFont val="Tahoma"/>
            <family val="2"/>
          </rPr>
          <t>Chris:</t>
        </r>
        <r>
          <rPr>
            <sz val="9"/>
            <color indexed="81"/>
            <rFont val="Tahoma"/>
            <family val="2"/>
          </rPr>
          <t xml:space="preserve">
PARTIALLY DAMAGED
</t>
        </r>
      </text>
    </comment>
    <comment ref="CC9" authorId="0" shapeId="0" xr:uid="{F3D578E9-1583-492F-8BE7-4EB007C69889}">
      <text>
        <r>
          <rPr>
            <b/>
            <sz val="9"/>
            <color indexed="81"/>
            <rFont val="Tahoma"/>
            <family val="2"/>
          </rPr>
          <t>Chris:</t>
        </r>
        <r>
          <rPr>
            <sz val="9"/>
            <color indexed="81"/>
            <rFont val="Tahoma"/>
            <family val="2"/>
          </rPr>
          <t xml:space="preserve">
TOTALLY DAMAGED
</t>
        </r>
      </text>
    </comment>
    <comment ref="CD9" authorId="0" shapeId="0" xr:uid="{651259CE-FDF4-47C0-A4A4-C8DF00765287}">
      <text>
        <r>
          <rPr>
            <b/>
            <sz val="9"/>
            <color indexed="81"/>
            <rFont val="Tahoma"/>
            <family val="2"/>
          </rPr>
          <t>Chris:</t>
        </r>
        <r>
          <rPr>
            <sz val="9"/>
            <color indexed="81"/>
            <rFont val="Tahoma"/>
            <family val="2"/>
          </rPr>
          <t xml:space="preserve">
PARTIALLY DAMAGED
</t>
        </r>
      </text>
    </comment>
    <comment ref="CI9" authorId="0" shapeId="0" xr:uid="{F5FDE8C5-E411-44A9-88CC-7889A1AC2884}">
      <text>
        <r>
          <rPr>
            <b/>
            <sz val="9"/>
            <color indexed="81"/>
            <rFont val="Tahoma"/>
            <family val="2"/>
          </rPr>
          <t>Chris:</t>
        </r>
        <r>
          <rPr>
            <sz val="9"/>
            <color indexed="81"/>
            <rFont val="Tahoma"/>
            <family val="2"/>
          </rPr>
          <t xml:space="preserve">
TOTALLY DAMAGED
</t>
        </r>
      </text>
    </comment>
    <comment ref="CJ9" authorId="0" shapeId="0" xr:uid="{0535EDA5-6494-4541-860A-76774669610D}">
      <text>
        <r>
          <rPr>
            <b/>
            <sz val="9"/>
            <color indexed="81"/>
            <rFont val="Tahoma"/>
            <family val="2"/>
          </rPr>
          <t>Chris:</t>
        </r>
        <r>
          <rPr>
            <sz val="9"/>
            <color indexed="81"/>
            <rFont val="Tahoma"/>
            <family val="2"/>
          </rPr>
          <t xml:space="preserve">
PARTIALLY DAMAGED
</t>
        </r>
      </text>
    </comment>
  </commentList>
</comments>
</file>

<file path=xl/sharedStrings.xml><?xml version="1.0" encoding="utf-8"?>
<sst xmlns="http://schemas.openxmlformats.org/spreadsheetml/2006/main" count="1367" uniqueCount="454">
  <si>
    <t>San Vicente</t>
  </si>
  <si>
    <t>Bato</t>
  </si>
  <si>
    <t>Mercedes</t>
  </si>
  <si>
    <t>San Jose</t>
  </si>
  <si>
    <t>San Miguel</t>
  </si>
  <si>
    <t>Rice</t>
  </si>
  <si>
    <t>No. of Farmers Affected</t>
  </si>
  <si>
    <t>Alang-alang</t>
  </si>
  <si>
    <t>Albuera</t>
  </si>
  <si>
    <t>Barugo</t>
  </si>
  <si>
    <t>Baybay City</t>
  </si>
  <si>
    <t>Burauen</t>
  </si>
  <si>
    <t>Carigara</t>
  </si>
  <si>
    <t>Dagami</t>
  </si>
  <si>
    <t>Dulag</t>
  </si>
  <si>
    <t>Jaro</t>
  </si>
  <si>
    <t>Julita</t>
  </si>
  <si>
    <t>Kananga</t>
  </si>
  <si>
    <t>La Paz</t>
  </si>
  <si>
    <t>Leyte-leyte</t>
  </si>
  <si>
    <t>Mac Arthur</t>
  </si>
  <si>
    <t>Mayorga</t>
  </si>
  <si>
    <t>Merida</t>
  </si>
  <si>
    <t>Ormoc City</t>
  </si>
  <si>
    <t>Palo</t>
  </si>
  <si>
    <t>Pastrana</t>
  </si>
  <si>
    <t>Sta. Fe</t>
  </si>
  <si>
    <t>Tabango</t>
  </si>
  <si>
    <t>Tabon-tabon</t>
  </si>
  <si>
    <t>Tacloban City</t>
  </si>
  <si>
    <t>Tanauan</t>
  </si>
  <si>
    <t>Tunga</t>
  </si>
  <si>
    <t>Villaba</t>
  </si>
  <si>
    <t>SOUTHERN LEYTE</t>
  </si>
  <si>
    <t>Anahawan</t>
  </si>
  <si>
    <t>Bontoc</t>
  </si>
  <si>
    <t>Hinunangan</t>
  </si>
  <si>
    <t>Liloan</t>
  </si>
  <si>
    <t>Maasin City</t>
  </si>
  <si>
    <t>Macrohon</t>
  </si>
  <si>
    <t>Malitbog</t>
  </si>
  <si>
    <t>Padre Burgos</t>
  </si>
  <si>
    <t>Pintuyan</t>
  </si>
  <si>
    <t>San Francisco</t>
  </si>
  <si>
    <t>Silago</t>
  </si>
  <si>
    <t>Sogod</t>
  </si>
  <si>
    <t>BILIRAN</t>
  </si>
  <si>
    <t>Almeria</t>
  </si>
  <si>
    <t>Biliran</t>
  </si>
  <si>
    <t>Cabucgayan</t>
  </si>
  <si>
    <t>Caibiran</t>
  </si>
  <si>
    <t>Culaba</t>
  </si>
  <si>
    <t>Kawayan</t>
  </si>
  <si>
    <t>Naval</t>
  </si>
  <si>
    <t>SAMAR</t>
  </si>
  <si>
    <t>Basey</t>
  </si>
  <si>
    <t>Calbiga</t>
  </si>
  <si>
    <t>Catbalogan City</t>
  </si>
  <si>
    <t>Daram</t>
  </si>
  <si>
    <t>Gandara</t>
  </si>
  <si>
    <t>Hinabangan</t>
  </si>
  <si>
    <t>Jiabong</t>
  </si>
  <si>
    <t>Marabut</t>
  </si>
  <si>
    <t>Motiong</t>
  </si>
  <si>
    <t>Paranas</t>
  </si>
  <si>
    <t>San Jose de Buan</t>
  </si>
  <si>
    <t>San Sebastian</t>
  </si>
  <si>
    <t>Sta. Rita</t>
  </si>
  <si>
    <t>Tarangnan</t>
  </si>
  <si>
    <t>Villareal</t>
  </si>
  <si>
    <t>Zumarraga</t>
  </si>
  <si>
    <t>EASTERN SAMAR</t>
  </si>
  <si>
    <t>Balangkayan</t>
  </si>
  <si>
    <t>Borongan</t>
  </si>
  <si>
    <t>Dolores</t>
  </si>
  <si>
    <t>Giporlos</t>
  </si>
  <si>
    <t>Guiuan</t>
  </si>
  <si>
    <t>Lawaan</t>
  </si>
  <si>
    <t>Llorente</t>
  </si>
  <si>
    <t>Maslog</t>
  </si>
  <si>
    <t>Oras</t>
  </si>
  <si>
    <t>Quinapondan</t>
  </si>
  <si>
    <t>Taft</t>
  </si>
  <si>
    <t>NORTHERN SAMAR</t>
  </si>
  <si>
    <t>Allen</t>
  </si>
  <si>
    <t>Biri</t>
  </si>
  <si>
    <t>Capul</t>
  </si>
  <si>
    <t>Catarman</t>
  </si>
  <si>
    <t>Catubig</t>
  </si>
  <si>
    <t>Lope de Vega</t>
  </si>
  <si>
    <t>Mapanas</t>
  </si>
  <si>
    <t>Pambujan</t>
  </si>
  <si>
    <t>San Isidro</t>
  </si>
  <si>
    <t>Silvino Lobos</t>
  </si>
  <si>
    <t>Victoria</t>
  </si>
  <si>
    <t>Production Loss (M.T.)</t>
  </si>
  <si>
    <t>Total Area Affected (has.)</t>
  </si>
  <si>
    <t>Matag-ob</t>
  </si>
  <si>
    <t>Laoang</t>
  </si>
  <si>
    <t>Calbayog</t>
  </si>
  <si>
    <t>Can-avid</t>
  </si>
  <si>
    <t>Jipapad</t>
  </si>
  <si>
    <t>Arteche</t>
  </si>
  <si>
    <t>Mondragon</t>
  </si>
  <si>
    <t>Ripening/Maturity</t>
  </si>
  <si>
    <t>Seedling/Sowing</t>
  </si>
  <si>
    <t>San Roque</t>
  </si>
  <si>
    <t>Rosario</t>
  </si>
  <si>
    <t>Lavezares</t>
  </si>
  <si>
    <t>Las Navas</t>
  </si>
  <si>
    <t>Lapinig</t>
  </si>
  <si>
    <t>Gamay</t>
  </si>
  <si>
    <t>Northern Samar</t>
  </si>
  <si>
    <t>Sulat</t>
  </si>
  <si>
    <t>Seedling stage</t>
  </si>
  <si>
    <t>seedling stage</t>
  </si>
  <si>
    <t>Seedling Stage</t>
  </si>
  <si>
    <t>vegetative</t>
  </si>
  <si>
    <t>Eastern Samar</t>
  </si>
  <si>
    <t>Reproductive</t>
  </si>
  <si>
    <t>Seedling</t>
  </si>
  <si>
    <t>Catbalogan</t>
  </si>
  <si>
    <t>Maturity</t>
  </si>
  <si>
    <t>Pinabacdao</t>
  </si>
  <si>
    <t>San Jorge</t>
  </si>
  <si>
    <t>Matuguinao</t>
  </si>
  <si>
    <t>Sta. Margarita</t>
  </si>
  <si>
    <t>Newly sown/Seedling</t>
  </si>
  <si>
    <t>Western Samar</t>
  </si>
  <si>
    <t>Maturing</t>
  </si>
  <si>
    <t>Harvesting</t>
  </si>
  <si>
    <t>Leyte</t>
  </si>
  <si>
    <t>REGION 8</t>
  </si>
  <si>
    <t>(R)</t>
  </si>
  <si>
    <t xml:space="preserve">(M) + (P) </t>
  </si>
  <si>
    <t>(P)</t>
  </si>
  <si>
    <t>(O)</t>
  </si>
  <si>
    <t>(N)</t>
  </si>
  <si>
    <t>(M)</t>
  </si>
  <si>
    <t>(L)</t>
  </si>
  <si>
    <t>(K)</t>
  </si>
  <si>
    <t>(J)</t>
  </si>
  <si>
    <t>(I)</t>
  </si>
  <si>
    <t>(H)</t>
  </si>
  <si>
    <t>(G)</t>
  </si>
  <si>
    <t>(F)</t>
  </si>
  <si>
    <t>(E)</t>
  </si>
  <si>
    <t>(C)</t>
  </si>
  <si>
    <t>(A)</t>
  </si>
  <si>
    <t>Total Value
(P)</t>
  </si>
  <si>
    <t>Price/kg
(P)</t>
  </si>
  <si>
    <t>Volume
(mt)</t>
  </si>
  <si>
    <t>Value
 (P)</t>
  </si>
  <si>
    <t>Cost of Prod'nt/Ha.
(P)**</t>
  </si>
  <si>
    <t>After
Calamity</t>
  </si>
  <si>
    <t>Before
Calamity</t>
  </si>
  <si>
    <t>TOTAL</t>
  </si>
  <si>
    <t>Partially Damaged</t>
  </si>
  <si>
    <t>Totally Damaged</t>
  </si>
  <si>
    <t xml:space="preserve">Based on Farm Gate </t>
  </si>
  <si>
    <t>Based on Cost of Prod'n.</t>
  </si>
  <si>
    <t>REMARKS / ANALYSIS</t>
  </si>
  <si>
    <t>TOTAL LOSSES</t>
  </si>
  <si>
    <t>YIELD
LOSS
(%)</t>
  </si>
  <si>
    <t>YIELD PER HECTARE (MT)</t>
  </si>
  <si>
    <t>AREA AFFECTED 
(HA)</t>
  </si>
  <si>
    <t>STAGE OF CROP DEVELOPMENT</t>
  </si>
  <si>
    <t>AREA OF
STANDING CROPS
(ha)</t>
  </si>
  <si>
    <t>NUMBER OF
FARMERS
AFFECTED</t>
  </si>
  <si>
    <t>ECOSYSTEM/
VARIETY</t>
  </si>
  <si>
    <t>PROVINCE/
MUNICIPALITY</t>
  </si>
  <si>
    <t>RICE</t>
  </si>
  <si>
    <t>Regional</t>
  </si>
  <si>
    <t>Final</t>
  </si>
  <si>
    <t>Provincial</t>
  </si>
  <si>
    <t>Progress</t>
  </si>
  <si>
    <t>Municipal</t>
  </si>
  <si>
    <t>Initial</t>
  </si>
  <si>
    <t>2. Level</t>
  </si>
  <si>
    <t>1. Type</t>
  </si>
  <si>
    <t>B. Type and Level of Report: (Pls. Check)</t>
  </si>
  <si>
    <t>A. Geographic Information: 
REGION 8</t>
  </si>
  <si>
    <t>Date of Occurrence : December 1-2, 2019</t>
  </si>
  <si>
    <t>Cause of Damage : Heavy Rainfall and Flooding caused by Typhoon Tisoy</t>
  </si>
  <si>
    <t>FINAL DAMAGE ASSESSMENT REPORT for RICE*</t>
  </si>
  <si>
    <t>Bobon</t>
  </si>
  <si>
    <t>Regional Executive Director</t>
  </si>
  <si>
    <t>ARD for Operations and Extension</t>
  </si>
  <si>
    <t>BERNADETTE F. SAN JUAN, CESO IV</t>
  </si>
  <si>
    <t>WILSON A. CERBITO, DVM, CESE</t>
  </si>
  <si>
    <t>DA RFO 8 COMMAND CENTER</t>
  </si>
  <si>
    <t>Noted by:</t>
  </si>
  <si>
    <t>Prepared by:</t>
  </si>
  <si>
    <t>Weeding = P5,000</t>
  </si>
  <si>
    <t>Pest Control = P1,949</t>
  </si>
  <si>
    <t>Labor = P1,500</t>
  </si>
  <si>
    <t>Fertilizer = P1,850</t>
  </si>
  <si>
    <t>*For reproductive stage, the following costs were added:</t>
  </si>
  <si>
    <t>Labor = @ 250/2pax @ 3-days</t>
  </si>
  <si>
    <t>Fertilizer  (UREA P1350/bag, Complete P1,200/bag = P8,550</t>
  </si>
  <si>
    <t>Weeding  @ 5pax @ 200 @ 4 man-days</t>
  </si>
  <si>
    <t>Replanting  @ 2pax @ 150</t>
  </si>
  <si>
    <t>Transplanting  @ 15 person @ 250</t>
  </si>
  <si>
    <t xml:space="preserve">Levelling @ 350/man-day </t>
  </si>
  <si>
    <t>Land Preperation = P4,570</t>
  </si>
  <si>
    <t>*For vegetative stage, the following costs were added:</t>
  </si>
  <si>
    <t>Seeds=P1,280</t>
  </si>
  <si>
    <t>Maintenance (@1 pax for 18 days) = P2,700</t>
  </si>
  <si>
    <t>Pest Control = P3,490</t>
  </si>
  <si>
    <t>Fertilizer = P40</t>
  </si>
  <si>
    <t>Pulling of seedlings(5 pax/ha@P350) = P350</t>
  </si>
  <si>
    <t>Seed bed prep/sowing = P350/man-day</t>
  </si>
  <si>
    <t>*For seedling stage, the following items with corresponding costs were considered:</t>
  </si>
  <si>
    <t>*In arriving at the production cost, the prevailing prices of goods and services in the region were considered</t>
  </si>
  <si>
    <t>* for further validation</t>
  </si>
  <si>
    <t>Sub-total</t>
  </si>
  <si>
    <t>Vegetative</t>
  </si>
  <si>
    <t>San Antonio</t>
  </si>
  <si>
    <t>Lao-ang</t>
  </si>
  <si>
    <t>San Policarpo</t>
  </si>
  <si>
    <t>Pagsanghan</t>
  </si>
  <si>
    <t>Babatgon</t>
  </si>
  <si>
    <t>seedling</t>
  </si>
  <si>
    <t>District I</t>
  </si>
  <si>
    <t>LEYTE</t>
  </si>
  <si>
    <t>17.00</t>
  </si>
  <si>
    <t>(Q)</t>
  </si>
  <si>
    <t>(D)</t>
  </si>
  <si>
    <t>Based on Farmgate Price</t>
  </si>
  <si>
    <t>A. Geographic Information: REGION 8</t>
  </si>
  <si>
    <t>Report as of: 5:00 pm, July 22, 2014</t>
  </si>
  <si>
    <t>Date of Occurrence :  July 15 to 16, 2014</t>
  </si>
  <si>
    <r>
      <t>Cause of Damage :</t>
    </r>
    <r>
      <rPr>
        <b/>
        <u/>
        <sz val="12"/>
        <rFont val="Arial"/>
        <family val="2"/>
      </rPr>
      <t xml:space="preserve"> Typhoon 'GLENDA</t>
    </r>
    <r>
      <rPr>
        <b/>
        <i/>
        <u/>
        <sz val="12"/>
        <rFont val="Arial"/>
        <family val="2"/>
      </rPr>
      <t>'</t>
    </r>
  </si>
  <si>
    <t>DAMAGE ASSESSMENT REPORT for RICE *</t>
  </si>
  <si>
    <t>LEO P. CAÑEDA, CESO III</t>
  </si>
  <si>
    <t>DA-RFO 8 Command Center</t>
  </si>
  <si>
    <t>Noted by :</t>
  </si>
  <si>
    <t>Palapag</t>
  </si>
  <si>
    <t>Flowering Stage</t>
  </si>
  <si>
    <t>Samar</t>
  </si>
  <si>
    <t>(B)</t>
  </si>
  <si>
    <t>Report as of: December 28, 2015</t>
  </si>
  <si>
    <t>Date of Occurrence :  December 14, 2015</t>
  </si>
  <si>
    <r>
      <t>Cause of Damage :</t>
    </r>
    <r>
      <rPr>
        <b/>
        <u/>
        <sz val="12"/>
        <color indexed="8"/>
        <rFont val="Arial"/>
        <family val="2"/>
      </rPr>
      <t xml:space="preserve"> Typhoon 'NONA</t>
    </r>
    <r>
      <rPr>
        <b/>
        <i/>
        <u/>
        <sz val="12"/>
        <color indexed="8"/>
        <rFont val="Arial"/>
        <family val="2"/>
      </rPr>
      <t>'</t>
    </r>
  </si>
  <si>
    <t xml:space="preserve">PARTIAL DAMAGE ASSESSMENT REPORT for RICE </t>
  </si>
  <si>
    <t>Lvezares</t>
  </si>
  <si>
    <t>N. Samar</t>
  </si>
  <si>
    <t>San Julian</t>
  </si>
  <si>
    <t>Salcedo</t>
  </si>
  <si>
    <t>Maydolong</t>
  </si>
  <si>
    <t>Hernani</t>
  </si>
  <si>
    <t>Gen. MacArthur</t>
  </si>
  <si>
    <t>Balangiga</t>
  </si>
  <si>
    <t>E. Samar</t>
  </si>
  <si>
    <t>Tagapul-an</t>
  </si>
  <si>
    <r>
      <t>Sto. Ni</t>
    </r>
    <r>
      <rPr>
        <sz val="12"/>
        <rFont val="Calibri"/>
        <family val="2"/>
      </rPr>
      <t>ño</t>
    </r>
  </si>
  <si>
    <t>Javier</t>
  </si>
  <si>
    <t>Inopacan</t>
  </si>
  <si>
    <t>Palompon</t>
  </si>
  <si>
    <t>Calubian</t>
  </si>
  <si>
    <t>Capoocan</t>
  </si>
  <si>
    <t>Babatngon</t>
  </si>
  <si>
    <t>Report as of: December 11, 2014</t>
  </si>
  <si>
    <t>Date of Occurrence :  December 6-7, 2014</t>
  </si>
  <si>
    <r>
      <t>Cause of Damage :</t>
    </r>
    <r>
      <rPr>
        <b/>
        <u/>
        <sz val="12"/>
        <rFont val="Arial"/>
        <family val="2"/>
      </rPr>
      <t xml:space="preserve"> Typhoon 'RUBY</t>
    </r>
    <r>
      <rPr>
        <b/>
        <i/>
        <u/>
        <sz val="12"/>
        <rFont val="Arial"/>
        <family val="2"/>
      </rPr>
      <t>'</t>
    </r>
  </si>
  <si>
    <t xml:space="preserve">FINAL DAMAGE ASSESSMENT REPORT for RICE </t>
  </si>
  <si>
    <t>Copocan</t>
  </si>
  <si>
    <t>Sto. Niño</t>
  </si>
  <si>
    <t>Note: Priority in terms of positioning of seeds, based on our available stocks, will to those MLGUs who have already submitted masterlist of farmer-beneficiaries. Arrangements were already undertaken for  initial deliveries to affected municipalities starting on December 27, 2017. Total CS for initial delivery is 2,500 for the requirements of the municipalities of Culaba, Caibiran, and Cabucgayan, in Biliran; San Miguel, Tanauan, an Alang-alang, in Leyte; and San Jorge, Samar. Plan preparation id also underway for the additional volume of CS to be sourced from other regions.</t>
  </si>
  <si>
    <t>San Roqu</t>
  </si>
  <si>
    <t>seedlling</t>
  </si>
  <si>
    <t>General Macarthur</t>
  </si>
  <si>
    <t>Talalora</t>
  </si>
  <si>
    <t>seedlings</t>
  </si>
  <si>
    <t>maturity</t>
  </si>
  <si>
    <t>Almagro</t>
  </si>
  <si>
    <t>Tomas Oppus</t>
  </si>
  <si>
    <t>San Ricardo</t>
  </si>
  <si>
    <t>San Juan (Cabalian)</t>
  </si>
  <si>
    <t>Saint Bernard</t>
  </si>
  <si>
    <t>Limasawa</t>
  </si>
  <si>
    <t>Libagon</t>
  </si>
  <si>
    <t>Hinundayan</t>
  </si>
  <si>
    <t>Maripipi</t>
  </si>
  <si>
    <t>At least 15 percent of total affacted area is reportedly covered with mud, silt, and boulders.</t>
  </si>
  <si>
    <t xml:space="preserve">Some rice areas in the municipality of Biliran particularly in Brgys. Burabod, Busali, San Isidro,and Pinagomhan with a total area of 89 hectares are covered with mud and silt. As such, desilting, removal of boulders and logs and, reconstruction of dikes are among the actions to be taken. </t>
  </si>
  <si>
    <t xml:space="preserve">Around 30 hectares are covered with mud an silt. As such, desilting, removal of boulders and logs and, reconstruction of dikes are among the actions to be taken. </t>
  </si>
  <si>
    <t>Matalom</t>
  </si>
  <si>
    <t>Mahaplag</t>
  </si>
  <si>
    <t>Hindang</t>
  </si>
  <si>
    <t>Hilongos</t>
  </si>
  <si>
    <t>Abuyog</t>
  </si>
  <si>
    <t>Isabel</t>
  </si>
  <si>
    <t>Tolosa</t>
  </si>
  <si>
    <t>TOTAL VALUE (P)</t>
  </si>
  <si>
    <t xml:space="preserve">            Final</t>
  </si>
  <si>
    <t xml:space="preserve">           Progress</t>
  </si>
  <si>
    <t>Report as of: December 26, 2017</t>
  </si>
  <si>
    <t>Date of Occurrence : December 14-16, 2017</t>
  </si>
  <si>
    <r>
      <t>Cause of Damage : Heavy</t>
    </r>
    <r>
      <rPr>
        <b/>
        <u/>
        <sz val="12"/>
        <rFont val="Arial"/>
        <family val="2"/>
      </rPr>
      <t xml:space="preserve"> Rains/Flooding due to Typhoon Urduja</t>
    </r>
  </si>
  <si>
    <t>DAMAGE ASSESSMENT REPORT for RICE*</t>
  </si>
  <si>
    <t>1</t>
  </si>
  <si>
    <t>2</t>
  </si>
  <si>
    <t>3</t>
  </si>
  <si>
    <t>4</t>
  </si>
  <si>
    <t>5</t>
  </si>
  <si>
    <t>6</t>
  </si>
  <si>
    <t>7</t>
  </si>
  <si>
    <t>8</t>
  </si>
  <si>
    <t>9</t>
  </si>
  <si>
    <t>10</t>
  </si>
  <si>
    <t>11</t>
  </si>
  <si>
    <t>12</t>
  </si>
  <si>
    <t>13</t>
  </si>
  <si>
    <t>14</t>
  </si>
  <si>
    <t>15</t>
  </si>
  <si>
    <t>16</t>
  </si>
  <si>
    <t>17</t>
  </si>
  <si>
    <t>validated</t>
  </si>
  <si>
    <t>Date of Occurrence: December 24-25, 2019</t>
  </si>
  <si>
    <t>Cause of Damage: Heavy Rainfall and Flooding caused by Typhoon Ursula</t>
  </si>
  <si>
    <t>18</t>
  </si>
  <si>
    <t>Gen. Macarthur</t>
  </si>
  <si>
    <t>Production Loss (PhP)</t>
  </si>
  <si>
    <t>Area with no Chance of Recovery (ha)</t>
  </si>
  <si>
    <t>Area with Chance of Recovery (ha)</t>
  </si>
  <si>
    <t>CAVITE</t>
  </si>
  <si>
    <t>Gen. Trias</t>
  </si>
  <si>
    <t>Tanza</t>
  </si>
  <si>
    <t>Bacoor</t>
  </si>
  <si>
    <t>Carmona</t>
  </si>
  <si>
    <t>Dasmariñas</t>
  </si>
  <si>
    <t>Imus</t>
  </si>
  <si>
    <t>Kawit</t>
  </si>
  <si>
    <t>Maragondon</t>
  </si>
  <si>
    <t>Naic</t>
  </si>
  <si>
    <t>Ternate</t>
  </si>
  <si>
    <t>LAGUNA</t>
  </si>
  <si>
    <t>San Pedro</t>
  </si>
  <si>
    <t>Biñan</t>
  </si>
  <si>
    <t>Sta Rosa</t>
  </si>
  <si>
    <t>Cabuyao</t>
  </si>
  <si>
    <t>Calamba</t>
  </si>
  <si>
    <t>Los Baños</t>
  </si>
  <si>
    <t>Bay</t>
  </si>
  <si>
    <t>Calauan</t>
  </si>
  <si>
    <t>San Pablo City</t>
  </si>
  <si>
    <t>Rizal</t>
  </si>
  <si>
    <t>Nagcarlan</t>
  </si>
  <si>
    <t>Liliw</t>
  </si>
  <si>
    <t>Majayjay</t>
  </si>
  <si>
    <t>Magdalena</t>
  </si>
  <si>
    <t>Cavinti</t>
  </si>
  <si>
    <t>Luisiana</t>
  </si>
  <si>
    <t>Pila</t>
  </si>
  <si>
    <t>Sta Cruz</t>
  </si>
  <si>
    <t>Pagsanjan</t>
  </si>
  <si>
    <t>Lumban</t>
  </si>
  <si>
    <t>Kalayaan</t>
  </si>
  <si>
    <t>Paete</t>
  </si>
  <si>
    <t>Pakil</t>
  </si>
  <si>
    <t>Pangil</t>
  </si>
  <si>
    <t>Siniloan</t>
  </si>
  <si>
    <t>Famy</t>
  </si>
  <si>
    <t>Mabitac</t>
  </si>
  <si>
    <t>Sta Maria</t>
  </si>
  <si>
    <t>BATANGAS</t>
  </si>
  <si>
    <t>Balayan</t>
  </si>
  <si>
    <t>Calatagan</t>
  </si>
  <si>
    <t>Lian</t>
  </si>
  <si>
    <t>Nasugbu</t>
  </si>
  <si>
    <t>Calaca</t>
  </si>
  <si>
    <t>Taal</t>
  </si>
  <si>
    <t>Lemery</t>
  </si>
  <si>
    <t>Tuy</t>
  </si>
  <si>
    <t>Lobo</t>
  </si>
  <si>
    <t>Tingloy</t>
  </si>
  <si>
    <t>Laurel</t>
  </si>
  <si>
    <t>Tanauan City</t>
  </si>
  <si>
    <t>Malvar</t>
  </si>
  <si>
    <t>Balete</t>
  </si>
  <si>
    <t>San Luis</t>
  </si>
  <si>
    <t>Lipa City</t>
  </si>
  <si>
    <t>Padre Garcia</t>
  </si>
  <si>
    <t>Ibaan</t>
  </si>
  <si>
    <t>San Juan</t>
  </si>
  <si>
    <t>Taysan</t>
  </si>
  <si>
    <t>RIZAL</t>
  </si>
  <si>
    <t>Angono</t>
  </si>
  <si>
    <t>Antipolo</t>
  </si>
  <si>
    <t>Baras</t>
  </si>
  <si>
    <t>Binangonan</t>
  </si>
  <si>
    <t>Cainta</t>
  </si>
  <si>
    <t>Cardona</t>
  </si>
  <si>
    <t>Jalajala</t>
  </si>
  <si>
    <t>Morong</t>
  </si>
  <si>
    <t>Pililla</t>
  </si>
  <si>
    <t>Rodriguez</t>
  </si>
  <si>
    <t>San Mateo</t>
  </si>
  <si>
    <t>Tanay</t>
  </si>
  <si>
    <t>Taytay</t>
  </si>
  <si>
    <t>Teresa</t>
  </si>
  <si>
    <t>Burdeos</t>
  </si>
  <si>
    <t>Gen. Nakar</t>
  </si>
  <si>
    <t>Infanta</t>
  </si>
  <si>
    <t>Jomalig</t>
  </si>
  <si>
    <t>Lucban</t>
  </si>
  <si>
    <t>Mauban</t>
  </si>
  <si>
    <t>Pagbilao</t>
  </si>
  <si>
    <t>Panukulan</t>
  </si>
  <si>
    <t>Polillo</t>
  </si>
  <si>
    <t>Real</t>
  </si>
  <si>
    <t>Sampaloc</t>
  </si>
  <si>
    <t>Tayabas</t>
  </si>
  <si>
    <t>Candelaria</t>
  </si>
  <si>
    <t>Lucena City</t>
  </si>
  <si>
    <t>Sariaya</t>
  </si>
  <si>
    <t>Tiaong</t>
  </si>
  <si>
    <t>Agdangan</t>
  </si>
  <si>
    <t>Buenavista</t>
  </si>
  <si>
    <t>Catanauan</t>
  </si>
  <si>
    <t>Gen. Luna</t>
  </si>
  <si>
    <t>Macalelon</t>
  </si>
  <si>
    <t>Mulanay</t>
  </si>
  <si>
    <t>San Narciso</t>
  </si>
  <si>
    <t>Alabat</t>
  </si>
  <si>
    <t>Atimonan</t>
  </si>
  <si>
    <t>Calauag</t>
  </si>
  <si>
    <t>Guinayangan</t>
  </si>
  <si>
    <t>Gumaca</t>
  </si>
  <si>
    <t>Lopez</t>
  </si>
  <si>
    <t>Perez</t>
  </si>
  <si>
    <t>Plaridel</t>
  </si>
  <si>
    <t>Tagkawayan</t>
  </si>
  <si>
    <t>Pitogo</t>
  </si>
  <si>
    <t>Quezon</t>
  </si>
  <si>
    <t>San Andres</t>
  </si>
  <si>
    <t>Unisan</t>
  </si>
  <si>
    <t>QUEZON</t>
  </si>
  <si>
    <t>TROPICAL CYCLONE KAREN (2016)</t>
  </si>
  <si>
    <t>TROPICAL CYCLONE LAWIN (2016)</t>
  </si>
  <si>
    <t>TROPICAL CYCLONE DOMENG (2018)</t>
  </si>
  <si>
    <t>TROPICAL CYCLONE OMPONG (2018)</t>
  </si>
  <si>
    <t>TROPICAL CYCLONE TISOY (2019)</t>
  </si>
  <si>
    <t>TROPICAL CYCLONE AMBO (2020)</t>
  </si>
  <si>
    <t>TROPICAL CYCLONE PEPITO (2020)</t>
  </si>
  <si>
    <t>TROPICAL CYCLONE QUINTA (2020)</t>
  </si>
  <si>
    <t>TROPICAL CYCLONE ROLLY (2020)</t>
  </si>
  <si>
    <t>TROPICAL CYCLONE ULYSSES (2020)</t>
  </si>
  <si>
    <t>TROPICAL CYCLONE NINA (2016)</t>
  </si>
  <si>
    <t>TROPICAL CYCLONE LANDO (2015)</t>
  </si>
  <si>
    <t>TROPICAL CYCLONE NONA (2015)</t>
  </si>
  <si>
    <t>TROPICAL CYCLONE GLENDA (2014)</t>
  </si>
  <si>
    <t>TROPICAL CYCLONE NINA (2016) --&gt; double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</si>
</sst>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0;[Red]#,##0"/>
    <numFmt numFmtId="166" formatCode="_(* #,##0_);_(* \(#,##0\);_(* &quot;-&quot;??_);_(@_)"/>
    <numFmt numFmtId="167" formatCode="#,##0.00;[Red]#,##0.00"/>
    <numFmt numFmtId="168" formatCode="#,##0.0;[Red]#,##0.0"/>
    <numFmt numFmtId="169" formatCode="#,##0.0"/>
  </numFmts>
  <fonts count="57" x14ac:knownFonts="1">
    <font>
      <sz val="11"/>
      <color theme="1"/>
      <name val="Calibri"/>
      <family val="2"/>
      <scheme val="minor"/>
    </font>
    <font>
      <sz val="12"/>
      <color theme="1"/>
      <name val="Calibri"/>
      <family val="2"/>
      <scheme val="minor"/>
    </font>
    <font>
      <b/>
      <sz val="11"/>
      <color theme="1"/>
      <name val="Calibri"/>
      <family val="2"/>
      <scheme val="minor"/>
    </font>
    <font>
      <sz val="10"/>
      <name val="Arial"/>
      <family val="2"/>
    </font>
    <font>
      <sz val="11"/>
      <color theme="1"/>
      <name val="Calibri"/>
      <family val="2"/>
      <scheme val="minor"/>
    </font>
    <font>
      <sz val="10"/>
      <name val="Arial"/>
      <family val="2"/>
    </font>
    <font>
      <b/>
      <sz val="12"/>
      <color theme="1"/>
      <name val="Calibri"/>
      <family val="2"/>
      <scheme val="minor"/>
    </font>
    <font>
      <sz val="11"/>
      <name val="Arial Narrow"/>
      <family val="2"/>
    </font>
    <font>
      <sz val="12"/>
      <name val="Calibri Light"/>
      <family val="1"/>
      <scheme val="major"/>
    </font>
    <font>
      <b/>
      <sz val="12"/>
      <name val="Calibri Light"/>
      <family val="1"/>
      <scheme val="major"/>
    </font>
    <font>
      <sz val="12"/>
      <name val="Arial"/>
      <family val="2"/>
    </font>
    <font>
      <sz val="12"/>
      <color theme="1"/>
      <name val="Calibri Light"/>
      <family val="1"/>
      <scheme val="major"/>
    </font>
    <font>
      <sz val="12"/>
      <name val="Arial Narrow"/>
      <family val="2"/>
    </font>
    <font>
      <sz val="14"/>
      <name val="Arial Narrow"/>
      <family val="2"/>
    </font>
    <font>
      <sz val="14"/>
      <color rgb="FFFF0000"/>
      <name val="Arial"/>
      <family val="2"/>
    </font>
    <font>
      <sz val="14"/>
      <name val="Arial"/>
      <family val="2"/>
    </font>
    <font>
      <b/>
      <sz val="14"/>
      <name val="Arial"/>
      <family val="2"/>
    </font>
    <font>
      <sz val="11"/>
      <color rgb="FFFF0000"/>
      <name val="Arial"/>
      <family val="2"/>
    </font>
    <font>
      <sz val="12"/>
      <color rgb="FFFF0000"/>
      <name val="Arial"/>
      <family val="2"/>
    </font>
    <font>
      <b/>
      <sz val="12"/>
      <name val="Arial"/>
      <family val="2"/>
    </font>
    <font>
      <sz val="9"/>
      <name val="Arial"/>
      <family val="2"/>
    </font>
    <font>
      <b/>
      <sz val="9"/>
      <name val="Arial"/>
      <family val="2"/>
    </font>
    <font>
      <b/>
      <sz val="12"/>
      <name val="Arial Narrow"/>
      <family val="2"/>
    </font>
    <font>
      <b/>
      <sz val="12"/>
      <color rgb="FFFF0000"/>
      <name val="Arial"/>
      <family val="2"/>
    </font>
    <font>
      <sz val="18"/>
      <name val="Arial Narrow"/>
      <family val="2"/>
    </font>
    <font>
      <b/>
      <sz val="18"/>
      <name val="Arial"/>
      <family val="2"/>
    </font>
    <font>
      <sz val="12"/>
      <name val="Cambria"/>
      <family val="1"/>
    </font>
    <font>
      <sz val="12"/>
      <color theme="1"/>
      <name val="Arial Narrow"/>
      <family val="2"/>
    </font>
    <font>
      <b/>
      <sz val="10"/>
      <name val="Arial Narrow"/>
      <family val="2"/>
    </font>
    <font>
      <b/>
      <sz val="12"/>
      <color theme="1"/>
      <name val="Arial Narrow"/>
      <family val="2"/>
    </font>
    <font>
      <sz val="12"/>
      <color theme="1"/>
      <name val="Arial"/>
      <family val="2"/>
    </font>
    <font>
      <u val="singleAccounting"/>
      <sz val="12"/>
      <color theme="1"/>
      <name val="Arial"/>
      <family val="2"/>
    </font>
    <font>
      <b/>
      <sz val="12"/>
      <color theme="1"/>
      <name val="Arial"/>
      <family val="2"/>
    </font>
    <font>
      <b/>
      <i/>
      <sz val="11"/>
      <name val="Arial"/>
      <family val="2"/>
    </font>
    <font>
      <i/>
      <sz val="11"/>
      <name val="Arial"/>
      <family val="2"/>
    </font>
    <font>
      <b/>
      <sz val="11"/>
      <name val="Arial"/>
      <family val="2"/>
    </font>
    <font>
      <sz val="12"/>
      <color rgb="FFFF0000"/>
      <name val="Arial Narrow"/>
      <family val="2"/>
    </font>
    <font>
      <b/>
      <u/>
      <sz val="12"/>
      <name val="Arial"/>
      <family val="2"/>
    </font>
    <font>
      <b/>
      <i/>
      <u/>
      <sz val="12"/>
      <name val="Arial"/>
      <family val="2"/>
    </font>
    <font>
      <sz val="16"/>
      <color theme="1"/>
      <name val="Arial Narrow"/>
      <family val="2"/>
    </font>
    <font>
      <b/>
      <sz val="16"/>
      <color theme="1"/>
      <name val="Arial Narrow"/>
      <family val="2"/>
    </font>
    <font>
      <sz val="18"/>
      <color theme="1"/>
      <name val="Arial Narrow"/>
      <family val="2"/>
    </font>
    <font>
      <sz val="18"/>
      <color theme="1"/>
      <name val="Arial"/>
      <family val="2"/>
    </font>
    <font>
      <b/>
      <sz val="18"/>
      <color theme="1"/>
      <name val="Arial"/>
      <family val="2"/>
    </font>
    <font>
      <b/>
      <u/>
      <sz val="12"/>
      <color indexed="8"/>
      <name val="Arial"/>
      <family val="2"/>
    </font>
    <font>
      <b/>
      <i/>
      <u/>
      <sz val="12"/>
      <color indexed="8"/>
      <name val="Arial"/>
      <family val="2"/>
    </font>
    <font>
      <sz val="12"/>
      <name val="Calibri"/>
      <family val="2"/>
    </font>
    <font>
      <b/>
      <sz val="16"/>
      <name val="Arial"/>
      <family val="2"/>
    </font>
    <font>
      <sz val="18"/>
      <name val="Arial"/>
      <family val="2"/>
    </font>
    <font>
      <sz val="18"/>
      <color rgb="FFFF0000"/>
      <name val="Arial Narrow"/>
      <family val="2"/>
    </font>
    <font>
      <sz val="18"/>
      <color rgb="FFFF0000"/>
      <name val="Arial"/>
      <family val="2"/>
    </font>
    <font>
      <b/>
      <sz val="13"/>
      <name val="Arial"/>
      <family val="2"/>
    </font>
    <font>
      <sz val="13"/>
      <name val="Arial"/>
      <family val="2"/>
    </font>
    <font>
      <sz val="8"/>
      <name val="Calibri"/>
      <family val="2"/>
      <scheme val="minor"/>
    </font>
    <font>
      <sz val="9"/>
      <color indexed="81"/>
      <name val="Tahoma"/>
      <family val="2"/>
    </font>
    <font>
      <b/>
      <sz val="9"/>
      <color indexed="81"/>
      <name val="Tahoma"/>
      <family val="2"/>
    </font>
    <font>
      <sz val="1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FDE9D9"/>
        <bgColor rgb="FF000000"/>
      </patternFill>
    </fill>
    <fill>
      <patternFill patternType="solid">
        <fgColor rgb="FFCCFF99"/>
        <bgColor indexed="64"/>
      </patternFill>
    </fill>
    <fill>
      <patternFill patternType="solid">
        <fgColor theme="9" tint="0.59999389629810485"/>
        <bgColor indexed="64"/>
      </patternFill>
    </fill>
    <fill>
      <patternFill patternType="solid">
        <fgColor rgb="FF99FF99"/>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92D050"/>
        <bgColor indexed="64"/>
      </patternFill>
    </fill>
    <fill>
      <patternFill patternType="solid">
        <fgColor theme="5" tint="0.79998168889431442"/>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right style="thin">
        <color auto="1"/>
      </right>
      <top style="medium">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medium">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auto="1"/>
      </bottom>
      <diagonal/>
    </border>
    <border>
      <left style="thin">
        <color auto="1"/>
      </left>
      <right/>
      <top style="medium">
        <color auto="1"/>
      </top>
      <bottom/>
      <diagonal/>
    </border>
    <border>
      <left/>
      <right/>
      <top style="medium">
        <color auto="1"/>
      </top>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top/>
      <bottom style="medium">
        <color auto="1"/>
      </bottom>
      <diagonal/>
    </border>
    <border>
      <left style="thin">
        <color auto="1"/>
      </left>
      <right/>
      <top/>
      <bottom style="medium">
        <color auto="1"/>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hair">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bottom style="medium">
        <color auto="1"/>
      </bottom>
      <diagonal/>
    </border>
    <border>
      <left style="thin">
        <color indexed="64"/>
      </left>
      <right/>
      <top style="thin">
        <color indexed="64"/>
      </top>
      <bottom/>
      <diagonal/>
    </border>
    <border>
      <left/>
      <right style="thin">
        <color auto="1"/>
      </right>
      <top style="thin">
        <color indexed="64"/>
      </top>
      <bottom/>
      <diagonal/>
    </border>
  </borders>
  <cellStyleXfs count="12">
    <xf numFmtId="0" fontId="0" fillId="0" borderId="0"/>
    <xf numFmtId="164" fontId="3" fillId="0" borderId="0" applyFont="0" applyFill="0" applyBorder="0" applyAlignment="0" applyProtection="0"/>
    <xf numFmtId="164" fontId="5" fillId="0" borderId="0" applyFont="0" applyFill="0" applyBorder="0" applyAlignment="0" applyProtection="0"/>
    <xf numFmtId="164" fontId="3"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3" fillId="0" borderId="0" applyFont="0" applyFill="0" applyBorder="0" applyAlignment="0" applyProtection="0"/>
    <xf numFmtId="164" fontId="4" fillId="0" borderId="0" applyFont="0" applyFill="0" applyBorder="0" applyAlignment="0" applyProtection="0"/>
    <xf numFmtId="164" fontId="3" fillId="0" borderId="0" applyFont="0" applyFill="0" applyBorder="0" applyAlignment="0" applyProtection="0"/>
    <xf numFmtId="9" fontId="4" fillId="0" borderId="0" applyFont="0" applyFill="0" applyBorder="0" applyAlignment="0" applyProtection="0"/>
    <xf numFmtId="0" fontId="3" fillId="0" borderId="0"/>
  </cellStyleXfs>
  <cellXfs count="829">
    <xf numFmtId="0" fontId="0" fillId="0" borderId="0" xfId="0"/>
    <xf numFmtId="0" fontId="0" fillId="0" borderId="0" xfId="0" applyAlignment="1">
      <alignment horizontal="left"/>
    </xf>
    <xf numFmtId="0" fontId="0" fillId="0" borderId="0" xfId="0" applyAlignment="1">
      <alignment wrapText="1"/>
    </xf>
    <xf numFmtId="164" fontId="4" fillId="0" borderId="0" xfId="8" applyFont="1" applyBorder="1" applyAlignment="1">
      <alignment horizontal="left"/>
    </xf>
    <xf numFmtId="164" fontId="4" fillId="0" borderId="14" xfId="8" applyFont="1" applyBorder="1" applyAlignment="1">
      <alignment horizontal="left"/>
    </xf>
    <xf numFmtId="164" fontId="8" fillId="3" borderId="1" xfId="8" applyFont="1" applyFill="1" applyBorder="1" applyAlignment="1">
      <alignment vertical="center"/>
    </xf>
    <xf numFmtId="165" fontId="8" fillId="0" borderId="1" xfId="8" applyNumberFormat="1" applyFont="1" applyFill="1" applyBorder="1" applyAlignment="1">
      <alignment horizontal="center" vertical="center" wrapText="1"/>
    </xf>
    <xf numFmtId="3" fontId="11" fillId="3" borderId="1" xfId="11" applyNumberFormat="1" applyFont="1" applyFill="1" applyBorder="1" applyAlignment="1" applyProtection="1">
      <alignment horizontal="center" vertical="center" wrapText="1"/>
      <protection locked="0"/>
    </xf>
    <xf numFmtId="49" fontId="8" fillId="0" borderId="1" xfId="11" applyNumberFormat="1" applyFont="1" applyBorder="1" applyAlignment="1">
      <alignment horizontal="left" vertical="center" wrapText="1"/>
    </xf>
    <xf numFmtId="164" fontId="8" fillId="3" borderId="1" xfId="8" applyFont="1" applyFill="1" applyBorder="1" applyAlignment="1">
      <alignment horizontal="center" vertical="center" wrapText="1"/>
    </xf>
    <xf numFmtId="0" fontId="12" fillId="0" borderId="0" xfId="11" applyFont="1" applyAlignment="1">
      <alignment vertical="center"/>
    </xf>
    <xf numFmtId="0" fontId="12" fillId="0" borderId="0" xfId="11" applyFont="1" applyAlignment="1">
      <alignment horizontal="left" vertical="center"/>
    </xf>
    <xf numFmtId="164" fontId="12" fillId="0" borderId="0" xfId="8" applyFont="1" applyAlignment="1">
      <alignment vertical="center"/>
    </xf>
    <xf numFmtId="166" fontId="12" fillId="0" borderId="0" xfId="1" applyNumberFormat="1" applyFont="1" applyAlignment="1">
      <alignment horizontal="center" vertical="center"/>
    </xf>
    <xf numFmtId="164" fontId="12" fillId="0" borderId="0" xfId="8" applyFont="1" applyAlignment="1">
      <alignment horizontal="center" vertical="center"/>
    </xf>
    <xf numFmtId="166" fontId="12" fillId="0" borderId="0" xfId="1" applyNumberFormat="1" applyFont="1" applyAlignment="1">
      <alignment vertical="center"/>
    </xf>
    <xf numFmtId="0" fontId="12" fillId="0" borderId="0" xfId="11" applyFont="1" applyAlignment="1">
      <alignment horizontal="center" vertical="center"/>
    </xf>
    <xf numFmtId="167" fontId="12" fillId="0" borderId="0" xfId="8" applyNumberFormat="1" applyFont="1" applyAlignment="1">
      <alignment horizontal="center" vertical="center"/>
    </xf>
    <xf numFmtId="165" fontId="12" fillId="0" borderId="0" xfId="8" applyNumberFormat="1" applyFont="1" applyAlignment="1">
      <alignment horizontal="center" vertical="center"/>
    </xf>
    <xf numFmtId="49" fontId="8" fillId="3" borderId="1" xfId="11" applyNumberFormat="1" applyFont="1" applyFill="1" applyBorder="1" applyAlignment="1">
      <alignment vertical="center" wrapText="1"/>
    </xf>
    <xf numFmtId="0" fontId="8" fillId="3" borderId="1" xfId="11" applyFont="1" applyFill="1" applyBorder="1" applyAlignment="1">
      <alignment horizontal="center" vertical="center" wrapText="1"/>
    </xf>
    <xf numFmtId="164" fontId="8" fillId="3" borderId="1" xfId="8" applyFont="1" applyFill="1" applyBorder="1" applyAlignment="1">
      <alignment horizontal="right" vertical="center"/>
    </xf>
    <xf numFmtId="39" fontId="8" fillId="0" borderId="1" xfId="8" applyNumberFormat="1" applyFont="1" applyFill="1" applyBorder="1" applyAlignment="1">
      <alignment horizontal="right" vertical="center"/>
    </xf>
    <xf numFmtId="9" fontId="8" fillId="0" borderId="1" xfId="11" applyNumberFormat="1" applyFont="1" applyBorder="1" applyAlignment="1">
      <alignment horizontal="center" vertical="center" wrapText="1"/>
    </xf>
    <xf numFmtId="167" fontId="8" fillId="3" borderId="1" xfId="8" applyNumberFormat="1" applyFont="1" applyFill="1" applyBorder="1" applyAlignment="1">
      <alignment horizontal="center" vertical="center" wrapText="1"/>
    </xf>
    <xf numFmtId="164" fontId="8" fillId="0" borderId="1" xfId="8" applyFont="1" applyFill="1" applyBorder="1" applyAlignment="1" applyProtection="1">
      <alignment horizontal="center" vertical="center"/>
    </xf>
    <xf numFmtId="164" fontId="8" fillId="3" borderId="1" xfId="8" applyFont="1" applyFill="1" applyBorder="1" applyAlignment="1">
      <alignment horizontal="center" vertical="center"/>
    </xf>
    <xf numFmtId="49" fontId="8" fillId="0" borderId="1" xfId="11" applyNumberFormat="1" applyFont="1" applyBorder="1" applyAlignment="1">
      <alignment vertical="center" wrapText="1"/>
    </xf>
    <xf numFmtId="49" fontId="8" fillId="0" borderId="1" xfId="11" applyNumberFormat="1" applyFont="1" applyBorder="1" applyAlignment="1">
      <alignment horizontal="center" vertical="center" wrapText="1"/>
    </xf>
    <xf numFmtId="49" fontId="8" fillId="3" borderId="1" xfId="11" applyNumberFormat="1" applyFont="1" applyFill="1" applyBorder="1" applyAlignment="1">
      <alignment horizontal="left" vertical="center" wrapText="1"/>
    </xf>
    <xf numFmtId="0" fontId="13" fillId="0" borderId="0" xfId="11" applyFont="1" applyAlignment="1">
      <alignment vertical="center"/>
    </xf>
    <xf numFmtId="0" fontId="13" fillId="0" borderId="0" xfId="11" applyFont="1" applyAlignment="1">
      <alignment horizontal="left" vertical="center"/>
    </xf>
    <xf numFmtId="167" fontId="8" fillId="0" borderId="1" xfId="8" applyNumberFormat="1" applyFont="1" applyFill="1" applyBorder="1" applyAlignment="1">
      <alignment horizontal="center" vertical="center" wrapText="1"/>
    </xf>
    <xf numFmtId="164" fontId="8" fillId="0" borderId="1" xfId="8" applyFont="1" applyFill="1" applyBorder="1" applyAlignment="1">
      <alignment horizontal="center" vertical="center"/>
    </xf>
    <xf numFmtId="164" fontId="8" fillId="0" borderId="1" xfId="8" applyFont="1" applyFill="1" applyBorder="1" applyAlignment="1">
      <alignment horizontal="center" vertical="center" wrapText="1"/>
    </xf>
    <xf numFmtId="164" fontId="8" fillId="0" borderId="1" xfId="8" applyFont="1" applyFill="1" applyBorder="1" applyAlignment="1">
      <alignment vertical="center" wrapText="1"/>
    </xf>
    <xf numFmtId="3" fontId="11" fillId="0" borderId="1" xfId="11" applyNumberFormat="1" applyFont="1" applyBorder="1" applyAlignment="1">
      <alignment horizontal="center" vertical="center" wrapText="1"/>
    </xf>
    <xf numFmtId="49" fontId="8" fillId="0" borderId="18" xfId="11" applyNumberFormat="1" applyFont="1" applyBorder="1" applyAlignment="1">
      <alignment horizontal="left" vertical="center" wrapText="1"/>
    </xf>
    <xf numFmtId="3" fontId="11" fillId="3" borderId="1" xfId="11" applyNumberFormat="1" applyFont="1" applyFill="1" applyBorder="1" applyAlignment="1">
      <alignment horizontal="center" vertical="center" wrapText="1"/>
    </xf>
    <xf numFmtId="49" fontId="8" fillId="3" borderId="1" xfId="11" applyNumberFormat="1" applyFont="1" applyFill="1" applyBorder="1" applyAlignment="1">
      <alignment horizontal="left" vertical="center"/>
    </xf>
    <xf numFmtId="49" fontId="13" fillId="0" borderId="0" xfId="11" applyNumberFormat="1" applyFont="1" applyAlignment="1">
      <alignment horizontal="center" vertical="center"/>
    </xf>
    <xf numFmtId="49" fontId="14" fillId="0" borderId="0" xfId="11" applyNumberFormat="1" applyFont="1" applyAlignment="1">
      <alignment horizontal="center" vertical="center"/>
    </xf>
    <xf numFmtId="0" fontId="13" fillId="0" borderId="0" xfId="11" applyFont="1" applyAlignment="1">
      <alignment horizontal="center" vertical="center"/>
    </xf>
    <xf numFmtId="49" fontId="15" fillId="3" borderId="1" xfId="11" applyNumberFormat="1" applyFont="1" applyFill="1" applyBorder="1" applyAlignment="1">
      <alignment vertical="center" wrapText="1"/>
    </xf>
    <xf numFmtId="164" fontId="15" fillId="3" borderId="1" xfId="8" applyFont="1" applyFill="1" applyBorder="1" applyAlignment="1">
      <alignment vertical="center"/>
    </xf>
    <xf numFmtId="0" fontId="15" fillId="3" borderId="1" xfId="11" applyFont="1" applyFill="1" applyBorder="1" applyAlignment="1">
      <alignment horizontal="center" vertical="center" wrapText="1"/>
    </xf>
    <xf numFmtId="164" fontId="15" fillId="3" borderId="1" xfId="8" applyFont="1" applyFill="1" applyBorder="1" applyAlignment="1">
      <alignment horizontal="right" vertical="center"/>
    </xf>
    <xf numFmtId="39" fontId="15" fillId="0" borderId="1" xfId="8" applyNumberFormat="1" applyFont="1" applyFill="1" applyBorder="1" applyAlignment="1">
      <alignment horizontal="right" vertical="center"/>
    </xf>
    <xf numFmtId="9" fontId="15" fillId="0" borderId="1" xfId="10" applyFont="1" applyFill="1" applyBorder="1" applyAlignment="1">
      <alignment horizontal="center" vertical="center" wrapText="1"/>
    </xf>
    <xf numFmtId="167" fontId="15" fillId="3" borderId="1" xfId="8" applyNumberFormat="1" applyFont="1" applyFill="1" applyBorder="1" applyAlignment="1">
      <alignment horizontal="center" vertical="center" wrapText="1"/>
    </xf>
    <xf numFmtId="164" fontId="15" fillId="3" borderId="1" xfId="8" applyFont="1" applyFill="1" applyBorder="1" applyAlignment="1" applyProtection="1">
      <alignment vertical="center"/>
    </xf>
    <xf numFmtId="164" fontId="15" fillId="3" borderId="1" xfId="8" applyFont="1" applyFill="1" applyBorder="1" applyAlignment="1">
      <alignment horizontal="center" vertical="center"/>
    </xf>
    <xf numFmtId="164" fontId="15" fillId="3" borderId="1" xfId="8" applyFont="1" applyFill="1" applyBorder="1" applyAlignment="1">
      <alignment horizontal="center" vertical="center" wrapText="1"/>
    </xf>
    <xf numFmtId="49" fontId="15" fillId="0" borderId="1" xfId="11" applyNumberFormat="1" applyFont="1" applyBorder="1" applyAlignment="1">
      <alignment horizontal="left" vertical="center" wrapText="1"/>
    </xf>
    <xf numFmtId="165" fontId="15" fillId="0" borderId="1" xfId="8" applyNumberFormat="1" applyFont="1" applyBorder="1" applyAlignment="1">
      <alignment horizontal="center" vertical="center" wrapText="1"/>
    </xf>
    <xf numFmtId="165" fontId="15" fillId="0" borderId="1" xfId="8" applyNumberFormat="1" applyFont="1" applyFill="1" applyBorder="1" applyAlignment="1">
      <alignment horizontal="center" vertical="center" wrapText="1"/>
    </xf>
    <xf numFmtId="49" fontId="15" fillId="0" borderId="1" xfId="11" applyNumberFormat="1" applyFont="1" applyBorder="1" applyAlignment="1">
      <alignment horizontal="center" vertical="center" wrapText="1"/>
    </xf>
    <xf numFmtId="49" fontId="7" fillId="0" borderId="0" xfId="11" applyNumberFormat="1" applyFont="1" applyAlignment="1">
      <alignment horizontal="center" vertical="center"/>
    </xf>
    <xf numFmtId="49" fontId="17" fillId="0" borderId="0" xfId="11" applyNumberFormat="1" applyFont="1" applyAlignment="1">
      <alignment horizontal="center" vertical="center"/>
    </xf>
    <xf numFmtId="0" fontId="7" fillId="0" borderId="0" xfId="11" applyFont="1" applyAlignment="1">
      <alignment horizontal="center" vertical="center"/>
    </xf>
    <xf numFmtId="49" fontId="12" fillId="0" borderId="0" xfId="11" applyNumberFormat="1" applyFont="1" applyAlignment="1">
      <alignment horizontal="center" vertical="center"/>
    </xf>
    <xf numFmtId="49" fontId="18" fillId="0" borderId="0" xfId="11" applyNumberFormat="1" applyFont="1" applyAlignment="1">
      <alignment horizontal="center" vertical="center"/>
    </xf>
    <xf numFmtId="49" fontId="19" fillId="4" borderId="1" xfId="11" applyNumberFormat="1" applyFont="1" applyFill="1" applyBorder="1" applyAlignment="1">
      <alignment vertical="center" wrapText="1"/>
    </xf>
    <xf numFmtId="164" fontId="19" fillId="4" borderId="1" xfId="8" applyFont="1" applyFill="1" applyBorder="1" applyAlignment="1">
      <alignment vertical="center"/>
    </xf>
    <xf numFmtId="164" fontId="19" fillId="4" borderId="1" xfId="8" applyFont="1" applyFill="1" applyBorder="1" applyAlignment="1">
      <alignment horizontal="center" vertical="center" wrapText="1"/>
    </xf>
    <xf numFmtId="164" fontId="19" fillId="4" borderId="1" xfId="8" applyFont="1" applyFill="1" applyBorder="1" applyAlignment="1">
      <alignment horizontal="right" vertical="center"/>
    </xf>
    <xf numFmtId="164" fontId="19" fillId="4" borderId="1" xfId="8" applyFont="1" applyFill="1" applyBorder="1" applyAlignment="1" applyProtection="1">
      <alignment vertical="center"/>
    </xf>
    <xf numFmtId="49" fontId="19" fillId="4" borderId="1" xfId="11" applyNumberFormat="1" applyFont="1" applyFill="1" applyBorder="1" applyAlignment="1">
      <alignment horizontal="left" vertical="center" wrapText="1"/>
    </xf>
    <xf numFmtId="165" fontId="19" fillId="4" borderId="1" xfId="8" applyNumberFormat="1" applyFont="1" applyFill="1" applyBorder="1" applyAlignment="1">
      <alignment horizontal="center" vertical="center" wrapText="1"/>
    </xf>
    <xf numFmtId="49" fontId="19" fillId="4" borderId="1" xfId="11" applyNumberFormat="1" applyFont="1" applyFill="1" applyBorder="1" applyAlignment="1">
      <alignment horizontal="center" vertical="center" wrapText="1"/>
    </xf>
    <xf numFmtId="49" fontId="10" fillId="3" borderId="1" xfId="11" applyNumberFormat="1" applyFont="1" applyFill="1" applyBorder="1" applyAlignment="1">
      <alignment vertical="center" wrapText="1"/>
    </xf>
    <xf numFmtId="164" fontId="10" fillId="3" borderId="1" xfId="8" applyFont="1" applyFill="1" applyBorder="1" applyAlignment="1">
      <alignment vertical="center"/>
    </xf>
    <xf numFmtId="0" fontId="10" fillId="3" borderId="1" xfId="11" applyFont="1" applyFill="1" applyBorder="1" applyAlignment="1">
      <alignment horizontal="center" vertical="center" wrapText="1"/>
    </xf>
    <xf numFmtId="164" fontId="10" fillId="3" borderId="1" xfId="8" applyFont="1" applyFill="1" applyBorder="1" applyAlignment="1">
      <alignment horizontal="right" vertical="center"/>
    </xf>
    <xf numFmtId="39" fontId="10" fillId="0" borderId="1" xfId="8" applyNumberFormat="1" applyFont="1" applyFill="1" applyBorder="1" applyAlignment="1">
      <alignment horizontal="right" vertical="center"/>
    </xf>
    <xf numFmtId="9" fontId="10" fillId="0" borderId="1" xfId="11" applyNumberFormat="1" applyFont="1" applyBorder="1" applyAlignment="1">
      <alignment horizontal="center" vertical="center" wrapText="1"/>
    </xf>
    <xf numFmtId="167" fontId="10" fillId="0" borderId="1" xfId="8" applyNumberFormat="1" applyFont="1" applyFill="1" applyBorder="1" applyAlignment="1">
      <alignment horizontal="center" vertical="center" wrapText="1"/>
    </xf>
    <xf numFmtId="164" fontId="10" fillId="0" borderId="1" xfId="8" applyFont="1" applyFill="1" applyBorder="1" applyAlignment="1" applyProtection="1">
      <alignment horizontal="center" vertical="center"/>
    </xf>
    <xf numFmtId="164" fontId="10" fillId="0" borderId="1" xfId="8" applyFont="1" applyFill="1" applyBorder="1" applyAlignment="1">
      <alignment horizontal="center" vertical="center"/>
    </xf>
    <xf numFmtId="164" fontId="10" fillId="0" borderId="1" xfId="8" applyFont="1" applyFill="1" applyBorder="1" applyAlignment="1">
      <alignment horizontal="center" vertical="center" wrapText="1"/>
    </xf>
    <xf numFmtId="164" fontId="10" fillId="0" borderId="1" xfId="8" applyFont="1" applyFill="1" applyBorder="1" applyAlignment="1">
      <alignment horizontal="left" vertical="center" wrapText="1"/>
    </xf>
    <xf numFmtId="165" fontId="10" fillId="0" borderId="1" xfId="8" applyNumberFormat="1" applyFont="1" applyFill="1" applyBorder="1" applyAlignment="1">
      <alignment horizontal="center" vertical="center" wrapText="1"/>
    </xf>
    <xf numFmtId="49" fontId="10" fillId="0" borderId="1" xfId="11" applyNumberFormat="1" applyFont="1" applyBorder="1" applyAlignment="1">
      <alignment horizontal="center" vertical="center" wrapText="1"/>
    </xf>
    <xf numFmtId="49" fontId="10" fillId="0" borderId="1" xfId="11" applyNumberFormat="1" applyFont="1" applyBorder="1" applyAlignment="1">
      <alignment horizontal="left" vertical="center" wrapText="1"/>
    </xf>
    <xf numFmtId="164" fontId="8" fillId="0" borderId="1" xfId="8" applyFont="1" applyFill="1" applyBorder="1" applyAlignment="1">
      <alignment horizontal="left" vertical="center" wrapText="1"/>
    </xf>
    <xf numFmtId="164" fontId="20" fillId="3" borderId="1" xfId="8" applyFont="1" applyFill="1" applyBorder="1" applyAlignment="1">
      <alignment vertical="center"/>
    </xf>
    <xf numFmtId="0" fontId="20" fillId="3" borderId="1" xfId="11" applyFont="1" applyFill="1" applyBorder="1" applyAlignment="1">
      <alignment horizontal="center" vertical="center" wrapText="1"/>
    </xf>
    <xf numFmtId="164" fontId="20" fillId="3" borderId="1" xfId="8" applyFont="1" applyFill="1" applyBorder="1" applyAlignment="1">
      <alignment horizontal="right" vertical="center"/>
    </xf>
    <xf numFmtId="39" fontId="20" fillId="0" borderId="1" xfId="8" applyNumberFormat="1" applyFont="1" applyFill="1" applyBorder="1" applyAlignment="1">
      <alignment horizontal="right" vertical="center"/>
    </xf>
    <xf numFmtId="9" fontId="20" fillId="0" borderId="1" xfId="11" applyNumberFormat="1" applyFont="1" applyBorder="1" applyAlignment="1">
      <alignment horizontal="center" vertical="center" wrapText="1"/>
    </xf>
    <xf numFmtId="164" fontId="8" fillId="0" borderId="1" xfId="8" applyFont="1" applyFill="1" applyBorder="1" applyAlignment="1" applyProtection="1">
      <alignment vertical="center"/>
    </xf>
    <xf numFmtId="0" fontId="11" fillId="0" borderId="1" xfId="0" applyFont="1" applyBorder="1" applyAlignment="1">
      <alignment vertical="center"/>
    </xf>
    <xf numFmtId="165" fontId="8" fillId="3" borderId="1" xfId="8" applyNumberFormat="1" applyFont="1" applyFill="1" applyBorder="1" applyAlignment="1">
      <alignment horizontal="center" vertical="center" wrapText="1"/>
    </xf>
    <xf numFmtId="49" fontId="12" fillId="5" borderId="0" xfId="11" applyNumberFormat="1" applyFont="1" applyFill="1" applyAlignment="1">
      <alignment horizontal="center" vertical="center"/>
    </xf>
    <xf numFmtId="49" fontId="18" fillId="5" borderId="0" xfId="11" applyNumberFormat="1" applyFont="1" applyFill="1" applyAlignment="1">
      <alignment horizontal="center" vertical="center"/>
    </xf>
    <xf numFmtId="0" fontId="12" fillId="5" borderId="0" xfId="11" applyFont="1" applyFill="1" applyAlignment="1">
      <alignment horizontal="center" vertical="center"/>
    </xf>
    <xf numFmtId="49" fontId="8" fillId="5" borderId="1" xfId="11" applyNumberFormat="1" applyFont="1" applyFill="1" applyBorder="1" applyAlignment="1">
      <alignment vertical="center" wrapText="1"/>
    </xf>
    <xf numFmtId="164" fontId="8" fillId="5" borderId="1" xfId="8" applyFont="1" applyFill="1" applyBorder="1" applyAlignment="1">
      <alignment vertical="center"/>
    </xf>
    <xf numFmtId="0" fontId="8" fillId="5" borderId="1" xfId="11" applyFont="1" applyFill="1" applyBorder="1" applyAlignment="1">
      <alignment horizontal="center" vertical="center" wrapText="1"/>
    </xf>
    <xf numFmtId="164" fontId="8" fillId="5" borderId="1" xfId="8" applyFont="1" applyFill="1" applyBorder="1" applyAlignment="1">
      <alignment horizontal="right" vertical="center"/>
    </xf>
    <xf numFmtId="39" fontId="8" fillId="5" borderId="1" xfId="8" applyNumberFormat="1" applyFont="1" applyFill="1" applyBorder="1" applyAlignment="1">
      <alignment horizontal="right" vertical="center"/>
    </xf>
    <xf numFmtId="9" fontId="8" fillId="5" borderId="1" xfId="11" applyNumberFormat="1" applyFont="1" applyFill="1" applyBorder="1" applyAlignment="1">
      <alignment horizontal="center" vertical="center" wrapText="1"/>
    </xf>
    <xf numFmtId="167" fontId="8" fillId="5" borderId="1" xfId="8" applyNumberFormat="1" applyFont="1" applyFill="1" applyBorder="1" applyAlignment="1">
      <alignment horizontal="center" vertical="center" wrapText="1"/>
    </xf>
    <xf numFmtId="164" fontId="8" fillId="5" borderId="1" xfId="8" applyFont="1" applyFill="1" applyBorder="1" applyAlignment="1" applyProtection="1">
      <alignment vertical="center"/>
    </xf>
    <xf numFmtId="164" fontId="8" fillId="5" borderId="1" xfId="8" applyFont="1" applyFill="1" applyBorder="1" applyAlignment="1">
      <alignment horizontal="center" vertical="center"/>
    </xf>
    <xf numFmtId="164" fontId="8" fillId="5" borderId="1" xfId="8" applyFont="1" applyFill="1" applyBorder="1" applyAlignment="1">
      <alignment horizontal="center" vertical="center" wrapText="1"/>
    </xf>
    <xf numFmtId="0" fontId="11" fillId="5" borderId="1" xfId="0" applyFont="1" applyFill="1" applyBorder="1" applyAlignment="1">
      <alignment vertical="center"/>
    </xf>
    <xf numFmtId="165" fontId="8" fillId="5" borderId="1" xfId="8" applyNumberFormat="1" applyFont="1" applyFill="1" applyBorder="1" applyAlignment="1">
      <alignment horizontal="center" vertical="center" wrapText="1"/>
    </xf>
    <xf numFmtId="49" fontId="8" fillId="5" borderId="1" xfId="11" applyNumberFormat="1" applyFont="1" applyFill="1" applyBorder="1" applyAlignment="1">
      <alignment horizontal="center" vertical="center" wrapText="1"/>
    </xf>
    <xf numFmtId="49" fontId="8" fillId="5" borderId="1" xfId="11" applyNumberFormat="1" applyFont="1" applyFill="1" applyBorder="1" applyAlignment="1">
      <alignment horizontal="left" vertical="center" wrapText="1"/>
    </xf>
    <xf numFmtId="164" fontId="8" fillId="3" borderId="1" xfId="8" applyFont="1" applyFill="1" applyBorder="1" applyAlignment="1" applyProtection="1">
      <alignment vertical="center"/>
    </xf>
    <xf numFmtId="49" fontId="9" fillId="5" borderId="1" xfId="11" applyNumberFormat="1" applyFont="1" applyFill="1" applyBorder="1" applyAlignment="1">
      <alignment vertical="center" wrapText="1"/>
    </xf>
    <xf numFmtId="164" fontId="9" fillId="5" borderId="1" xfId="8" applyFont="1" applyFill="1" applyBorder="1" applyAlignment="1">
      <alignment vertical="center"/>
    </xf>
    <xf numFmtId="49" fontId="12" fillId="3" borderId="0" xfId="11" applyNumberFormat="1" applyFont="1" applyFill="1" applyAlignment="1">
      <alignment horizontal="center" vertical="center"/>
    </xf>
    <xf numFmtId="49" fontId="18" fillId="3" borderId="0" xfId="11" applyNumberFormat="1" applyFont="1" applyFill="1" applyAlignment="1">
      <alignment horizontal="center" vertical="center"/>
    </xf>
    <xf numFmtId="0" fontId="12" fillId="3" borderId="0" xfId="11" applyFont="1" applyFill="1" applyAlignment="1">
      <alignment horizontal="center" vertical="center"/>
    </xf>
    <xf numFmtId="49" fontId="9" fillId="3" borderId="1" xfId="11" applyNumberFormat="1" applyFont="1" applyFill="1" applyBorder="1" applyAlignment="1">
      <alignment vertical="center" wrapText="1"/>
    </xf>
    <xf numFmtId="164" fontId="9" fillId="3" borderId="1" xfId="8" applyFont="1" applyFill="1" applyBorder="1" applyAlignment="1">
      <alignment vertical="center"/>
    </xf>
    <xf numFmtId="164" fontId="9" fillId="3" borderId="1" xfId="8" applyFont="1" applyFill="1" applyBorder="1" applyAlignment="1">
      <alignment horizontal="center" vertical="center" wrapText="1"/>
    </xf>
    <xf numFmtId="164" fontId="9" fillId="3" borderId="1" xfId="8" applyFont="1" applyFill="1" applyBorder="1" applyAlignment="1">
      <alignment horizontal="right" vertical="center"/>
    </xf>
    <xf numFmtId="164" fontId="9" fillId="3" borderId="1" xfId="8" applyFont="1" applyFill="1" applyBorder="1" applyAlignment="1" applyProtection="1">
      <alignment vertical="center"/>
    </xf>
    <xf numFmtId="49" fontId="9" fillId="3" borderId="1" xfId="11" applyNumberFormat="1" applyFont="1" applyFill="1" applyBorder="1" applyAlignment="1">
      <alignment horizontal="left" vertical="center" wrapText="1"/>
    </xf>
    <xf numFmtId="165" fontId="9" fillId="3" borderId="1" xfId="8" applyNumberFormat="1" applyFont="1" applyFill="1" applyBorder="1" applyAlignment="1">
      <alignment horizontal="center" vertical="center" wrapText="1"/>
    </xf>
    <xf numFmtId="49" fontId="9" fillId="3" borderId="1" xfId="11" applyNumberFormat="1" applyFont="1" applyFill="1" applyBorder="1" applyAlignment="1">
      <alignment horizontal="center" vertical="center" wrapText="1"/>
    </xf>
    <xf numFmtId="49" fontId="9" fillId="4" borderId="1" xfId="11" applyNumberFormat="1" applyFont="1" applyFill="1" applyBorder="1" applyAlignment="1">
      <alignment vertical="center" wrapText="1"/>
    </xf>
    <xf numFmtId="164" fontId="9" fillId="4" borderId="1" xfId="8" applyFont="1" applyFill="1" applyBorder="1" applyAlignment="1">
      <alignment vertical="center"/>
    </xf>
    <xf numFmtId="164" fontId="9" fillId="4" borderId="1" xfId="8" applyFont="1" applyFill="1" applyBorder="1" applyAlignment="1">
      <alignment horizontal="center" vertical="center" wrapText="1"/>
    </xf>
    <xf numFmtId="164" fontId="9" fillId="4" borderId="1" xfId="8" applyFont="1" applyFill="1" applyBorder="1" applyAlignment="1">
      <alignment horizontal="right" vertical="center"/>
    </xf>
    <xf numFmtId="164" fontId="9" fillId="4" borderId="1" xfId="8" applyFont="1" applyFill="1" applyBorder="1" applyAlignment="1" applyProtection="1">
      <alignment vertical="center"/>
    </xf>
    <xf numFmtId="49" fontId="9" fillId="4" borderId="1" xfId="11" applyNumberFormat="1" applyFont="1" applyFill="1" applyBorder="1" applyAlignment="1">
      <alignment horizontal="left" vertical="center" wrapText="1"/>
    </xf>
    <xf numFmtId="165" fontId="9" fillId="4" borderId="1" xfId="8" applyNumberFormat="1" applyFont="1" applyFill="1" applyBorder="1" applyAlignment="1">
      <alignment horizontal="center" vertical="center" wrapText="1"/>
    </xf>
    <xf numFmtId="49" fontId="9" fillId="4" borderId="1" xfId="11" applyNumberFormat="1" applyFont="1" applyFill="1" applyBorder="1" applyAlignment="1">
      <alignment horizontal="center" vertical="center" wrapText="1"/>
    </xf>
    <xf numFmtId="49" fontId="22" fillId="3" borderId="0" xfId="11" applyNumberFormat="1" applyFont="1" applyFill="1" applyAlignment="1">
      <alignment horizontal="center" vertical="center"/>
    </xf>
    <xf numFmtId="49" fontId="23" fillId="3" borderId="0" xfId="11" applyNumberFormat="1" applyFont="1" applyFill="1" applyAlignment="1">
      <alignment horizontal="center" vertical="center"/>
    </xf>
    <xf numFmtId="0" fontId="22" fillId="3" borderId="0" xfId="11" applyFont="1" applyFill="1" applyAlignment="1">
      <alignment horizontal="center" vertical="center"/>
    </xf>
    <xf numFmtId="164" fontId="10" fillId="3" borderId="1" xfId="8" applyFont="1" applyFill="1" applyBorder="1" applyAlignment="1">
      <alignment horizontal="center" vertical="center" wrapText="1"/>
    </xf>
    <xf numFmtId="49" fontId="10" fillId="3" borderId="1" xfId="11" applyNumberFormat="1" applyFont="1" applyFill="1" applyBorder="1" applyAlignment="1">
      <alignment horizontal="left" vertical="center" wrapText="1"/>
    </xf>
    <xf numFmtId="168" fontId="10" fillId="0" borderId="1" xfId="8" applyNumberFormat="1" applyFont="1" applyBorder="1" applyAlignment="1">
      <alignment horizontal="center" vertical="center" wrapText="1"/>
    </xf>
    <xf numFmtId="165" fontId="10" fillId="0" borderId="1" xfId="8" applyNumberFormat="1" applyFont="1" applyBorder="1" applyAlignment="1">
      <alignment horizontal="center" vertical="center" wrapText="1"/>
    </xf>
    <xf numFmtId="168" fontId="10" fillId="0" borderId="1" xfId="8" applyNumberFormat="1" applyFont="1" applyFill="1" applyBorder="1" applyAlignment="1">
      <alignment horizontal="center" vertical="center" wrapText="1"/>
    </xf>
    <xf numFmtId="49" fontId="22" fillId="0" borderId="0" xfId="11" applyNumberFormat="1" applyFont="1" applyAlignment="1">
      <alignment horizontal="center" vertical="center"/>
    </xf>
    <xf numFmtId="49" fontId="23" fillId="0" borderId="0" xfId="11" applyNumberFormat="1" applyFont="1" applyAlignment="1">
      <alignment horizontal="center" vertical="center"/>
    </xf>
    <xf numFmtId="0" fontId="22" fillId="0" borderId="0" xfId="11" applyFont="1" applyAlignment="1">
      <alignment horizontal="center" vertical="center"/>
    </xf>
    <xf numFmtId="49" fontId="9" fillId="2" borderId="1" xfId="11" applyNumberFormat="1" applyFont="1" applyFill="1" applyBorder="1" applyAlignment="1">
      <alignment vertical="center" wrapText="1"/>
    </xf>
    <xf numFmtId="164" fontId="9" fillId="2" borderId="1" xfId="8" applyFont="1" applyFill="1" applyBorder="1" applyAlignment="1">
      <alignment vertical="center"/>
    </xf>
    <xf numFmtId="164" fontId="9" fillId="2" borderId="1" xfId="8" applyFont="1" applyFill="1" applyBorder="1" applyAlignment="1">
      <alignment horizontal="center" vertical="center" wrapText="1"/>
    </xf>
    <xf numFmtId="164" fontId="9" fillId="2" borderId="1" xfId="8" applyFont="1" applyFill="1" applyBorder="1" applyAlignment="1">
      <alignment horizontal="right" vertical="center"/>
    </xf>
    <xf numFmtId="164" fontId="9" fillId="2" borderId="1" xfId="8" applyFont="1" applyFill="1" applyBorder="1" applyAlignment="1" applyProtection="1">
      <alignment vertical="center"/>
    </xf>
    <xf numFmtId="49" fontId="9" fillId="2" borderId="1" xfId="11" applyNumberFormat="1" applyFont="1" applyFill="1" applyBorder="1" applyAlignment="1">
      <alignment horizontal="left" vertical="center" wrapText="1"/>
    </xf>
    <xf numFmtId="165" fontId="9" fillId="2" borderId="1" xfId="8" applyNumberFormat="1" applyFont="1" applyFill="1" applyBorder="1" applyAlignment="1">
      <alignment horizontal="center" vertical="center" wrapText="1"/>
    </xf>
    <xf numFmtId="49" fontId="9" fillId="2" borderId="1" xfId="11" applyNumberFormat="1" applyFont="1" applyFill="1" applyBorder="1" applyAlignment="1">
      <alignment horizontal="center" vertical="center" wrapText="1"/>
    </xf>
    <xf numFmtId="49" fontId="12" fillId="0" borderId="19" xfId="11" applyNumberFormat="1" applyFont="1" applyBorder="1" applyAlignment="1">
      <alignment horizontal="center" vertical="center" wrapText="1"/>
    </xf>
    <xf numFmtId="164" fontId="10" fillId="0" borderId="20" xfId="8" applyFont="1" applyBorder="1" applyAlignment="1">
      <alignment horizontal="center" vertical="center" wrapText="1"/>
    </xf>
    <xf numFmtId="49" fontId="10" fillId="0" borderId="20" xfId="11" applyNumberFormat="1" applyFont="1" applyBorder="1" applyAlignment="1">
      <alignment horizontal="center" vertical="center" wrapText="1"/>
    </xf>
    <xf numFmtId="167" fontId="10" fillId="0" borderId="20" xfId="8" applyNumberFormat="1" applyFont="1" applyBorder="1" applyAlignment="1">
      <alignment horizontal="center" vertical="center" wrapText="1"/>
    </xf>
    <xf numFmtId="49" fontId="10" fillId="0" borderId="20" xfId="11" applyNumberFormat="1" applyFont="1" applyBorder="1" applyAlignment="1">
      <alignment horizontal="left" vertical="center" wrapText="1"/>
    </xf>
    <xf numFmtId="165" fontId="10" fillId="0" borderId="20" xfId="8" applyNumberFormat="1" applyFont="1" applyBorder="1" applyAlignment="1">
      <alignment horizontal="center" vertical="center" wrapText="1"/>
    </xf>
    <xf numFmtId="49" fontId="10" fillId="0" borderId="21" xfId="11" applyNumberFormat="1" applyFont="1" applyBorder="1" applyAlignment="1">
      <alignment horizontal="center" vertical="center" wrapText="1"/>
    </xf>
    <xf numFmtId="49" fontId="10" fillId="0" borderId="22" xfId="11" applyNumberFormat="1" applyFont="1" applyBorder="1" applyAlignment="1">
      <alignment horizontal="center" vertical="center" wrapText="1"/>
    </xf>
    <xf numFmtId="164" fontId="19" fillId="0" borderId="25" xfId="8" applyFont="1" applyBorder="1" applyAlignment="1">
      <alignment horizontal="center" vertical="center" wrapText="1"/>
    </xf>
    <xf numFmtId="166" fontId="19" fillId="0" borderId="25" xfId="1" applyNumberFormat="1" applyFont="1" applyBorder="1" applyAlignment="1">
      <alignment horizontal="center" vertical="center" wrapText="1"/>
    </xf>
    <xf numFmtId="167" fontId="19" fillId="0" borderId="24" xfId="8" applyNumberFormat="1" applyFont="1" applyBorder="1" applyAlignment="1">
      <alignment horizontal="center" vertical="center" wrapText="1"/>
    </xf>
    <xf numFmtId="0" fontId="19" fillId="0" borderId="24" xfId="11" applyFont="1" applyBorder="1" applyAlignment="1">
      <alignment horizontal="center" vertical="center" wrapText="1"/>
    </xf>
    <xf numFmtId="164" fontId="19" fillId="0" borderId="24" xfId="8" applyFont="1" applyBorder="1" applyAlignment="1">
      <alignment horizontal="center" vertical="center" wrapText="1"/>
    </xf>
    <xf numFmtId="43" fontId="12" fillId="0" borderId="0" xfId="11" applyNumberFormat="1" applyFont="1" applyAlignment="1">
      <alignment horizontal="left" vertical="center"/>
    </xf>
    <xf numFmtId="166" fontId="19" fillId="0" borderId="34" xfId="1" applyNumberFormat="1" applyFont="1" applyBorder="1" applyAlignment="1">
      <alignment horizontal="center" vertical="center" wrapText="1"/>
    </xf>
    <xf numFmtId="164" fontId="12" fillId="0" borderId="0" xfId="11" applyNumberFormat="1" applyFont="1" applyAlignment="1">
      <alignment horizontal="left" vertical="center"/>
    </xf>
    <xf numFmtId="0" fontId="22" fillId="0" borderId="4" xfId="11" applyFont="1" applyBorder="1" applyAlignment="1">
      <alignment horizontal="center" vertical="center"/>
    </xf>
    <xf numFmtId="164" fontId="19" fillId="0" borderId="40" xfId="8" applyFont="1" applyBorder="1" applyAlignment="1">
      <alignment vertical="center"/>
    </xf>
    <xf numFmtId="0" fontId="19" fillId="0" borderId="40" xfId="11" applyFont="1" applyBorder="1" applyAlignment="1">
      <alignment horizontal="center" vertical="center"/>
    </xf>
    <xf numFmtId="164" fontId="10" fillId="0" borderId="40" xfId="8" applyFont="1" applyBorder="1" applyAlignment="1">
      <alignment horizontal="center" vertical="center"/>
    </xf>
    <xf numFmtId="164" fontId="19" fillId="0" borderId="40" xfId="8" applyFont="1" applyBorder="1" applyAlignment="1">
      <alignment horizontal="left" vertical="center" indent="5"/>
    </xf>
    <xf numFmtId="167" fontId="19" fillId="0" borderId="40" xfId="8" applyNumberFormat="1" applyFont="1" applyBorder="1" applyAlignment="1">
      <alignment horizontal="center" vertical="center"/>
    </xf>
    <xf numFmtId="166" fontId="10" fillId="0" borderId="40" xfId="1" applyNumberFormat="1" applyFont="1" applyBorder="1" applyAlignment="1">
      <alignment vertical="center"/>
    </xf>
    <xf numFmtId="164" fontId="19" fillId="0" borderId="41" xfId="8" applyFont="1" applyBorder="1" applyAlignment="1">
      <alignment horizontal="left" vertical="center" indent="3"/>
    </xf>
    <xf numFmtId="164" fontId="19" fillId="0" borderId="40" xfId="8" applyFont="1" applyBorder="1" applyAlignment="1">
      <alignment horizontal="center" vertical="center"/>
    </xf>
    <xf numFmtId="0" fontId="19" fillId="0" borderId="40" xfId="11" applyFont="1" applyBorder="1" applyAlignment="1">
      <alignment horizontal="left" vertical="center"/>
    </xf>
    <xf numFmtId="165" fontId="19" fillId="0" borderId="40" xfId="8" applyNumberFormat="1" applyFont="1" applyBorder="1" applyAlignment="1">
      <alignment horizontal="center" vertical="center"/>
    </xf>
    <xf numFmtId="0" fontId="19" fillId="0" borderId="40" xfId="11" applyFont="1" applyBorder="1" applyAlignment="1">
      <alignment horizontal="left" vertical="center" indent="5"/>
    </xf>
    <xf numFmtId="0" fontId="19" fillId="0" borderId="5" xfId="11" applyFont="1" applyBorder="1" applyAlignment="1">
      <alignment horizontal="left" vertical="center" indent="5"/>
    </xf>
    <xf numFmtId="0" fontId="22" fillId="0" borderId="9" xfId="11" applyFont="1" applyBorder="1" applyAlignment="1">
      <alignment horizontal="center" vertical="center"/>
    </xf>
    <xf numFmtId="164" fontId="19" fillId="0" borderId="0" xfId="8" applyFont="1" applyBorder="1" applyAlignment="1">
      <alignment vertical="center"/>
    </xf>
    <xf numFmtId="0" fontId="19" fillId="0" borderId="0" xfId="11" applyFont="1" applyAlignment="1">
      <alignment horizontal="center" vertical="center"/>
    </xf>
    <xf numFmtId="164" fontId="10" fillId="0" borderId="0" xfId="8" applyFont="1" applyBorder="1" applyAlignment="1">
      <alignment horizontal="center" vertical="center"/>
    </xf>
    <xf numFmtId="164" fontId="19" fillId="0" borderId="0" xfId="8" applyFont="1" applyBorder="1" applyAlignment="1">
      <alignment horizontal="left" vertical="center" indent="5"/>
    </xf>
    <xf numFmtId="167" fontId="19" fillId="0" borderId="0" xfId="8" applyNumberFormat="1" applyFont="1" applyBorder="1" applyAlignment="1">
      <alignment horizontal="center" vertical="center"/>
    </xf>
    <xf numFmtId="166" fontId="10" fillId="0" borderId="0" xfId="1" applyNumberFormat="1" applyFont="1" applyBorder="1" applyAlignment="1">
      <alignment vertical="center"/>
    </xf>
    <xf numFmtId="164" fontId="19" fillId="0" borderId="13" xfId="8" applyFont="1" applyBorder="1" applyAlignment="1">
      <alignment horizontal="left" vertical="center" indent="3"/>
    </xf>
    <xf numFmtId="164" fontId="19" fillId="0" borderId="14" xfId="8" applyFont="1" applyBorder="1" applyAlignment="1">
      <alignment horizontal="center" vertical="center"/>
    </xf>
    <xf numFmtId="164" fontId="19" fillId="0" borderId="0" xfId="8" applyFont="1" applyBorder="1" applyAlignment="1">
      <alignment horizontal="center" vertical="center"/>
    </xf>
    <xf numFmtId="0" fontId="19" fillId="0" borderId="0" xfId="11" applyFont="1" applyAlignment="1">
      <alignment horizontal="left" vertical="center"/>
    </xf>
    <xf numFmtId="165" fontId="19" fillId="0" borderId="0" xfId="8" applyNumberFormat="1" applyFont="1" applyBorder="1" applyAlignment="1">
      <alignment horizontal="center" vertical="center"/>
    </xf>
    <xf numFmtId="0" fontId="19" fillId="0" borderId="0" xfId="11" applyFont="1" applyAlignment="1">
      <alignment horizontal="left" vertical="center" indent="5"/>
    </xf>
    <xf numFmtId="0" fontId="19" fillId="0" borderId="8" xfId="11" applyFont="1" applyBorder="1" applyAlignment="1">
      <alignment horizontal="left" vertical="center" indent="5"/>
    </xf>
    <xf numFmtId="0" fontId="21" fillId="0" borderId="0" xfId="11" applyFont="1" applyAlignment="1">
      <alignment horizontal="center"/>
    </xf>
    <xf numFmtId="164" fontId="19" fillId="0" borderId="0" xfId="8" applyFont="1" applyBorder="1" applyAlignment="1">
      <alignment horizontal="center"/>
    </xf>
    <xf numFmtId="164" fontId="19" fillId="0" borderId="0" xfId="8" applyFont="1" applyBorder="1" applyAlignment="1">
      <alignment horizontal="left" indent="1"/>
    </xf>
    <xf numFmtId="167" fontId="19" fillId="0" borderId="0" xfId="8" applyNumberFormat="1" applyFont="1" applyBorder="1" applyAlignment="1">
      <alignment horizontal="center"/>
    </xf>
    <xf numFmtId="0" fontId="19" fillId="0" borderId="0" xfId="11" applyFont="1"/>
    <xf numFmtId="164" fontId="19" fillId="0" borderId="13" xfId="8" applyFont="1" applyBorder="1" applyAlignment="1">
      <alignment horizontal="center"/>
    </xf>
    <xf numFmtId="0" fontId="24" fillId="0" borderId="0" xfId="11" applyFont="1" applyAlignment="1">
      <alignment horizontal="left" vertical="center"/>
    </xf>
    <xf numFmtId="0" fontId="22" fillId="0" borderId="3" xfId="11" applyFont="1" applyBorder="1" applyAlignment="1">
      <alignment horizontal="center" vertical="center"/>
    </xf>
    <xf numFmtId="164" fontId="19" fillId="0" borderId="37" xfId="8" applyFont="1" applyBorder="1" applyAlignment="1">
      <alignment vertical="center"/>
    </xf>
    <xf numFmtId="0" fontId="19" fillId="0" borderId="37" xfId="11" applyFont="1" applyBorder="1" applyAlignment="1">
      <alignment horizontal="center" vertical="center"/>
    </xf>
    <xf numFmtId="164" fontId="19" fillId="0" borderId="37" xfId="8" applyFont="1" applyBorder="1" applyAlignment="1">
      <alignment horizontal="center" vertical="center"/>
    </xf>
    <xf numFmtId="164" fontId="19" fillId="0" borderId="37" xfId="8" applyFont="1" applyBorder="1" applyAlignment="1">
      <alignment horizontal="left" indent="1"/>
    </xf>
    <xf numFmtId="166" fontId="10" fillId="0" borderId="37" xfId="1" applyNumberFormat="1" applyFont="1" applyBorder="1" applyAlignment="1">
      <alignment vertical="center"/>
    </xf>
    <xf numFmtId="167" fontId="19" fillId="0" borderId="37" xfId="8" applyNumberFormat="1" applyFont="1" applyBorder="1" applyAlignment="1">
      <alignment horizontal="center" vertical="center"/>
    </xf>
    <xf numFmtId="0" fontId="19" fillId="0" borderId="37" xfId="11" applyFont="1" applyBorder="1" applyAlignment="1">
      <alignment vertical="center"/>
    </xf>
    <xf numFmtId="164" fontId="19" fillId="0" borderId="36" xfId="8" applyFont="1" applyBorder="1" applyAlignment="1">
      <alignment horizontal="center"/>
    </xf>
    <xf numFmtId="0" fontId="19" fillId="0" borderId="37" xfId="11" applyFont="1" applyBorder="1" applyAlignment="1">
      <alignment horizontal="left" vertical="center"/>
    </xf>
    <xf numFmtId="165" fontId="19" fillId="0" borderId="37" xfId="8" applyNumberFormat="1" applyFont="1" applyBorder="1" applyAlignment="1">
      <alignment horizontal="center" vertical="center"/>
    </xf>
    <xf numFmtId="0" fontId="19" fillId="0" borderId="37" xfId="11" applyFont="1" applyBorder="1" applyAlignment="1">
      <alignment horizontal="left" vertical="center" indent="2"/>
    </xf>
    <xf numFmtId="0" fontId="19" fillId="0" borderId="2" xfId="11" applyFont="1" applyBorder="1" applyAlignment="1">
      <alignment horizontal="left" vertical="center" indent="2"/>
    </xf>
    <xf numFmtId="164" fontId="19" fillId="0" borderId="0" xfId="8" applyFont="1" applyAlignment="1">
      <alignment vertical="center"/>
    </xf>
    <xf numFmtId="164" fontId="19" fillId="0" borderId="0" xfId="8" applyFont="1" applyAlignment="1">
      <alignment horizontal="center" vertical="center"/>
    </xf>
    <xf numFmtId="167" fontId="19" fillId="0" borderId="0" xfId="8" applyNumberFormat="1" applyFont="1" applyAlignment="1">
      <alignment horizontal="center" vertical="center"/>
    </xf>
    <xf numFmtId="0" fontId="19" fillId="0" borderId="0" xfId="11" applyFont="1" applyAlignment="1">
      <alignment vertical="center"/>
    </xf>
    <xf numFmtId="165" fontId="19" fillId="0" borderId="0" xfId="8" applyNumberFormat="1" applyFont="1" applyAlignment="1">
      <alignment horizontal="center" vertical="center"/>
    </xf>
    <xf numFmtId="49" fontId="19" fillId="0" borderId="1" xfId="11" applyNumberFormat="1" applyFont="1" applyBorder="1" applyAlignment="1">
      <alignment horizontal="left" vertical="center" wrapText="1"/>
    </xf>
    <xf numFmtId="49" fontId="8" fillId="2" borderId="1" xfId="11" applyNumberFormat="1" applyFont="1" applyFill="1" applyBorder="1" applyAlignment="1">
      <alignment horizontal="left" vertical="center" wrapText="1"/>
    </xf>
    <xf numFmtId="49" fontId="8" fillId="2" borderId="1" xfId="11" applyNumberFormat="1" applyFont="1" applyFill="1" applyBorder="1" applyAlignment="1">
      <alignment horizontal="center" vertical="center" wrapText="1"/>
    </xf>
    <xf numFmtId="165" fontId="8" fillId="2" borderId="1" xfId="8" applyNumberFormat="1" applyFont="1" applyFill="1" applyBorder="1" applyAlignment="1">
      <alignment horizontal="center" vertical="center" wrapText="1"/>
    </xf>
    <xf numFmtId="164" fontId="8" fillId="2" borderId="1" xfId="8" applyFont="1" applyFill="1" applyBorder="1" applyAlignment="1">
      <alignment horizontal="center" vertical="center" wrapText="1"/>
    </xf>
    <xf numFmtId="164" fontId="8" fillId="2" borderId="1" xfId="8" applyFont="1" applyFill="1" applyBorder="1" applyAlignment="1" applyProtection="1">
      <alignment vertical="center"/>
    </xf>
    <xf numFmtId="164" fontId="8" fillId="2" borderId="1" xfId="8" applyFont="1" applyFill="1" applyBorder="1" applyAlignment="1">
      <alignment horizontal="right" vertical="center"/>
    </xf>
    <xf numFmtId="49" fontId="8" fillId="4" borderId="1" xfId="11" applyNumberFormat="1" applyFont="1" applyFill="1" applyBorder="1" applyAlignment="1">
      <alignment horizontal="left" vertical="center" wrapText="1"/>
    </xf>
    <xf numFmtId="49" fontId="8" fillId="4" borderId="1" xfId="11" applyNumberFormat="1" applyFont="1" applyFill="1" applyBorder="1" applyAlignment="1">
      <alignment horizontal="center" vertical="center" wrapText="1"/>
    </xf>
    <xf numFmtId="165" fontId="8" fillId="4" borderId="1" xfId="8" applyNumberFormat="1" applyFont="1" applyFill="1" applyBorder="1" applyAlignment="1">
      <alignment horizontal="center" vertical="center" wrapText="1"/>
    </xf>
    <xf numFmtId="164" fontId="8" fillId="4" borderId="1" xfId="8" applyFont="1" applyFill="1" applyBorder="1" applyAlignment="1">
      <alignment horizontal="center" vertical="center" wrapText="1"/>
    </xf>
    <xf numFmtId="164" fontId="8" fillId="4" borderId="1" xfId="8" applyFont="1" applyFill="1" applyBorder="1" applyAlignment="1" applyProtection="1">
      <alignment vertical="center"/>
    </xf>
    <xf numFmtId="164" fontId="8" fillId="4" borderId="1" xfId="8" applyFont="1" applyFill="1" applyBorder="1" applyAlignment="1">
      <alignment horizontal="right" vertical="center"/>
    </xf>
    <xf numFmtId="49" fontId="8" fillId="3" borderId="1" xfId="11" applyNumberFormat="1" applyFont="1" applyFill="1" applyBorder="1" applyAlignment="1">
      <alignment horizontal="center" vertical="center" wrapText="1"/>
    </xf>
    <xf numFmtId="164" fontId="8" fillId="3" borderId="1" xfId="8" applyFont="1" applyFill="1" applyBorder="1" applyAlignment="1" applyProtection="1">
      <alignment horizontal="center" vertical="center" wrapText="1"/>
      <protection locked="0"/>
    </xf>
    <xf numFmtId="165" fontId="26" fillId="6" borderId="1" xfId="0" applyNumberFormat="1" applyFont="1" applyFill="1" applyBorder="1" applyAlignment="1">
      <alignment horizontal="center" vertical="center" wrapText="1"/>
    </xf>
    <xf numFmtId="164" fontId="8" fillId="5" borderId="1" xfId="8" applyFont="1" applyFill="1" applyBorder="1" applyAlignment="1" applyProtection="1">
      <alignment horizontal="center" vertical="center" wrapText="1"/>
      <protection locked="0"/>
    </xf>
    <xf numFmtId="164" fontId="10" fillId="3" borderId="1" xfId="8" applyFont="1" applyFill="1" applyBorder="1" applyAlignment="1" applyProtection="1">
      <alignment horizontal="center" vertical="center" wrapText="1"/>
      <protection locked="0"/>
    </xf>
    <xf numFmtId="49" fontId="10" fillId="4" borderId="1" xfId="11" applyNumberFormat="1" applyFont="1" applyFill="1" applyBorder="1" applyAlignment="1">
      <alignment horizontal="left" vertical="center" wrapText="1"/>
    </xf>
    <xf numFmtId="49" fontId="10" fillId="4" borderId="1" xfId="11" applyNumberFormat="1" applyFont="1" applyFill="1" applyBorder="1" applyAlignment="1">
      <alignment horizontal="center" vertical="center" wrapText="1"/>
    </xf>
    <xf numFmtId="165" fontId="10" fillId="4" borderId="1" xfId="8" applyNumberFormat="1" applyFont="1" applyFill="1" applyBorder="1" applyAlignment="1">
      <alignment horizontal="center" vertical="center" wrapText="1"/>
    </xf>
    <xf numFmtId="164" fontId="10" fillId="4" borderId="1" xfId="8" applyFont="1" applyFill="1" applyBorder="1" applyAlignment="1">
      <alignment horizontal="center" vertical="center" wrapText="1"/>
    </xf>
    <xf numFmtId="164" fontId="10" fillId="4" borderId="1" xfId="8" applyFont="1" applyFill="1" applyBorder="1" applyAlignment="1" applyProtection="1">
      <alignment vertical="center"/>
    </xf>
    <xf numFmtId="164" fontId="10" fillId="4" borderId="1" xfId="8" applyFont="1" applyFill="1" applyBorder="1" applyAlignment="1">
      <alignment horizontal="right" vertical="center"/>
    </xf>
    <xf numFmtId="164" fontId="10" fillId="4" borderId="1" xfId="8" applyFont="1" applyFill="1" applyBorder="1" applyAlignment="1" applyProtection="1">
      <alignment horizontal="center" vertical="center" wrapText="1"/>
      <protection locked="0"/>
    </xf>
    <xf numFmtId="164" fontId="10" fillId="4" borderId="1" xfId="8" applyFont="1" applyFill="1" applyBorder="1" applyAlignment="1">
      <alignment vertical="center"/>
    </xf>
    <xf numFmtId="164" fontId="20" fillId="3" borderId="1" xfId="8" applyFont="1" applyFill="1" applyBorder="1" applyAlignment="1" applyProtection="1">
      <alignment horizontal="center" vertical="center" wrapText="1"/>
      <protection locked="0"/>
    </xf>
    <xf numFmtId="164" fontId="15" fillId="3" borderId="1" xfId="8" applyFont="1" applyFill="1" applyBorder="1" applyAlignment="1" applyProtection="1">
      <alignment horizontal="center" vertical="center" wrapText="1"/>
      <protection locked="0"/>
    </xf>
    <xf numFmtId="166" fontId="27" fillId="0" borderId="0" xfId="1" applyNumberFormat="1" applyFont="1" applyAlignment="1">
      <alignment vertical="center"/>
    </xf>
    <xf numFmtId="0" fontId="27" fillId="0" borderId="0" xfId="11" applyFont="1" applyAlignment="1">
      <alignment vertical="center"/>
    </xf>
    <xf numFmtId="3" fontId="12" fillId="0" borderId="0" xfId="11" applyNumberFormat="1" applyFont="1" applyAlignment="1">
      <alignment vertical="center"/>
    </xf>
    <xf numFmtId="3" fontId="27" fillId="0" borderId="0" xfId="11" applyNumberFormat="1" applyFont="1" applyAlignment="1">
      <alignment vertical="center"/>
    </xf>
    <xf numFmtId="0" fontId="27" fillId="0" borderId="0" xfId="11" applyFont="1" applyAlignment="1">
      <alignment horizontal="left" vertical="center" indent="1"/>
    </xf>
    <xf numFmtId="3" fontId="27" fillId="0" borderId="0" xfId="11" applyNumberFormat="1" applyFont="1" applyAlignment="1">
      <alignment horizontal="left" vertical="center" indent="1"/>
    </xf>
    <xf numFmtId="164" fontId="28" fillId="0" borderId="42" xfId="8" applyFont="1" applyFill="1" applyBorder="1" applyProtection="1"/>
    <xf numFmtId="164" fontId="27" fillId="0" borderId="0" xfId="1" applyFont="1" applyAlignment="1">
      <alignment vertical="center"/>
    </xf>
    <xf numFmtId="3" fontId="12" fillId="0" borderId="0" xfId="1" applyNumberFormat="1" applyFont="1" applyAlignment="1">
      <alignment vertical="center"/>
    </xf>
    <xf numFmtId="3" fontId="27" fillId="0" borderId="0" xfId="1" applyNumberFormat="1" applyFont="1" applyAlignment="1">
      <alignment vertical="center"/>
    </xf>
    <xf numFmtId="166" fontId="22" fillId="0" borderId="0" xfId="1" applyNumberFormat="1" applyFont="1" applyAlignment="1">
      <alignment vertical="center"/>
    </xf>
    <xf numFmtId="166" fontId="22" fillId="0" borderId="0" xfId="1" applyNumberFormat="1" applyFont="1" applyAlignment="1">
      <alignment horizontal="left" vertical="center" wrapText="1"/>
    </xf>
    <xf numFmtId="166" fontId="29" fillId="0" borderId="0" xfId="1" applyNumberFormat="1" applyFont="1" applyAlignment="1">
      <alignment horizontal="left" vertical="center" wrapText="1"/>
    </xf>
    <xf numFmtId="49" fontId="10" fillId="0" borderId="0" xfId="11" applyNumberFormat="1" applyFont="1" applyAlignment="1">
      <alignment vertical="center" wrapText="1"/>
    </xf>
    <xf numFmtId="4" fontId="10" fillId="0" borderId="0" xfId="8" applyNumberFormat="1" applyFont="1" applyBorder="1" applyAlignment="1">
      <alignment horizontal="center" vertical="center" wrapText="1"/>
    </xf>
    <xf numFmtId="0" fontId="30" fillId="0" borderId="0" xfId="11" applyFont="1" applyAlignment="1">
      <alignment horizontal="center" vertical="center" wrapText="1"/>
    </xf>
    <xf numFmtId="164" fontId="30" fillId="0" borderId="0" xfId="8" applyFont="1" applyBorder="1" applyAlignment="1">
      <alignment horizontal="center" vertical="center"/>
    </xf>
    <xf numFmtId="166" fontId="30" fillId="0" borderId="0" xfId="8" applyNumberFormat="1" applyFont="1" applyBorder="1" applyAlignment="1">
      <alignment vertical="center"/>
    </xf>
    <xf numFmtId="2" fontId="30" fillId="0" borderId="0" xfId="11" applyNumberFormat="1" applyFont="1" applyAlignment="1">
      <alignment horizontal="center" vertical="center" wrapText="1"/>
    </xf>
    <xf numFmtId="2" fontId="10" fillId="0" borderId="0" xfId="8" applyNumberFormat="1" applyFont="1" applyBorder="1" applyAlignment="1">
      <alignment horizontal="center" wrapText="1"/>
    </xf>
    <xf numFmtId="3" fontId="10" fillId="0" borderId="0" xfId="8" applyNumberFormat="1" applyFont="1" applyBorder="1" applyAlignment="1">
      <alignment vertical="center"/>
    </xf>
    <xf numFmtId="3" fontId="30" fillId="0" borderId="0" xfId="8" applyNumberFormat="1" applyFont="1" applyBorder="1" applyAlignment="1">
      <alignment vertical="center"/>
    </xf>
    <xf numFmtId="3" fontId="30" fillId="0" borderId="0" xfId="11" applyNumberFormat="1" applyFont="1" applyAlignment="1">
      <alignment horizontal="center" vertical="center" wrapText="1"/>
    </xf>
    <xf numFmtId="49" fontId="30" fillId="0" borderId="0" xfId="11" applyNumberFormat="1" applyFont="1" applyAlignment="1">
      <alignment horizontal="left" vertical="center" wrapText="1"/>
    </xf>
    <xf numFmtId="49" fontId="19" fillId="0" borderId="0" xfId="11" applyNumberFormat="1" applyFont="1" applyAlignment="1">
      <alignment horizontal="left" vertical="center" wrapText="1"/>
    </xf>
    <xf numFmtId="166" fontId="19" fillId="0" borderId="0" xfId="1" applyNumberFormat="1" applyFont="1" applyBorder="1" applyAlignment="1">
      <alignment vertical="center"/>
    </xf>
    <xf numFmtId="166" fontId="30" fillId="0" borderId="0" xfId="1" applyNumberFormat="1" applyFont="1" applyAlignment="1">
      <alignment vertical="center"/>
    </xf>
    <xf numFmtId="0" fontId="30" fillId="0" borderId="0" xfId="11" applyFont="1" applyAlignment="1">
      <alignment vertical="center"/>
    </xf>
    <xf numFmtId="0" fontId="10" fillId="0" borderId="0" xfId="11" applyFont="1" applyAlignment="1">
      <alignment vertical="center"/>
    </xf>
    <xf numFmtId="0" fontId="1" fillId="0" borderId="0" xfId="0" applyFont="1"/>
    <xf numFmtId="166" fontId="31" fillId="0" borderId="0" xfId="1" applyNumberFormat="1" applyFont="1" applyAlignment="1">
      <alignment vertical="center"/>
    </xf>
    <xf numFmtId="3" fontId="1" fillId="0" borderId="0" xfId="0" applyNumberFormat="1" applyFont="1"/>
    <xf numFmtId="0" fontId="30" fillId="0" borderId="0" xfId="11" applyFont="1" applyAlignment="1">
      <alignment horizontal="left" vertical="center" indent="1"/>
    </xf>
    <xf numFmtId="4" fontId="19" fillId="0" borderId="0" xfId="8" applyNumberFormat="1" applyFont="1" applyFill="1" applyBorder="1" applyAlignment="1">
      <alignment horizontal="center" vertical="center"/>
    </xf>
    <xf numFmtId="0" fontId="32" fillId="0" borderId="0" xfId="11" applyFont="1" applyAlignment="1">
      <alignment horizontal="center" vertical="center"/>
    </xf>
    <xf numFmtId="164" fontId="32" fillId="0" borderId="0" xfId="8" applyFont="1" applyFill="1" applyBorder="1" applyAlignment="1">
      <alignment horizontal="center" vertical="center"/>
    </xf>
    <xf numFmtId="164" fontId="32" fillId="0" borderId="0" xfId="1" applyFont="1" applyFill="1" applyBorder="1" applyAlignment="1">
      <alignment horizontal="center" vertical="center"/>
    </xf>
    <xf numFmtId="3" fontId="19" fillId="0" borderId="0" xfId="11" applyNumberFormat="1" applyFont="1" applyAlignment="1">
      <alignment horizontal="center" vertical="center"/>
    </xf>
    <xf numFmtId="3" fontId="32" fillId="0" borderId="0" xfId="11" applyNumberFormat="1" applyFont="1" applyAlignment="1">
      <alignment horizontal="center" vertical="center"/>
    </xf>
    <xf numFmtId="49" fontId="33" fillId="0" borderId="0" xfId="11" applyNumberFormat="1" applyFont="1" applyAlignment="1">
      <alignment vertical="center"/>
    </xf>
    <xf numFmtId="49" fontId="34" fillId="0" borderId="0" xfId="11" applyNumberFormat="1" applyFont="1" applyAlignment="1">
      <alignment vertical="center"/>
    </xf>
    <xf numFmtId="4" fontId="10" fillId="0" borderId="0" xfId="8" applyNumberFormat="1" applyFont="1" applyFill="1" applyBorder="1" applyAlignment="1">
      <alignment horizontal="center" vertical="center" wrapText="1"/>
    </xf>
    <xf numFmtId="164" fontId="30" fillId="0" borderId="0" xfId="8" applyFont="1" applyFill="1" applyBorder="1" applyAlignment="1">
      <alignment horizontal="center" vertical="center"/>
    </xf>
    <xf numFmtId="166" fontId="30" fillId="0" borderId="0" xfId="8" applyNumberFormat="1" applyFont="1" applyFill="1" applyBorder="1" applyAlignment="1">
      <alignment vertical="center"/>
    </xf>
    <xf numFmtId="2" fontId="10" fillId="0" borderId="0" xfId="8" applyNumberFormat="1" applyFont="1" applyFill="1" applyBorder="1" applyAlignment="1">
      <alignment horizontal="center" wrapText="1"/>
    </xf>
    <xf numFmtId="3" fontId="10" fillId="0" borderId="0" xfId="8" applyNumberFormat="1" applyFont="1" applyFill="1" applyBorder="1" applyAlignment="1">
      <alignment vertical="center"/>
    </xf>
    <xf numFmtId="3" fontId="30" fillId="0" borderId="0" xfId="8" applyNumberFormat="1" applyFont="1" applyFill="1" applyBorder="1" applyAlignment="1">
      <alignment vertical="center"/>
    </xf>
    <xf numFmtId="49" fontId="10" fillId="0" borderId="37" xfId="11" applyNumberFormat="1" applyFont="1" applyBorder="1" applyAlignment="1">
      <alignment vertical="center" wrapText="1"/>
    </xf>
    <xf numFmtId="4" fontId="10" fillId="0" borderId="37" xfId="8" applyNumberFormat="1" applyFont="1" applyFill="1" applyBorder="1" applyAlignment="1">
      <alignment horizontal="center" vertical="center" wrapText="1"/>
    </xf>
    <xf numFmtId="0" fontId="30" fillId="0" borderId="37" xfId="11" applyFont="1" applyBorder="1" applyAlignment="1">
      <alignment horizontal="center" vertical="center" wrapText="1"/>
    </xf>
    <xf numFmtId="164" fontId="30" fillId="0" borderId="37" xfId="8" applyFont="1" applyFill="1" applyBorder="1" applyAlignment="1">
      <alignment horizontal="center" vertical="center"/>
    </xf>
    <xf numFmtId="166" fontId="30" fillId="0" borderId="37" xfId="8" applyNumberFormat="1" applyFont="1" applyFill="1" applyBorder="1" applyAlignment="1">
      <alignment vertical="center"/>
    </xf>
    <xf numFmtId="2" fontId="30" fillId="0" borderId="37" xfId="11" applyNumberFormat="1" applyFont="1" applyBorder="1" applyAlignment="1">
      <alignment horizontal="center" vertical="center" wrapText="1"/>
    </xf>
    <xf numFmtId="2" fontId="10" fillId="0" borderId="37" xfId="8" applyNumberFormat="1" applyFont="1" applyFill="1" applyBorder="1" applyAlignment="1">
      <alignment horizontal="center" wrapText="1"/>
    </xf>
    <xf numFmtId="3" fontId="10" fillId="0" borderId="37" xfId="8" applyNumberFormat="1" applyFont="1" applyFill="1" applyBorder="1" applyAlignment="1">
      <alignment vertical="center"/>
    </xf>
    <xf numFmtId="3" fontId="30" fillId="0" borderId="37" xfId="8" applyNumberFormat="1" applyFont="1" applyFill="1" applyBorder="1" applyAlignment="1">
      <alignment vertical="center"/>
    </xf>
    <xf numFmtId="3" fontId="30" fillId="0" borderId="37" xfId="11" applyNumberFormat="1" applyFont="1" applyBorder="1" applyAlignment="1">
      <alignment horizontal="center" vertical="center" wrapText="1"/>
    </xf>
    <xf numFmtId="49" fontId="30" fillId="0" borderId="37" xfId="11" applyNumberFormat="1" applyFont="1" applyBorder="1" applyAlignment="1">
      <alignment horizontal="left" vertical="center" wrapText="1"/>
    </xf>
    <xf numFmtId="49" fontId="33" fillId="0" borderId="37" xfId="11" applyNumberFormat="1" applyFont="1" applyBorder="1" applyAlignment="1">
      <alignment vertical="center"/>
    </xf>
    <xf numFmtId="49" fontId="10" fillId="0" borderId="0" xfId="11" applyNumberFormat="1" applyFont="1" applyAlignment="1">
      <alignment horizontal="left" vertical="center"/>
    </xf>
    <xf numFmtId="49" fontId="18" fillId="0" borderId="0" xfId="11" applyNumberFormat="1" applyFont="1" applyAlignment="1">
      <alignment vertical="center"/>
    </xf>
    <xf numFmtId="3" fontId="32" fillId="0" borderId="0" xfId="11" applyNumberFormat="1" applyFont="1" applyAlignment="1" applyProtection="1">
      <alignment horizontal="center" vertical="center" wrapText="1"/>
      <protection locked="0"/>
    </xf>
    <xf numFmtId="9" fontId="30" fillId="0" borderId="0" xfId="11" applyNumberFormat="1" applyFont="1" applyAlignment="1">
      <alignment horizontal="center" vertical="center" wrapText="1"/>
    </xf>
    <xf numFmtId="2" fontId="18" fillId="0" borderId="0" xfId="8" applyNumberFormat="1" applyFont="1" applyFill="1" applyBorder="1" applyAlignment="1">
      <alignment horizontal="center" vertical="center" wrapText="1"/>
    </xf>
    <xf numFmtId="169" fontId="32" fillId="0" borderId="0" xfId="11" applyNumberFormat="1" applyFont="1" applyAlignment="1">
      <alignment horizontal="center" vertical="center" wrapText="1"/>
    </xf>
    <xf numFmtId="49" fontId="18" fillId="3" borderId="11" xfId="11" applyNumberFormat="1" applyFont="1" applyFill="1" applyBorder="1" applyAlignment="1">
      <alignment vertical="center"/>
    </xf>
    <xf numFmtId="3" fontId="32" fillId="0" borderId="11" xfId="11" applyNumberFormat="1" applyFont="1" applyBorder="1" applyAlignment="1" applyProtection="1">
      <alignment horizontal="center" vertical="center" wrapText="1"/>
      <protection locked="0"/>
    </xf>
    <xf numFmtId="0" fontId="30" fillId="0" borderId="11" xfId="11" applyFont="1" applyBorder="1" applyAlignment="1">
      <alignment horizontal="center" vertical="center" wrapText="1"/>
    </xf>
    <xf numFmtId="9" fontId="30" fillId="0" borderId="11" xfId="11" applyNumberFormat="1" applyFont="1" applyBorder="1" applyAlignment="1">
      <alignment horizontal="center" vertical="center" wrapText="1"/>
    </xf>
    <xf numFmtId="2" fontId="30" fillId="0" borderId="11" xfId="11" applyNumberFormat="1" applyFont="1" applyBorder="1" applyAlignment="1">
      <alignment horizontal="center" vertical="center" wrapText="1"/>
    </xf>
    <xf numFmtId="2" fontId="18" fillId="0" borderId="11" xfId="8" applyNumberFormat="1" applyFont="1" applyBorder="1" applyAlignment="1">
      <alignment horizontal="center" vertical="center" wrapText="1"/>
    </xf>
    <xf numFmtId="169" fontId="32" fillId="0" borderId="11" xfId="11" applyNumberFormat="1" applyFont="1" applyBorder="1" applyAlignment="1">
      <alignment horizontal="center" vertical="center" wrapText="1"/>
    </xf>
    <xf numFmtId="49" fontId="19" fillId="0" borderId="11" xfId="11" applyNumberFormat="1" applyFont="1" applyBorder="1" applyAlignment="1">
      <alignment horizontal="left" vertical="center" wrapText="1"/>
    </xf>
    <xf numFmtId="49" fontId="18" fillId="0" borderId="10" xfId="11" applyNumberFormat="1" applyFont="1" applyBorder="1" applyAlignment="1">
      <alignment vertical="center"/>
    </xf>
    <xf numFmtId="3" fontId="30" fillId="8" borderId="10" xfId="8" applyNumberFormat="1" applyFont="1" applyFill="1" applyBorder="1" applyAlignment="1">
      <alignment horizontal="right" vertical="center"/>
    </xf>
    <xf numFmtId="164" fontId="30" fillId="8" borderId="10" xfId="11" applyNumberFormat="1" applyFont="1" applyFill="1" applyBorder="1" applyAlignment="1">
      <alignment horizontal="center" vertical="center" wrapText="1"/>
    </xf>
    <xf numFmtId="4" fontId="30" fillId="0" borderId="10" xfId="8" applyNumberFormat="1" applyFont="1" applyFill="1" applyBorder="1" applyAlignment="1">
      <alignment horizontal="right" vertical="center"/>
    </xf>
    <xf numFmtId="39" fontId="30" fillId="0" borderId="10" xfId="8" applyNumberFormat="1" applyFont="1" applyFill="1" applyBorder="1" applyAlignment="1">
      <alignment horizontal="right" vertical="center"/>
    </xf>
    <xf numFmtId="9" fontId="30" fillId="0" borderId="10" xfId="11" applyNumberFormat="1" applyFont="1" applyBorder="1" applyAlignment="1">
      <alignment horizontal="center" vertical="center" wrapText="1"/>
    </xf>
    <xf numFmtId="2" fontId="30" fillId="0" borderId="10" xfId="11" applyNumberFormat="1" applyFont="1" applyBorder="1" applyAlignment="1">
      <alignment horizontal="center" vertical="center" wrapText="1"/>
    </xf>
    <xf numFmtId="164" fontId="12" fillId="0" borderId="10" xfId="8" applyFont="1" applyFill="1" applyBorder="1" applyProtection="1"/>
    <xf numFmtId="3" fontId="30" fillId="0" borderId="10" xfId="8" applyNumberFormat="1" applyFont="1" applyFill="1" applyBorder="1" applyAlignment="1">
      <alignment horizontal="center" vertical="center"/>
    </xf>
    <xf numFmtId="3" fontId="30" fillId="0" borderId="10" xfId="11" applyNumberFormat="1" applyFont="1" applyBorder="1" applyAlignment="1">
      <alignment horizontal="center" vertical="center" wrapText="1"/>
    </xf>
    <xf numFmtId="49" fontId="30" fillId="0" borderId="10" xfId="11" applyNumberFormat="1" applyFont="1" applyBorder="1" applyAlignment="1">
      <alignment horizontal="left" vertical="center" wrapText="1"/>
    </xf>
    <xf numFmtId="3" fontId="30" fillId="0" borderId="10" xfId="11" applyNumberFormat="1" applyFont="1" applyBorder="1" applyAlignment="1" applyProtection="1">
      <alignment horizontal="center" vertical="center" wrapText="1"/>
      <protection locked="0"/>
    </xf>
    <xf numFmtId="49" fontId="10" fillId="0" borderId="10" xfId="11" applyNumberFormat="1" applyFont="1" applyBorder="1" applyAlignment="1">
      <alignment horizontal="left" vertical="center" wrapText="1"/>
    </xf>
    <xf numFmtId="49" fontId="18" fillId="3" borderId="10" xfId="11" applyNumberFormat="1" applyFont="1" applyFill="1" applyBorder="1" applyAlignment="1">
      <alignment vertical="center"/>
    </xf>
    <xf numFmtId="4" fontId="30" fillId="0" borderId="10" xfId="8" applyNumberFormat="1" applyFont="1" applyBorder="1" applyAlignment="1">
      <alignment horizontal="right" vertical="center"/>
    </xf>
    <xf numFmtId="39" fontId="30" fillId="0" borderId="10" xfId="8" applyNumberFormat="1" applyFont="1" applyBorder="1" applyAlignment="1">
      <alignment horizontal="right" vertical="center"/>
    </xf>
    <xf numFmtId="3" fontId="30" fillId="0" borderId="10" xfId="8" applyNumberFormat="1" applyFont="1" applyBorder="1" applyAlignment="1">
      <alignment horizontal="center" vertical="center"/>
    </xf>
    <xf numFmtId="49" fontId="12" fillId="8" borderId="0" xfId="11" applyNumberFormat="1" applyFont="1" applyFill="1" applyAlignment="1">
      <alignment horizontal="center" vertical="center"/>
    </xf>
    <xf numFmtId="49" fontId="10" fillId="8" borderId="0" xfId="11" applyNumberFormat="1" applyFont="1" applyFill="1" applyAlignment="1">
      <alignment horizontal="left" vertical="center"/>
    </xf>
    <xf numFmtId="49" fontId="18" fillId="8" borderId="10" xfId="11" applyNumberFormat="1" applyFont="1" applyFill="1" applyBorder="1" applyAlignment="1">
      <alignment vertical="center"/>
    </xf>
    <xf numFmtId="4" fontId="30" fillId="8" borderId="10" xfId="8" applyNumberFormat="1" applyFont="1" applyFill="1" applyBorder="1" applyAlignment="1">
      <alignment horizontal="right" vertical="center"/>
    </xf>
    <xf numFmtId="39" fontId="30" fillId="8" borderId="10" xfId="8" applyNumberFormat="1" applyFont="1" applyFill="1" applyBorder="1" applyAlignment="1">
      <alignment horizontal="right" vertical="center"/>
    </xf>
    <xf numFmtId="9" fontId="30" fillId="8" borderId="10" xfId="11" applyNumberFormat="1" applyFont="1" applyFill="1" applyBorder="1" applyAlignment="1">
      <alignment horizontal="center" vertical="center" wrapText="1"/>
    </xf>
    <xf numFmtId="2" fontId="30" fillId="8" borderId="10" xfId="11" applyNumberFormat="1" applyFont="1" applyFill="1" applyBorder="1" applyAlignment="1">
      <alignment horizontal="center" vertical="center" wrapText="1"/>
    </xf>
    <xf numFmtId="164" fontId="12" fillId="8" borderId="10" xfId="8" applyFont="1" applyFill="1" applyBorder="1" applyProtection="1"/>
    <xf numFmtId="3" fontId="30" fillId="8" borderId="10" xfId="8" applyNumberFormat="1" applyFont="1" applyFill="1" applyBorder="1" applyAlignment="1">
      <alignment horizontal="center" vertical="center"/>
    </xf>
    <xf numFmtId="3" fontId="30" fillId="8" borderId="10" xfId="11" applyNumberFormat="1" applyFont="1" applyFill="1" applyBorder="1" applyAlignment="1">
      <alignment horizontal="center" vertical="center" wrapText="1"/>
    </xf>
    <xf numFmtId="49" fontId="30" fillId="8" borderId="10" xfId="11" applyNumberFormat="1" applyFont="1" applyFill="1" applyBorder="1" applyAlignment="1">
      <alignment horizontal="left" vertical="center" wrapText="1"/>
    </xf>
    <xf numFmtId="3" fontId="30" fillId="8" borderId="10" xfId="11" applyNumberFormat="1" applyFont="1" applyFill="1" applyBorder="1" applyAlignment="1" applyProtection="1">
      <alignment horizontal="center" vertical="center" wrapText="1"/>
      <protection locked="0"/>
    </xf>
    <xf numFmtId="49" fontId="10" fillId="8" borderId="10" xfId="11" applyNumberFormat="1" applyFont="1" applyFill="1" applyBorder="1" applyAlignment="1">
      <alignment horizontal="left" vertical="center" wrapText="1"/>
    </xf>
    <xf numFmtId="4" fontId="18" fillId="8" borderId="10" xfId="8" applyNumberFormat="1" applyFont="1" applyFill="1" applyBorder="1" applyAlignment="1">
      <alignment horizontal="right" vertical="center"/>
    </xf>
    <xf numFmtId="0" fontId="30" fillId="8" borderId="10" xfId="11" applyFont="1" applyFill="1" applyBorder="1" applyAlignment="1">
      <alignment horizontal="center" vertical="center" wrapText="1"/>
    </xf>
    <xf numFmtId="2" fontId="18" fillId="8" borderId="10" xfId="8" applyNumberFormat="1" applyFont="1" applyFill="1" applyBorder="1" applyAlignment="1">
      <alignment horizontal="center" vertical="center" wrapText="1"/>
    </xf>
    <xf numFmtId="3" fontId="18" fillId="8" borderId="10" xfId="8" applyNumberFormat="1" applyFont="1" applyFill="1" applyBorder="1" applyAlignment="1">
      <alignment horizontal="center" vertical="center"/>
    </xf>
    <xf numFmtId="49" fontId="19" fillId="8" borderId="10" xfId="11" applyNumberFormat="1" applyFont="1" applyFill="1" applyBorder="1" applyAlignment="1">
      <alignment horizontal="left" vertical="center"/>
    </xf>
    <xf numFmtId="49" fontId="18" fillId="9" borderId="10" xfId="11" applyNumberFormat="1" applyFont="1" applyFill="1" applyBorder="1" applyAlignment="1">
      <alignment vertical="center"/>
    </xf>
    <xf numFmtId="4" fontId="18" fillId="9" borderId="10" xfId="8" applyNumberFormat="1" applyFont="1" applyFill="1" applyBorder="1" applyAlignment="1">
      <alignment horizontal="right" vertical="center"/>
    </xf>
    <xf numFmtId="0" fontId="30" fillId="9" borderId="10" xfId="11" applyFont="1" applyFill="1" applyBorder="1" applyAlignment="1">
      <alignment horizontal="center" vertical="center" wrapText="1"/>
    </xf>
    <xf numFmtId="4" fontId="30" fillId="9" borderId="10" xfId="8" applyNumberFormat="1" applyFont="1" applyFill="1" applyBorder="1" applyAlignment="1">
      <alignment horizontal="right" vertical="center"/>
    </xf>
    <xf numFmtId="39" fontId="30" fillId="9" borderId="10" xfId="8" applyNumberFormat="1" applyFont="1" applyFill="1" applyBorder="1" applyAlignment="1">
      <alignment horizontal="right" vertical="center"/>
    </xf>
    <xf numFmtId="9" fontId="30" fillId="9" borderId="10" xfId="11" applyNumberFormat="1" applyFont="1" applyFill="1" applyBorder="1" applyAlignment="1">
      <alignment horizontal="center" vertical="center" wrapText="1"/>
    </xf>
    <xf numFmtId="2" fontId="30" fillId="9" borderId="10" xfId="11" applyNumberFormat="1" applyFont="1" applyFill="1" applyBorder="1" applyAlignment="1">
      <alignment horizontal="center" vertical="center" wrapText="1"/>
    </xf>
    <xf numFmtId="2" fontId="18" fillId="9" borderId="10" xfId="8" applyNumberFormat="1" applyFont="1" applyFill="1" applyBorder="1" applyAlignment="1">
      <alignment horizontal="center" vertical="center" wrapText="1"/>
    </xf>
    <xf numFmtId="3" fontId="18" fillId="9" borderId="10" xfId="8" applyNumberFormat="1" applyFont="1" applyFill="1" applyBorder="1" applyAlignment="1">
      <alignment horizontal="center" vertical="center"/>
    </xf>
    <xf numFmtId="3" fontId="30" fillId="9" borderId="10" xfId="8" applyNumberFormat="1" applyFont="1" applyFill="1" applyBorder="1" applyAlignment="1">
      <alignment horizontal="center" vertical="center"/>
    </xf>
    <xf numFmtId="3" fontId="30" fillId="9" borderId="10" xfId="11" applyNumberFormat="1" applyFont="1" applyFill="1" applyBorder="1" applyAlignment="1">
      <alignment horizontal="center" vertical="center" wrapText="1"/>
    </xf>
    <xf numFmtId="49" fontId="30" fillId="9" borderId="10" xfId="11" applyNumberFormat="1" applyFont="1" applyFill="1" applyBorder="1" applyAlignment="1">
      <alignment horizontal="left" vertical="center" wrapText="1"/>
    </xf>
    <xf numFmtId="3" fontId="30" fillId="9" borderId="10" xfId="11" applyNumberFormat="1" applyFont="1" applyFill="1" applyBorder="1" applyAlignment="1" applyProtection="1">
      <alignment horizontal="center" vertical="center" wrapText="1"/>
      <protection locked="0"/>
    </xf>
    <xf numFmtId="49" fontId="19" fillId="9" borderId="10" xfId="11" applyNumberFormat="1" applyFont="1" applyFill="1" applyBorder="1" applyAlignment="1">
      <alignment horizontal="left" vertical="center"/>
    </xf>
    <xf numFmtId="4" fontId="18" fillId="0" borderId="10" xfId="8" applyNumberFormat="1" applyFont="1" applyBorder="1" applyAlignment="1">
      <alignment horizontal="right" vertical="center"/>
    </xf>
    <xf numFmtId="0" fontId="30" fillId="0" borderId="10" xfId="11" applyFont="1" applyBorder="1" applyAlignment="1">
      <alignment horizontal="center" vertical="center" wrapText="1"/>
    </xf>
    <xf numFmtId="2" fontId="18" fillId="0" borderId="10" xfId="8" applyNumberFormat="1" applyFont="1" applyBorder="1" applyAlignment="1">
      <alignment horizontal="center" vertical="center" wrapText="1"/>
    </xf>
    <xf numFmtId="3" fontId="18" fillId="0" borderId="10" xfId="8" applyNumberFormat="1" applyFont="1" applyBorder="1" applyAlignment="1">
      <alignment horizontal="center" vertical="center"/>
    </xf>
    <xf numFmtId="49" fontId="19" fillId="0" borderId="10" xfId="11" applyNumberFormat="1" applyFont="1" applyBorder="1" applyAlignment="1">
      <alignment horizontal="left" vertical="center" wrapText="1"/>
    </xf>
    <xf numFmtId="3" fontId="32" fillId="0" borderId="10" xfId="8" applyNumberFormat="1" applyFont="1" applyBorder="1" applyAlignment="1" applyProtection="1">
      <alignment horizontal="right" vertical="center" wrapText="1"/>
      <protection locked="0"/>
    </xf>
    <xf numFmtId="3" fontId="32" fillId="0" borderId="10" xfId="8" applyNumberFormat="1" applyFont="1" applyBorder="1" applyAlignment="1" applyProtection="1">
      <alignment horizontal="center" vertical="center" wrapText="1"/>
      <protection locked="0"/>
    </xf>
    <xf numFmtId="166" fontId="32" fillId="0" borderId="10" xfId="8" applyNumberFormat="1" applyFont="1" applyBorder="1" applyAlignment="1" applyProtection="1">
      <alignment horizontal="center" vertical="center" wrapText="1"/>
      <protection locked="0"/>
    </xf>
    <xf numFmtId="0" fontId="30" fillId="0" borderId="10" xfId="11" applyFont="1" applyBorder="1" applyAlignment="1">
      <alignment horizontal="right" vertical="center" wrapText="1"/>
    </xf>
    <xf numFmtId="3" fontId="30" fillId="0" borderId="10" xfId="8" applyNumberFormat="1" applyFont="1" applyBorder="1" applyAlignment="1">
      <alignment horizontal="right" vertical="center"/>
    </xf>
    <xf numFmtId="164" fontId="30" fillId="0" borderId="10" xfId="11" applyNumberFormat="1" applyFont="1" applyBorder="1" applyAlignment="1">
      <alignment horizontal="center" vertical="center" wrapText="1"/>
    </xf>
    <xf numFmtId="3" fontId="30" fillId="0" borderId="10" xfId="8" applyNumberFormat="1" applyFont="1" applyFill="1" applyBorder="1" applyAlignment="1">
      <alignment horizontal="right" vertical="center"/>
    </xf>
    <xf numFmtId="49" fontId="19" fillId="9" borderId="10" xfId="11" applyNumberFormat="1" applyFont="1" applyFill="1" applyBorder="1" applyAlignment="1">
      <alignment horizontal="left" vertical="center" wrapText="1"/>
    </xf>
    <xf numFmtId="4" fontId="23" fillId="0" borderId="10" xfId="8" applyNumberFormat="1" applyFont="1" applyFill="1" applyBorder="1" applyAlignment="1">
      <alignment horizontal="right" vertical="center"/>
    </xf>
    <xf numFmtId="0" fontId="32" fillId="0" borderId="10" xfId="11" applyFont="1" applyBorder="1" applyAlignment="1">
      <alignment horizontal="center" vertical="center" wrapText="1"/>
    </xf>
    <xf numFmtId="4" fontId="32" fillId="0" borderId="10" xfId="8" applyNumberFormat="1" applyFont="1" applyFill="1" applyBorder="1" applyAlignment="1">
      <alignment horizontal="right" vertical="center"/>
    </xf>
    <xf numFmtId="39" fontId="32" fillId="0" borderId="10" xfId="8" applyNumberFormat="1" applyFont="1" applyFill="1" applyBorder="1" applyAlignment="1">
      <alignment horizontal="right" vertical="center"/>
    </xf>
    <xf numFmtId="9" fontId="32" fillId="0" borderId="10" xfId="11" applyNumberFormat="1" applyFont="1" applyBorder="1" applyAlignment="1">
      <alignment horizontal="center" vertical="center" wrapText="1"/>
    </xf>
    <xf numFmtId="2" fontId="32" fillId="0" borderId="10" xfId="11" applyNumberFormat="1" applyFont="1" applyBorder="1" applyAlignment="1">
      <alignment horizontal="center" vertical="center" wrapText="1"/>
    </xf>
    <xf numFmtId="2" fontId="23" fillId="0" borderId="10" xfId="8" applyNumberFormat="1" applyFont="1" applyFill="1" applyBorder="1" applyAlignment="1">
      <alignment horizontal="center" vertical="center" wrapText="1"/>
    </xf>
    <xf numFmtId="3" fontId="23" fillId="0" borderId="10" xfId="8" applyNumberFormat="1" applyFont="1" applyFill="1" applyBorder="1" applyAlignment="1">
      <alignment horizontal="center" vertical="center"/>
    </xf>
    <xf numFmtId="3" fontId="32" fillId="0" borderId="10" xfId="8" applyNumberFormat="1" applyFont="1" applyFill="1" applyBorder="1" applyAlignment="1">
      <alignment horizontal="center" vertical="center"/>
    </xf>
    <xf numFmtId="3" fontId="32" fillId="0" borderId="10" xfId="11" applyNumberFormat="1" applyFont="1" applyBorder="1" applyAlignment="1">
      <alignment horizontal="center" vertical="center" wrapText="1"/>
    </xf>
    <xf numFmtId="49" fontId="32" fillId="0" borderId="10" xfId="11" applyNumberFormat="1" applyFont="1" applyBorder="1" applyAlignment="1">
      <alignment horizontal="left" vertical="center" wrapText="1"/>
    </xf>
    <xf numFmtId="3" fontId="32" fillId="0" borderId="10" xfId="11" applyNumberFormat="1" applyFont="1" applyBorder="1" applyAlignment="1" applyProtection="1">
      <alignment horizontal="center" vertical="center" wrapText="1"/>
      <protection locked="0"/>
    </xf>
    <xf numFmtId="4" fontId="23" fillId="9" borderId="10" xfId="8" applyNumberFormat="1" applyFont="1" applyFill="1" applyBorder="1" applyAlignment="1">
      <alignment horizontal="right" vertical="center"/>
    </xf>
    <xf numFmtId="0" fontId="32" fillId="9" borderId="10" xfId="11" applyFont="1" applyFill="1" applyBorder="1" applyAlignment="1">
      <alignment horizontal="center" vertical="center" wrapText="1"/>
    </xf>
    <xf numFmtId="4" fontId="32" fillId="9" borderId="10" xfId="8" applyNumberFormat="1" applyFont="1" applyFill="1" applyBorder="1" applyAlignment="1">
      <alignment horizontal="right" vertical="center"/>
    </xf>
    <xf numFmtId="39" fontId="32" fillId="9" borderId="10" xfId="8" applyNumberFormat="1" applyFont="1" applyFill="1" applyBorder="1" applyAlignment="1">
      <alignment horizontal="right" vertical="center"/>
    </xf>
    <xf numFmtId="9" fontId="32" fillId="9" borderId="10" xfId="11" applyNumberFormat="1" applyFont="1" applyFill="1" applyBorder="1" applyAlignment="1">
      <alignment horizontal="center" vertical="center" wrapText="1"/>
    </xf>
    <xf numFmtId="2" fontId="32" fillId="9" borderId="10" xfId="11" applyNumberFormat="1" applyFont="1" applyFill="1" applyBorder="1" applyAlignment="1">
      <alignment horizontal="center" vertical="center" wrapText="1"/>
    </xf>
    <xf numFmtId="2" fontId="23" fillId="9" borderId="10" xfId="8" applyNumberFormat="1" applyFont="1" applyFill="1" applyBorder="1" applyAlignment="1">
      <alignment horizontal="center" vertical="center" wrapText="1"/>
    </xf>
    <xf numFmtId="3" fontId="23" fillId="9" borderId="10" xfId="8" applyNumberFormat="1" applyFont="1" applyFill="1" applyBorder="1" applyAlignment="1">
      <alignment horizontal="center" vertical="center"/>
    </xf>
    <xf numFmtId="3" fontId="32" fillId="9" borderId="10" xfId="8" applyNumberFormat="1" applyFont="1" applyFill="1" applyBorder="1" applyAlignment="1">
      <alignment horizontal="center" vertical="center"/>
    </xf>
    <xf numFmtId="3" fontId="32" fillId="9" borderId="10" xfId="11" applyNumberFormat="1" applyFont="1" applyFill="1" applyBorder="1" applyAlignment="1">
      <alignment horizontal="center" vertical="center" wrapText="1"/>
    </xf>
    <xf numFmtId="49" fontId="32" fillId="9" borderId="10" xfId="11" applyNumberFormat="1" applyFont="1" applyFill="1" applyBorder="1" applyAlignment="1">
      <alignment horizontal="left" vertical="center" wrapText="1"/>
    </xf>
    <xf numFmtId="3" fontId="32" fillId="9" borderId="10" xfId="11" applyNumberFormat="1" applyFont="1" applyFill="1" applyBorder="1" applyAlignment="1" applyProtection="1">
      <alignment horizontal="center" vertical="center" wrapText="1"/>
      <protection locked="0"/>
    </xf>
    <xf numFmtId="49" fontId="10" fillId="0" borderId="10" xfId="11" applyNumberFormat="1" applyFont="1" applyBorder="1" applyAlignment="1">
      <alignment vertical="center"/>
    </xf>
    <xf numFmtId="49" fontId="35" fillId="0" borderId="10" xfId="11" applyNumberFormat="1" applyFont="1" applyBorder="1" applyAlignment="1">
      <alignment vertical="center"/>
    </xf>
    <xf numFmtId="49" fontId="18" fillId="9" borderId="10" xfId="11" applyNumberFormat="1" applyFont="1" applyFill="1" applyBorder="1" applyAlignment="1">
      <alignment vertical="center" wrapText="1"/>
    </xf>
    <xf numFmtId="4" fontId="23" fillId="9" borderId="10" xfId="11" applyNumberFormat="1" applyFont="1" applyFill="1" applyBorder="1" applyAlignment="1">
      <alignment horizontal="right" vertical="center" wrapText="1"/>
    </xf>
    <xf numFmtId="0" fontId="32" fillId="9" borderId="10" xfId="8" applyNumberFormat="1" applyFont="1" applyFill="1" applyBorder="1" applyAlignment="1">
      <alignment horizontal="center" wrapText="1"/>
    </xf>
    <xf numFmtId="2" fontId="32" fillId="9" borderId="10" xfId="8" applyNumberFormat="1" applyFont="1" applyFill="1" applyBorder="1" applyAlignment="1">
      <alignment horizontal="center" vertical="center" wrapText="1"/>
    </xf>
    <xf numFmtId="164" fontId="32" fillId="9" borderId="10" xfId="8" applyFont="1" applyFill="1" applyBorder="1" applyAlignment="1">
      <alignment horizontal="right" vertical="center" wrapText="1"/>
    </xf>
    <xf numFmtId="0" fontId="23" fillId="9" borderId="10" xfId="11" applyFont="1" applyFill="1" applyBorder="1" applyAlignment="1">
      <alignment horizontal="center" vertical="center" wrapText="1"/>
    </xf>
    <xf numFmtId="3" fontId="23" fillId="9" borderId="10" xfId="11" applyNumberFormat="1" applyFont="1" applyFill="1" applyBorder="1" applyAlignment="1">
      <alignment horizontal="center" vertical="center" wrapText="1"/>
    </xf>
    <xf numFmtId="49" fontId="36" fillId="10" borderId="43" xfId="11" applyNumberFormat="1" applyFont="1" applyFill="1" applyBorder="1" applyAlignment="1">
      <alignment vertical="center"/>
    </xf>
    <xf numFmtId="3" fontId="32" fillId="10" borderId="43" xfId="11" applyNumberFormat="1" applyFont="1" applyFill="1" applyBorder="1" applyAlignment="1">
      <alignment horizontal="right" vertical="center" wrapText="1"/>
    </xf>
    <xf numFmtId="49" fontId="32" fillId="10" borderId="43" xfId="11" applyNumberFormat="1" applyFont="1" applyFill="1" applyBorder="1" applyAlignment="1">
      <alignment horizontal="right" vertical="center" wrapText="1"/>
    </xf>
    <xf numFmtId="49" fontId="30" fillId="10" borderId="43" xfId="11" applyNumberFormat="1" applyFont="1" applyFill="1" applyBorder="1" applyAlignment="1">
      <alignment horizontal="right" vertical="center" wrapText="1"/>
    </xf>
    <xf numFmtId="49" fontId="18" fillId="10" borderId="43" xfId="11" applyNumberFormat="1" applyFont="1" applyFill="1" applyBorder="1" applyAlignment="1">
      <alignment horizontal="right" vertical="center" wrapText="1"/>
    </xf>
    <xf numFmtId="49" fontId="19" fillId="10" borderId="43" xfId="11" applyNumberFormat="1" applyFont="1" applyFill="1" applyBorder="1" applyAlignment="1">
      <alignment horizontal="left" vertical="center" wrapText="1"/>
    </xf>
    <xf numFmtId="49" fontId="18" fillId="0" borderId="0" xfId="11" applyNumberFormat="1" applyFont="1" applyAlignment="1">
      <alignment horizontal="left" vertical="center"/>
    </xf>
    <xf numFmtId="49" fontId="12" fillId="0" borderId="38" xfId="11" applyNumberFormat="1" applyFont="1" applyBorder="1" applyAlignment="1">
      <alignment horizontal="center" vertical="center" wrapText="1"/>
    </xf>
    <xf numFmtId="49" fontId="10" fillId="0" borderId="38" xfId="11" applyNumberFormat="1" applyFont="1" applyBorder="1" applyAlignment="1">
      <alignment horizontal="center" vertical="center" wrapText="1"/>
    </xf>
    <xf numFmtId="49" fontId="30" fillId="0" borderId="38" xfId="11" applyNumberFormat="1" applyFont="1" applyBorder="1" applyAlignment="1">
      <alignment horizontal="center" vertical="center" wrapText="1"/>
    </xf>
    <xf numFmtId="3" fontId="10" fillId="0" borderId="38" xfId="11" applyNumberFormat="1" applyFont="1" applyBorder="1" applyAlignment="1">
      <alignment horizontal="center" vertical="center" wrapText="1"/>
    </xf>
    <xf numFmtId="3" fontId="30" fillId="0" borderId="38" xfId="11" applyNumberFormat="1" applyFont="1" applyBorder="1" applyAlignment="1">
      <alignment horizontal="center" vertical="center" wrapText="1"/>
    </xf>
    <xf numFmtId="166" fontId="32" fillId="0" borderId="25" xfId="1" applyNumberFormat="1" applyFont="1" applyBorder="1" applyAlignment="1">
      <alignment horizontal="center" wrapText="1"/>
    </xf>
    <xf numFmtId="166" fontId="32" fillId="0" borderId="25" xfId="1" applyNumberFormat="1" applyFont="1" applyBorder="1" applyAlignment="1">
      <alignment horizontal="center" vertical="center" wrapText="1"/>
    </xf>
    <xf numFmtId="0" fontId="32" fillId="0" borderId="24" xfId="11" applyFont="1" applyBorder="1" applyAlignment="1">
      <alignment horizontal="center" vertical="center" wrapText="1"/>
    </xf>
    <xf numFmtId="3" fontId="19" fillId="0" borderId="24" xfId="11" applyNumberFormat="1" applyFont="1" applyBorder="1" applyAlignment="1">
      <alignment horizontal="center" vertical="center" wrapText="1"/>
    </xf>
    <xf numFmtId="3" fontId="32" fillId="0" borderId="24" xfId="11" applyNumberFormat="1" applyFont="1" applyBorder="1" applyAlignment="1">
      <alignment horizontal="center" vertical="center" wrapText="1"/>
    </xf>
    <xf numFmtId="166" fontId="30" fillId="0" borderId="0" xfId="1" applyNumberFormat="1" applyFont="1" applyBorder="1" applyAlignment="1">
      <alignment vertical="center"/>
    </xf>
    <xf numFmtId="0" fontId="32" fillId="0" borderId="13" xfId="11" applyFont="1" applyBorder="1" applyAlignment="1">
      <alignment horizontal="left" vertical="center" indent="5"/>
    </xf>
    <xf numFmtId="0" fontId="32" fillId="0" borderId="14" xfId="11" applyFont="1" applyBorder="1" applyAlignment="1">
      <alignment horizontal="center" vertical="center"/>
    </xf>
    <xf numFmtId="2" fontId="32" fillId="0" borderId="0" xfId="11" applyNumberFormat="1" applyFont="1" applyAlignment="1">
      <alignment horizontal="center" vertical="center"/>
    </xf>
    <xf numFmtId="0" fontId="32" fillId="0" borderId="0" xfId="11" applyFont="1" applyAlignment="1">
      <alignment horizontal="left" indent="3"/>
    </xf>
    <xf numFmtId="0" fontId="32" fillId="0" borderId="13" xfId="11" applyFont="1" applyBorder="1" applyAlignment="1">
      <alignment horizontal="left" indent="1"/>
    </xf>
    <xf numFmtId="0" fontId="32" fillId="0" borderId="37" xfId="11" applyFont="1" applyBorder="1" applyAlignment="1">
      <alignment horizontal="center" vertical="center"/>
    </xf>
    <xf numFmtId="0" fontId="32" fillId="0" borderId="36" xfId="11" applyFont="1" applyBorder="1" applyAlignment="1">
      <alignment horizontal="left" indent="1"/>
    </xf>
    <xf numFmtId="166" fontId="30" fillId="0" borderId="21" xfId="1" applyNumberFormat="1" applyFont="1" applyBorder="1" applyAlignment="1">
      <alignment vertical="center"/>
    </xf>
    <xf numFmtId="3" fontId="19" fillId="0" borderId="37" xfId="11" applyNumberFormat="1" applyFont="1" applyBorder="1" applyAlignment="1">
      <alignment horizontal="center" vertical="center"/>
    </xf>
    <xf numFmtId="3" fontId="32" fillId="0" borderId="37" xfId="11" applyNumberFormat="1" applyFont="1" applyBorder="1" applyAlignment="1">
      <alignment horizontal="center" vertical="center"/>
    </xf>
    <xf numFmtId="49" fontId="19" fillId="11" borderId="10" xfId="11" applyNumberFormat="1" applyFont="1" applyFill="1" applyBorder="1" applyAlignment="1">
      <alignment horizontal="left" vertical="center" wrapText="1"/>
    </xf>
    <xf numFmtId="3" fontId="30" fillId="11" borderId="10" xfId="11" applyNumberFormat="1" applyFont="1" applyFill="1" applyBorder="1" applyAlignment="1" applyProtection="1">
      <alignment horizontal="center" vertical="center" wrapText="1"/>
      <protection locked="0"/>
    </xf>
    <xf numFmtId="3" fontId="30" fillId="11" borderId="10" xfId="11" applyNumberFormat="1" applyFont="1" applyFill="1" applyBorder="1" applyAlignment="1">
      <alignment horizontal="center" vertical="center" wrapText="1"/>
    </xf>
    <xf numFmtId="49" fontId="30" fillId="11" borderId="10" xfId="11" applyNumberFormat="1" applyFont="1" applyFill="1" applyBorder="1" applyAlignment="1">
      <alignment horizontal="left" vertical="center" wrapText="1"/>
    </xf>
    <xf numFmtId="3" fontId="30" fillId="11" borderId="10" xfId="8" applyNumberFormat="1" applyFont="1" applyFill="1" applyBorder="1" applyAlignment="1">
      <alignment horizontal="center" vertical="center"/>
    </xf>
    <xf numFmtId="3" fontId="18" fillId="11" borderId="10" xfId="8" applyNumberFormat="1" applyFont="1" applyFill="1" applyBorder="1" applyAlignment="1">
      <alignment horizontal="center" vertical="center"/>
    </xf>
    <xf numFmtId="2" fontId="18" fillId="11" borderId="10" xfId="8" applyNumberFormat="1" applyFont="1" applyFill="1" applyBorder="1" applyAlignment="1">
      <alignment horizontal="center" vertical="center" wrapText="1"/>
    </xf>
    <xf numFmtId="2" fontId="30" fillId="11" borderId="10" xfId="11" applyNumberFormat="1" applyFont="1" applyFill="1" applyBorder="1" applyAlignment="1">
      <alignment horizontal="center" vertical="center" wrapText="1"/>
    </xf>
    <xf numFmtId="9" fontId="30" fillId="11" borderId="10" xfId="11" applyNumberFormat="1" applyFont="1" applyFill="1" applyBorder="1" applyAlignment="1">
      <alignment horizontal="center" vertical="center" wrapText="1"/>
    </xf>
    <xf numFmtId="39" fontId="30" fillId="11" borderId="10" xfId="8" applyNumberFormat="1" applyFont="1" applyFill="1" applyBorder="1" applyAlignment="1">
      <alignment horizontal="right" vertical="center"/>
    </xf>
    <xf numFmtId="4" fontId="30" fillId="11" borderId="10" xfId="8" applyNumberFormat="1" applyFont="1" applyFill="1" applyBorder="1" applyAlignment="1">
      <alignment horizontal="right" vertical="center"/>
    </xf>
    <xf numFmtId="0" fontId="30" fillId="11" borderId="10" xfId="11" applyFont="1" applyFill="1" applyBorder="1" applyAlignment="1">
      <alignment horizontal="center" vertical="center" wrapText="1"/>
    </xf>
    <xf numFmtId="4" fontId="18" fillId="11" borderId="10" xfId="8" applyNumberFormat="1" applyFont="1" applyFill="1" applyBorder="1" applyAlignment="1">
      <alignment horizontal="right" vertical="center"/>
    </xf>
    <xf numFmtId="49" fontId="18" fillId="11" borderId="10" xfId="11" applyNumberFormat="1" applyFont="1" applyFill="1" applyBorder="1" applyAlignment="1">
      <alignment vertical="center"/>
    </xf>
    <xf numFmtId="49" fontId="12" fillId="11" borderId="0" xfId="11" applyNumberFormat="1" applyFont="1" applyFill="1" applyAlignment="1">
      <alignment horizontal="center" vertical="center"/>
    </xf>
    <xf numFmtId="49" fontId="10" fillId="11" borderId="0" xfId="11" applyNumberFormat="1" applyFont="1" applyFill="1" applyAlignment="1">
      <alignment horizontal="left" vertical="center"/>
    </xf>
    <xf numFmtId="49" fontId="10" fillId="11" borderId="10" xfId="11" applyNumberFormat="1" applyFont="1" applyFill="1" applyBorder="1" applyAlignment="1">
      <alignment horizontal="left" vertical="center" wrapText="1"/>
    </xf>
    <xf numFmtId="164" fontId="12" fillId="11" borderId="10" xfId="8" applyFont="1" applyFill="1" applyBorder="1" applyProtection="1"/>
    <xf numFmtId="164" fontId="30" fillId="11" borderId="10" xfId="11" applyNumberFormat="1" applyFont="1" applyFill="1" applyBorder="1" applyAlignment="1">
      <alignment horizontal="center" vertical="center" wrapText="1"/>
    </xf>
    <xf numFmtId="3" fontId="30" fillId="11" borderId="10" xfId="8" applyNumberFormat="1" applyFont="1" applyFill="1" applyBorder="1" applyAlignment="1">
      <alignment horizontal="right" vertical="center"/>
    </xf>
    <xf numFmtId="166" fontId="27" fillId="0" borderId="0" xfId="8" applyNumberFormat="1" applyFont="1" applyFill="1" applyAlignment="1">
      <alignment horizontal="left" vertical="center"/>
    </xf>
    <xf numFmtId="166" fontId="27" fillId="0" borderId="0" xfId="8" applyNumberFormat="1" applyFont="1" applyFill="1" applyAlignment="1">
      <alignment horizontal="left" vertical="center" indent="1"/>
    </xf>
    <xf numFmtId="0" fontId="39" fillId="0" borderId="0" xfId="11" applyFont="1" applyAlignment="1">
      <alignment vertical="center"/>
    </xf>
    <xf numFmtId="166" fontId="39" fillId="0" borderId="0" xfId="8" applyNumberFormat="1" applyFont="1" applyFill="1" applyAlignment="1">
      <alignment horizontal="left" vertical="center"/>
    </xf>
    <xf numFmtId="166" fontId="39" fillId="0" borderId="0" xfId="8" applyNumberFormat="1" applyFont="1" applyFill="1" applyAlignment="1">
      <alignment horizontal="left" vertical="center" indent="1"/>
    </xf>
    <xf numFmtId="0" fontId="40" fillId="0" borderId="0" xfId="11" applyFont="1" applyAlignment="1">
      <alignment vertical="center"/>
    </xf>
    <xf numFmtId="166" fontId="40" fillId="0" borderId="0" xfId="8" applyNumberFormat="1" applyFont="1" applyFill="1" applyAlignment="1">
      <alignment horizontal="left" vertical="center"/>
    </xf>
    <xf numFmtId="166" fontId="40" fillId="0" borderId="0" xfId="8" applyNumberFormat="1" applyFont="1" applyFill="1" applyAlignment="1">
      <alignment horizontal="left" vertical="center" indent="1"/>
    </xf>
    <xf numFmtId="49" fontId="27" fillId="0" borderId="0" xfId="11" applyNumberFormat="1" applyFont="1" applyAlignment="1">
      <alignment horizontal="center" vertical="center"/>
    </xf>
    <xf numFmtId="49" fontId="30" fillId="0" borderId="0" xfId="11" applyNumberFormat="1" applyFont="1" applyAlignment="1">
      <alignment horizontal="left" vertical="center"/>
    </xf>
    <xf numFmtId="166" fontId="30" fillId="0" borderId="10" xfId="8" applyNumberFormat="1" applyFont="1" applyFill="1" applyBorder="1" applyAlignment="1">
      <alignment horizontal="left" vertical="center" wrapText="1"/>
    </xf>
    <xf numFmtId="166" fontId="30" fillId="0" borderId="10" xfId="8" applyNumberFormat="1" applyFont="1" applyFill="1" applyBorder="1" applyAlignment="1">
      <alignment horizontal="left" vertical="center"/>
    </xf>
    <xf numFmtId="9" fontId="30" fillId="0" borderId="10" xfId="10" applyFont="1" applyFill="1" applyBorder="1" applyAlignment="1">
      <alignment horizontal="center" vertical="center" wrapText="1"/>
    </xf>
    <xf numFmtId="164" fontId="30" fillId="0" borderId="10" xfId="8" applyFont="1" applyFill="1" applyBorder="1" applyAlignment="1">
      <alignment horizontal="left" vertical="center" wrapText="1"/>
    </xf>
    <xf numFmtId="164" fontId="27" fillId="0" borderId="10" xfId="8" applyFont="1" applyFill="1" applyBorder="1" applyAlignment="1" applyProtection="1">
      <alignment horizontal="left" vertical="center"/>
    </xf>
    <xf numFmtId="166" fontId="30" fillId="0" borderId="10" xfId="8" applyNumberFormat="1" applyFont="1" applyFill="1" applyBorder="1" applyAlignment="1" applyProtection="1">
      <alignment horizontal="left" vertical="center" wrapText="1"/>
      <protection locked="0"/>
    </xf>
    <xf numFmtId="166" fontId="29" fillId="0" borderId="0" xfId="8" applyNumberFormat="1" applyFont="1" applyFill="1" applyAlignment="1">
      <alignment horizontal="center" vertical="center"/>
    </xf>
    <xf numFmtId="166" fontId="32" fillId="0" borderId="0" xfId="8" applyNumberFormat="1" applyFont="1" applyFill="1" applyAlignment="1">
      <alignment horizontal="left" vertical="center"/>
    </xf>
    <xf numFmtId="166" fontId="32" fillId="0" borderId="10" xfId="8" applyNumberFormat="1" applyFont="1" applyFill="1" applyBorder="1" applyAlignment="1">
      <alignment horizontal="left" vertical="center"/>
    </xf>
    <xf numFmtId="166" fontId="32" fillId="0" borderId="10" xfId="8" applyNumberFormat="1" applyFont="1" applyFill="1" applyBorder="1" applyAlignment="1" applyProtection="1">
      <alignment horizontal="left" vertical="center" wrapText="1"/>
      <protection locked="0"/>
    </xf>
    <xf numFmtId="166" fontId="32" fillId="0" borderId="10" xfId="8" applyNumberFormat="1" applyFont="1" applyFill="1" applyBorder="1" applyAlignment="1">
      <alignment horizontal="left" vertical="center" wrapText="1"/>
    </xf>
    <xf numFmtId="9" fontId="32" fillId="0" borderId="10" xfId="10" applyFont="1" applyFill="1" applyBorder="1" applyAlignment="1">
      <alignment horizontal="center" vertical="center" wrapText="1"/>
    </xf>
    <xf numFmtId="164" fontId="32" fillId="0" borderId="10" xfId="8" applyFont="1" applyFill="1" applyBorder="1" applyAlignment="1">
      <alignment horizontal="left" vertical="center" wrapText="1"/>
    </xf>
    <xf numFmtId="49" fontId="41" fillId="0" borderId="0" xfId="11" applyNumberFormat="1" applyFont="1" applyAlignment="1">
      <alignment horizontal="center" vertical="center"/>
    </xf>
    <xf numFmtId="49" fontId="42" fillId="0" borderId="0" xfId="11" applyNumberFormat="1" applyFont="1" applyAlignment="1">
      <alignment horizontal="left" vertical="center"/>
    </xf>
    <xf numFmtId="166" fontId="41" fillId="0" borderId="43" xfId="8" applyNumberFormat="1" applyFont="1" applyFill="1" applyBorder="1" applyAlignment="1">
      <alignment horizontal="left" vertical="center"/>
    </xf>
    <xf numFmtId="166" fontId="43" fillId="0" borderId="43" xfId="8" applyNumberFormat="1" applyFont="1" applyFill="1" applyBorder="1" applyAlignment="1">
      <alignment horizontal="left" vertical="center" wrapText="1"/>
    </xf>
    <xf numFmtId="166" fontId="42" fillId="0" borderId="43" xfId="8" applyNumberFormat="1" applyFont="1" applyFill="1" applyBorder="1" applyAlignment="1">
      <alignment horizontal="left" vertical="center" wrapText="1"/>
    </xf>
    <xf numFmtId="166" fontId="27" fillId="0" borderId="38" xfId="8" applyNumberFormat="1" applyFont="1" applyFill="1" applyBorder="1" applyAlignment="1">
      <alignment horizontal="left" vertical="center" wrapText="1"/>
    </xf>
    <xf numFmtId="166" fontId="30" fillId="0" borderId="38" xfId="8" applyNumberFormat="1" applyFont="1" applyFill="1" applyBorder="1" applyAlignment="1">
      <alignment horizontal="left" vertical="center" wrapText="1"/>
    </xf>
    <xf numFmtId="0" fontId="27" fillId="0" borderId="0" xfId="11" applyFont="1" applyAlignment="1">
      <alignment horizontal="center" vertical="center"/>
    </xf>
    <xf numFmtId="166" fontId="32" fillId="0" borderId="25" xfId="8" applyNumberFormat="1" applyFont="1" applyFill="1" applyBorder="1" applyAlignment="1">
      <alignment horizontal="center" vertical="center" wrapText="1"/>
    </xf>
    <xf numFmtId="166" fontId="32" fillId="0" borderId="25" xfId="8" applyNumberFormat="1" applyFont="1" applyFill="1" applyBorder="1" applyAlignment="1">
      <alignment horizontal="center" wrapText="1"/>
    </xf>
    <xf numFmtId="166" fontId="32" fillId="0" borderId="24" xfId="8" applyNumberFormat="1" applyFont="1" applyFill="1" applyBorder="1" applyAlignment="1">
      <alignment horizontal="center" vertical="center" wrapText="1"/>
    </xf>
    <xf numFmtId="166" fontId="29" fillId="0" borderId="9" xfId="8" applyNumberFormat="1" applyFont="1" applyFill="1" applyBorder="1" applyAlignment="1">
      <alignment horizontal="left" vertical="center"/>
    </xf>
    <xf numFmtId="166" fontId="32" fillId="0" borderId="0" xfId="8" applyNumberFormat="1" applyFont="1" applyFill="1" applyBorder="1" applyAlignment="1">
      <alignment horizontal="left" vertical="center"/>
    </xf>
    <xf numFmtId="166" fontId="30" fillId="0" borderId="0" xfId="8" applyNumberFormat="1" applyFont="1" applyFill="1" applyBorder="1" applyAlignment="1">
      <alignment horizontal="left" vertical="center"/>
    </xf>
    <xf numFmtId="166" fontId="32" fillId="0" borderId="13" xfId="8" applyNumberFormat="1" applyFont="1" applyFill="1" applyBorder="1" applyAlignment="1">
      <alignment horizontal="left" vertical="center" indent="5"/>
    </xf>
    <xf numFmtId="166" fontId="32" fillId="0" borderId="14" xfId="8" applyNumberFormat="1" applyFont="1" applyFill="1" applyBorder="1" applyAlignment="1">
      <alignment horizontal="left" vertical="center"/>
    </xf>
    <xf numFmtId="166" fontId="32" fillId="0" borderId="0" xfId="8" applyNumberFormat="1" applyFont="1" applyFill="1" applyBorder="1" applyAlignment="1">
      <alignment horizontal="left" vertical="center" indent="1"/>
    </xf>
    <xf numFmtId="166" fontId="32" fillId="0" borderId="8" xfId="8" applyNumberFormat="1" applyFont="1" applyFill="1" applyBorder="1" applyAlignment="1">
      <alignment horizontal="left" vertical="center" indent="5"/>
    </xf>
    <xf numFmtId="166" fontId="32" fillId="0" borderId="0" xfId="8" applyNumberFormat="1" applyFont="1" applyFill="1" applyBorder="1" applyAlignment="1">
      <alignment horizontal="left" indent="3"/>
    </xf>
    <xf numFmtId="166" fontId="32" fillId="0" borderId="13" xfId="8" applyNumberFormat="1" applyFont="1" applyFill="1" applyBorder="1" applyAlignment="1">
      <alignment horizontal="left" indent="1"/>
    </xf>
    <xf numFmtId="166" fontId="30" fillId="0" borderId="0" xfId="8" applyNumberFormat="1" applyFont="1" applyFill="1" applyAlignment="1">
      <alignment horizontal="left" vertical="center"/>
    </xf>
    <xf numFmtId="166" fontId="29" fillId="0" borderId="3" xfId="8" applyNumberFormat="1" applyFont="1" applyFill="1" applyBorder="1" applyAlignment="1">
      <alignment horizontal="left" vertical="center"/>
    </xf>
    <xf numFmtId="166" fontId="32" fillId="0" borderId="37" xfId="8" applyNumberFormat="1" applyFont="1" applyFill="1" applyBorder="1" applyAlignment="1">
      <alignment horizontal="left" vertical="center"/>
    </xf>
    <xf numFmtId="166" fontId="32" fillId="0" borderId="36" xfId="8" applyNumberFormat="1" applyFont="1" applyFill="1" applyBorder="1" applyAlignment="1">
      <alignment horizontal="left" indent="1"/>
    </xf>
    <xf numFmtId="166" fontId="30" fillId="0" borderId="21" xfId="8" applyNumberFormat="1" applyFont="1" applyFill="1" applyBorder="1" applyAlignment="1">
      <alignment horizontal="left" vertical="center"/>
    </xf>
    <xf numFmtId="166" fontId="32" fillId="0" borderId="37" xfId="8" applyNumberFormat="1" applyFont="1" applyFill="1" applyBorder="1" applyAlignment="1">
      <alignment horizontal="left" vertical="center" indent="1"/>
    </xf>
    <xf numFmtId="166" fontId="32" fillId="0" borderId="2" xfId="8" applyNumberFormat="1" applyFont="1" applyFill="1" applyBorder="1" applyAlignment="1">
      <alignment horizontal="left" vertical="center" indent="2"/>
    </xf>
    <xf numFmtId="166" fontId="30" fillId="11" borderId="10" xfId="8" applyNumberFormat="1" applyFont="1" applyFill="1" applyBorder="1" applyAlignment="1">
      <alignment horizontal="left" vertical="center" wrapText="1"/>
    </xf>
    <xf numFmtId="166" fontId="30" fillId="11" borderId="10" xfId="8" applyNumberFormat="1" applyFont="1" applyFill="1" applyBorder="1" applyAlignment="1" applyProtection="1">
      <alignment horizontal="left" vertical="center" wrapText="1"/>
      <protection locked="0"/>
    </xf>
    <xf numFmtId="166" fontId="30" fillId="11" borderId="10" xfId="8" applyNumberFormat="1" applyFont="1" applyFill="1" applyBorder="1" applyAlignment="1">
      <alignment horizontal="left" vertical="center"/>
    </xf>
    <xf numFmtId="164" fontId="27" fillId="11" borderId="10" xfId="8" applyFont="1" applyFill="1" applyBorder="1" applyAlignment="1" applyProtection="1">
      <alignment horizontal="left" vertical="center"/>
    </xf>
    <xf numFmtId="164" fontId="30" fillId="11" borderId="10" xfId="8" applyFont="1" applyFill="1" applyBorder="1" applyAlignment="1">
      <alignment horizontal="left" vertical="center" wrapText="1"/>
    </xf>
    <xf numFmtId="9" fontId="30" fillId="11" borderId="10" xfId="10" applyFont="1" applyFill="1" applyBorder="1" applyAlignment="1">
      <alignment horizontal="center" vertical="center" wrapText="1"/>
    </xf>
    <xf numFmtId="49" fontId="27" fillId="11" borderId="0" xfId="11" applyNumberFormat="1" applyFont="1" applyFill="1" applyAlignment="1">
      <alignment horizontal="center" vertical="center"/>
    </xf>
    <xf numFmtId="49" fontId="30" fillId="11" borderId="0" xfId="11" applyNumberFormat="1" applyFont="1" applyFill="1" applyAlignment="1">
      <alignment horizontal="left" vertical="center"/>
    </xf>
    <xf numFmtId="49" fontId="10" fillId="0" borderId="0" xfId="11" applyNumberFormat="1" applyFont="1" applyAlignment="1">
      <alignment horizontal="left" vertical="center" wrapText="1"/>
    </xf>
    <xf numFmtId="49" fontId="18" fillId="0" borderId="0" xfId="11" applyNumberFormat="1" applyFont="1" applyAlignment="1">
      <alignment horizontal="left" vertical="center" wrapText="1"/>
    </xf>
    <xf numFmtId="3" fontId="32" fillId="0" borderId="0" xfId="8" applyNumberFormat="1" applyFont="1" applyBorder="1" applyAlignment="1" applyProtection="1">
      <alignment horizontal="right" vertical="center" wrapText="1"/>
      <protection locked="0"/>
    </xf>
    <xf numFmtId="0" fontId="30" fillId="0" borderId="0" xfId="11" applyFont="1" applyAlignment="1">
      <alignment horizontal="right" vertical="center" wrapText="1"/>
    </xf>
    <xf numFmtId="3" fontId="32" fillId="0" borderId="0" xfId="8" applyNumberFormat="1" applyFont="1" applyBorder="1" applyAlignment="1" applyProtection="1">
      <alignment horizontal="center" vertical="center" wrapText="1"/>
      <protection locked="0"/>
    </xf>
    <xf numFmtId="2" fontId="18" fillId="0" borderId="0" xfId="8" applyNumberFormat="1" applyFont="1" applyBorder="1" applyAlignment="1">
      <alignment horizontal="center" vertical="center" wrapText="1"/>
    </xf>
    <xf numFmtId="166" fontId="32" fillId="0" borderId="0" xfId="8" applyNumberFormat="1" applyFont="1" applyBorder="1" applyAlignment="1" applyProtection="1">
      <alignment horizontal="center" vertical="center" wrapText="1"/>
      <protection locked="0"/>
    </xf>
    <xf numFmtId="49" fontId="10" fillId="0" borderId="10" xfId="11" applyNumberFormat="1" applyFont="1" applyBorder="1" applyAlignment="1">
      <alignment vertical="center" wrapText="1"/>
    </xf>
    <xf numFmtId="49" fontId="18" fillId="0" borderId="10" xfId="11" applyNumberFormat="1" applyFont="1" applyBorder="1" applyAlignment="1">
      <alignment horizontal="left" vertical="center" wrapText="1"/>
    </xf>
    <xf numFmtId="164" fontId="12" fillId="0" borderId="10" xfId="8" applyFont="1" applyFill="1" applyBorder="1" applyAlignment="1" applyProtection="1">
      <alignment vertical="center"/>
    </xf>
    <xf numFmtId="49" fontId="18" fillId="9" borderId="10" xfId="11" applyNumberFormat="1" applyFont="1" applyFill="1" applyBorder="1" applyAlignment="1">
      <alignment horizontal="left" vertical="center" wrapText="1"/>
    </xf>
    <xf numFmtId="49" fontId="30" fillId="0" borderId="10" xfId="11" applyNumberFormat="1" applyFont="1" applyBorder="1" applyAlignment="1">
      <alignment vertical="center" wrapText="1"/>
    </xf>
    <xf numFmtId="49" fontId="47" fillId="9" borderId="10" xfId="11" applyNumberFormat="1" applyFont="1" applyFill="1" applyBorder="1" applyAlignment="1">
      <alignment horizontal="left" vertical="center" wrapText="1"/>
    </xf>
    <xf numFmtId="49" fontId="24" fillId="0" borderId="0" xfId="11" applyNumberFormat="1" applyFont="1" applyAlignment="1">
      <alignment horizontal="center" vertical="center"/>
    </xf>
    <xf numFmtId="49" fontId="48" fillId="0" borderId="0" xfId="11" applyNumberFormat="1" applyFont="1" applyAlignment="1">
      <alignment horizontal="left" vertical="center"/>
    </xf>
    <xf numFmtId="49" fontId="49" fillId="10" borderId="43" xfId="11" applyNumberFormat="1" applyFont="1" applyFill="1" applyBorder="1" applyAlignment="1">
      <alignment vertical="center"/>
    </xf>
    <xf numFmtId="166" fontId="43" fillId="10" borderId="43" xfId="8" applyNumberFormat="1" applyFont="1" applyFill="1" applyBorder="1" applyAlignment="1">
      <alignment horizontal="right" vertical="center" wrapText="1"/>
    </xf>
    <xf numFmtId="49" fontId="50" fillId="10" borderId="43" xfId="11" applyNumberFormat="1" applyFont="1" applyFill="1" applyBorder="1" applyAlignment="1">
      <alignment horizontal="left" vertical="center" wrapText="1"/>
    </xf>
    <xf numFmtId="49" fontId="25" fillId="10" borderId="43" xfId="11" applyNumberFormat="1" applyFont="1" applyFill="1" applyBorder="1" applyAlignment="1">
      <alignment horizontal="left" vertical="center" wrapText="1"/>
    </xf>
    <xf numFmtId="0" fontId="19" fillId="0" borderId="0" xfId="11" applyFont="1" applyAlignment="1">
      <alignment horizontal="left" vertical="center" indent="1"/>
    </xf>
    <xf numFmtId="0" fontId="19" fillId="0" borderId="37" xfId="11" applyFont="1" applyBorder="1" applyAlignment="1">
      <alignment horizontal="left" vertical="center" indent="1"/>
    </xf>
    <xf numFmtId="49" fontId="10" fillId="11" borderId="10" xfId="11" applyNumberFormat="1" applyFont="1" applyFill="1" applyBorder="1" applyAlignment="1">
      <alignment vertical="center" wrapText="1"/>
    </xf>
    <xf numFmtId="49" fontId="18" fillId="11" borderId="10" xfId="11" applyNumberFormat="1" applyFont="1" applyFill="1" applyBorder="1" applyAlignment="1">
      <alignment horizontal="left" vertical="center" wrapText="1"/>
    </xf>
    <xf numFmtId="164" fontId="12" fillId="11" borderId="10" xfId="8" applyFont="1" applyFill="1" applyBorder="1" applyAlignment="1" applyProtection="1">
      <alignment vertical="center"/>
    </xf>
    <xf numFmtId="49" fontId="10" fillId="11" borderId="10" xfId="11" applyNumberFormat="1" applyFont="1" applyFill="1" applyBorder="1" applyAlignment="1">
      <alignment vertical="center"/>
    </xf>
    <xf numFmtId="3" fontId="12" fillId="0" borderId="0" xfId="11" applyNumberFormat="1" applyFont="1" applyAlignment="1">
      <alignment horizontal="left" vertical="center" indent="1"/>
    </xf>
    <xf numFmtId="49" fontId="10" fillId="0" borderId="0" xfId="11" applyNumberFormat="1" applyFont="1" applyAlignment="1">
      <alignment horizontal="center" vertical="center"/>
    </xf>
    <xf numFmtId="49" fontId="10" fillId="0" borderId="1" xfId="11" applyNumberFormat="1" applyFont="1" applyBorder="1" applyAlignment="1">
      <alignment horizontal="center" vertical="center"/>
    </xf>
    <xf numFmtId="164" fontId="10" fillId="0" borderId="1" xfId="8" applyFont="1" applyFill="1" applyBorder="1" applyAlignment="1">
      <alignment vertical="center"/>
    </xf>
    <xf numFmtId="164" fontId="10" fillId="0" borderId="1" xfId="8" applyFont="1" applyFill="1" applyBorder="1" applyAlignment="1" applyProtection="1">
      <alignment horizontal="right" vertical="center" wrapText="1"/>
      <protection locked="0"/>
    </xf>
    <xf numFmtId="164" fontId="10" fillId="0" borderId="1" xfId="8" applyFont="1" applyFill="1" applyBorder="1" applyAlignment="1">
      <alignment vertical="center" wrapText="1"/>
    </xf>
    <xf numFmtId="9" fontId="10" fillId="3" borderId="1" xfId="10" applyFont="1" applyFill="1" applyBorder="1" applyAlignment="1">
      <alignment vertical="center" wrapText="1"/>
    </xf>
    <xf numFmtId="164" fontId="10" fillId="0" borderId="1" xfId="8" applyFont="1" applyFill="1" applyBorder="1" applyAlignment="1">
      <alignment horizontal="right" vertical="center"/>
    </xf>
    <xf numFmtId="9" fontId="10" fillId="0" borderId="1" xfId="11" applyNumberFormat="1" applyFont="1" applyBorder="1" applyAlignment="1">
      <alignment vertical="center" wrapText="1"/>
    </xf>
    <xf numFmtId="2" fontId="10" fillId="0" borderId="1" xfId="11" applyNumberFormat="1" applyFont="1" applyBorder="1" applyAlignment="1">
      <alignment vertical="center" wrapText="1"/>
    </xf>
    <xf numFmtId="164" fontId="10" fillId="0" borderId="1" xfId="8" applyFont="1" applyFill="1" applyBorder="1" applyAlignment="1" applyProtection="1">
      <alignment vertical="center"/>
    </xf>
    <xf numFmtId="49" fontId="30" fillId="0" borderId="0" xfId="11" applyNumberFormat="1" applyFont="1" applyAlignment="1">
      <alignment horizontal="center" vertical="center"/>
    </xf>
    <xf numFmtId="0" fontId="30" fillId="0" borderId="0" xfId="11" applyFont="1" applyAlignment="1">
      <alignment horizontal="center" vertical="center"/>
    </xf>
    <xf numFmtId="49" fontId="10" fillId="0" borderId="1" xfId="11" applyNumberFormat="1" applyFont="1" applyBorder="1" applyAlignment="1">
      <alignment vertical="center" wrapText="1"/>
    </xf>
    <xf numFmtId="164" fontId="10" fillId="0" borderId="1" xfId="11" applyNumberFormat="1" applyFont="1" applyBorder="1" applyAlignment="1">
      <alignment horizontal="center" vertical="center" wrapText="1"/>
    </xf>
    <xf numFmtId="166" fontId="10" fillId="0" borderId="1" xfId="8" applyNumberFormat="1" applyFont="1" applyFill="1" applyBorder="1" applyAlignment="1">
      <alignment horizontal="center" vertical="center" wrapText="1"/>
    </xf>
    <xf numFmtId="3" fontId="10" fillId="0" borderId="1" xfId="11" applyNumberFormat="1" applyFont="1" applyBorder="1" applyAlignment="1" applyProtection="1">
      <alignment vertical="center" wrapText="1"/>
      <protection locked="0"/>
    </xf>
    <xf numFmtId="49" fontId="30" fillId="0" borderId="1" xfId="11" applyNumberFormat="1" applyFont="1" applyBorder="1" applyAlignment="1">
      <alignment vertical="center" wrapText="1"/>
    </xf>
    <xf numFmtId="0" fontId="10" fillId="0" borderId="0" xfId="11" applyFont="1" applyAlignment="1">
      <alignment horizontal="center" vertical="center"/>
    </xf>
    <xf numFmtId="39" fontId="10" fillId="0" borderId="1" xfId="0" applyNumberFormat="1" applyFont="1" applyBorder="1" applyAlignment="1">
      <alignment horizontal="right" vertical="center"/>
    </xf>
    <xf numFmtId="0" fontId="18" fillId="0" borderId="0" xfId="11" applyFont="1" applyAlignment="1">
      <alignment horizontal="center" vertical="center"/>
    </xf>
    <xf numFmtId="166" fontId="10" fillId="0" borderId="1" xfId="11" applyNumberFormat="1" applyFont="1" applyBorder="1" applyAlignment="1">
      <alignment horizontal="center" vertical="center" wrapText="1"/>
    </xf>
    <xf numFmtId="49" fontId="51" fillId="3" borderId="0" xfId="11" applyNumberFormat="1" applyFont="1" applyFill="1" applyAlignment="1">
      <alignment horizontal="center" vertical="center"/>
    </xf>
    <xf numFmtId="49" fontId="51" fillId="12" borderId="1" xfId="11" applyNumberFormat="1" applyFont="1" applyFill="1" applyBorder="1" applyAlignment="1">
      <alignment horizontal="center" vertical="center"/>
    </xf>
    <xf numFmtId="164" fontId="51" fillId="12" borderId="1" xfId="8" applyFont="1" applyFill="1" applyBorder="1" applyAlignment="1">
      <alignment vertical="center"/>
    </xf>
    <xf numFmtId="164" fontId="51" fillId="12" borderId="1" xfId="8" applyFont="1" applyFill="1" applyBorder="1" applyAlignment="1">
      <alignment horizontal="center" vertical="center" wrapText="1"/>
    </xf>
    <xf numFmtId="9" fontId="51" fillId="12" borderId="1" xfId="8" applyNumberFormat="1" applyFont="1" applyFill="1" applyBorder="1" applyAlignment="1">
      <alignment vertical="center" wrapText="1"/>
    </xf>
    <xf numFmtId="164" fontId="51" fillId="12" borderId="1" xfId="8" applyFont="1" applyFill="1" applyBorder="1" applyAlignment="1">
      <alignment vertical="center" wrapText="1"/>
    </xf>
    <xf numFmtId="49" fontId="51" fillId="12" borderId="1" xfId="11" applyNumberFormat="1" applyFont="1" applyFill="1" applyBorder="1" applyAlignment="1">
      <alignment horizontal="left" vertical="center" wrapText="1"/>
    </xf>
    <xf numFmtId="164" fontId="10" fillId="0" borderId="1" xfId="0" applyNumberFormat="1" applyFont="1" applyBorder="1" applyAlignment="1">
      <alignment horizontal="right" vertical="center"/>
    </xf>
    <xf numFmtId="3" fontId="10" fillId="0" borderId="1" xfId="11" applyNumberFormat="1" applyFont="1" applyBorder="1" applyAlignment="1">
      <alignment horizontal="center" vertical="center" wrapText="1"/>
    </xf>
    <xf numFmtId="4" fontId="10" fillId="0" borderId="1" xfId="8" applyNumberFormat="1" applyFont="1" applyFill="1" applyBorder="1" applyAlignment="1">
      <alignment horizontal="right" vertical="center"/>
    </xf>
    <xf numFmtId="166" fontId="10" fillId="0" borderId="1" xfId="8" applyNumberFormat="1" applyFont="1" applyFill="1" applyBorder="1" applyAlignment="1">
      <alignment horizontal="center" vertical="center"/>
    </xf>
    <xf numFmtId="166" fontId="10" fillId="0" borderId="1" xfId="11" applyNumberFormat="1" applyFont="1" applyBorder="1" applyAlignment="1">
      <alignment horizontal="left" vertical="center" wrapText="1"/>
    </xf>
    <xf numFmtId="49" fontId="30" fillId="0" borderId="1" xfId="11" applyNumberFormat="1" applyFont="1" applyBorder="1" applyAlignment="1">
      <alignment horizontal="left" vertical="center" wrapText="1"/>
    </xf>
    <xf numFmtId="166" fontId="10" fillId="0" borderId="1" xfId="8" applyNumberFormat="1" applyFont="1" applyFill="1" applyBorder="1" applyAlignment="1">
      <alignment horizontal="left" vertical="center" wrapText="1"/>
    </xf>
    <xf numFmtId="2" fontId="10" fillId="0" borderId="1" xfId="11" applyNumberFormat="1" applyFont="1" applyBorder="1" applyAlignment="1">
      <alignment horizontal="center" vertical="center" wrapText="1"/>
    </xf>
    <xf numFmtId="49" fontId="12" fillId="0" borderId="0" xfId="11" applyNumberFormat="1" applyFont="1" applyAlignment="1">
      <alignment horizontal="left" vertical="center"/>
    </xf>
    <xf numFmtId="164" fontId="12" fillId="0" borderId="1" xfId="8" applyFont="1" applyFill="1" applyBorder="1" applyAlignment="1">
      <alignment vertical="center"/>
    </xf>
    <xf numFmtId="164" fontId="12" fillId="0" borderId="1" xfId="8" applyFont="1" applyFill="1" applyBorder="1" applyAlignment="1" applyProtection="1">
      <alignment vertical="center"/>
    </xf>
    <xf numFmtId="49" fontId="12" fillId="0" borderId="1" xfId="11" applyNumberFormat="1" applyFont="1" applyBorder="1" applyAlignment="1">
      <alignment horizontal="center" vertical="center"/>
    </xf>
    <xf numFmtId="166" fontId="10" fillId="0" borderId="1" xfId="8" applyNumberFormat="1" applyFont="1" applyFill="1" applyBorder="1" applyAlignment="1">
      <alignment vertical="center" wrapText="1"/>
    </xf>
    <xf numFmtId="49" fontId="36" fillId="0" borderId="0" xfId="11" applyNumberFormat="1" applyFont="1" applyAlignment="1">
      <alignment horizontal="center" vertical="center"/>
    </xf>
    <xf numFmtId="49" fontId="36" fillId="0" borderId="0" xfId="11" applyNumberFormat="1" applyFont="1" applyAlignment="1">
      <alignment horizontal="left" vertical="center"/>
    </xf>
    <xf numFmtId="0" fontId="36" fillId="0" borderId="0" xfId="11" applyFont="1" applyAlignment="1">
      <alignment horizontal="center" vertical="center"/>
    </xf>
    <xf numFmtId="43" fontId="52" fillId="0" borderId="0" xfId="11" applyNumberFormat="1" applyFont="1" applyAlignment="1">
      <alignment horizontal="center" vertical="center"/>
    </xf>
    <xf numFmtId="166" fontId="51" fillId="12" borderId="1" xfId="8" applyNumberFormat="1" applyFont="1" applyFill="1" applyBorder="1" applyAlignment="1">
      <alignment vertical="center" wrapText="1"/>
    </xf>
    <xf numFmtId="49" fontId="10" fillId="3" borderId="0" xfId="11" applyNumberFormat="1" applyFont="1" applyFill="1" applyAlignment="1">
      <alignment horizontal="center" vertical="center"/>
    </xf>
    <xf numFmtId="49" fontId="10" fillId="3" borderId="1" xfId="11" applyNumberFormat="1" applyFont="1" applyFill="1" applyBorder="1" applyAlignment="1">
      <alignment horizontal="center" vertical="center"/>
    </xf>
    <xf numFmtId="164" fontId="10" fillId="3" borderId="1" xfId="8" applyFont="1" applyFill="1" applyBorder="1" applyAlignment="1" applyProtection="1">
      <alignment horizontal="right" vertical="center" wrapText="1"/>
      <protection locked="0"/>
    </xf>
    <xf numFmtId="164" fontId="10" fillId="0" borderId="1" xfId="8" applyFont="1" applyBorder="1" applyAlignment="1">
      <alignment vertical="center"/>
    </xf>
    <xf numFmtId="164" fontId="10" fillId="3" borderId="1" xfId="8" applyFont="1" applyFill="1" applyBorder="1" applyAlignment="1">
      <alignment vertical="center" wrapText="1"/>
    </xf>
    <xf numFmtId="0" fontId="10" fillId="0" borderId="1" xfId="11" applyFont="1" applyBorder="1" applyAlignment="1">
      <alignment horizontal="right" vertical="center" wrapText="1"/>
    </xf>
    <xf numFmtId="3" fontId="10" fillId="0" borderId="1" xfId="8" applyNumberFormat="1" applyFont="1" applyFill="1" applyBorder="1" applyAlignment="1" applyProtection="1">
      <alignment horizontal="right" vertical="center" wrapText="1"/>
      <protection locked="0"/>
    </xf>
    <xf numFmtId="164" fontId="30" fillId="0" borderId="1" xfId="8" applyFont="1" applyFill="1" applyBorder="1" applyAlignment="1">
      <alignment horizontal="right" vertical="center"/>
    </xf>
    <xf numFmtId="164" fontId="19" fillId="0" borderId="1" xfId="8" applyFont="1" applyFill="1" applyBorder="1" applyAlignment="1">
      <alignment vertical="center" wrapText="1"/>
    </xf>
    <xf numFmtId="49" fontId="10" fillId="0" borderId="1" xfId="11" applyNumberFormat="1" applyFont="1" applyBorder="1" applyAlignment="1">
      <alignment vertical="center"/>
    </xf>
    <xf numFmtId="2" fontId="10" fillId="0" borderId="1" xfId="8" applyNumberFormat="1" applyFont="1" applyFill="1" applyBorder="1" applyAlignment="1">
      <alignment vertical="center" wrapText="1"/>
    </xf>
    <xf numFmtId="166" fontId="19" fillId="0" borderId="1" xfId="8" applyNumberFormat="1" applyFont="1" applyFill="1" applyBorder="1" applyAlignment="1" applyProtection="1">
      <alignment horizontal="right" vertical="center" wrapText="1"/>
      <protection locked="0"/>
    </xf>
    <xf numFmtId="166" fontId="10" fillId="0" borderId="1" xfId="8" applyNumberFormat="1" applyFont="1" applyFill="1" applyBorder="1" applyAlignment="1" applyProtection="1">
      <alignment horizontal="right" vertical="center" wrapText="1"/>
      <protection locked="0"/>
    </xf>
    <xf numFmtId="166" fontId="10" fillId="0" borderId="1" xfId="8" applyNumberFormat="1" applyFont="1" applyFill="1" applyBorder="1" applyAlignment="1" applyProtection="1">
      <alignment horizontal="center" vertical="center" wrapText="1"/>
      <protection locked="0"/>
    </xf>
    <xf numFmtId="3" fontId="19" fillId="0" borderId="1" xfId="8" applyNumberFormat="1" applyFont="1" applyFill="1" applyBorder="1" applyAlignment="1" applyProtection="1">
      <alignment horizontal="right" vertical="center" wrapText="1"/>
      <protection locked="0"/>
    </xf>
    <xf numFmtId="3" fontId="10" fillId="0" borderId="1" xfId="8" applyNumberFormat="1" applyFont="1" applyFill="1" applyBorder="1" applyAlignment="1" applyProtection="1">
      <alignment vertical="center" wrapText="1"/>
      <protection locked="0"/>
    </xf>
    <xf numFmtId="164" fontId="19" fillId="0" borderId="1" xfId="8" applyFont="1" applyFill="1" applyBorder="1" applyAlignment="1" applyProtection="1">
      <alignment horizontal="right" vertical="center" wrapText="1"/>
      <protection locked="0"/>
    </xf>
    <xf numFmtId="43" fontId="10" fillId="0" borderId="0" xfId="11" applyNumberFormat="1" applyFont="1" applyAlignment="1">
      <alignment horizontal="center" vertical="center"/>
    </xf>
    <xf numFmtId="2" fontId="10" fillId="0" borderId="1" xfId="11" applyNumberFormat="1" applyFont="1" applyBorder="1" applyAlignment="1">
      <alignment horizontal="right" vertical="center" wrapText="1"/>
    </xf>
    <xf numFmtId="2" fontId="10" fillId="0" borderId="1" xfId="8" applyNumberFormat="1" applyFont="1" applyFill="1" applyBorder="1" applyAlignment="1">
      <alignment horizontal="center" vertical="center" wrapText="1"/>
    </xf>
    <xf numFmtId="166" fontId="10" fillId="0" borderId="1" xfId="8" applyNumberFormat="1" applyFont="1" applyFill="1" applyBorder="1" applyAlignment="1">
      <alignment horizontal="right" vertical="center" wrapText="1"/>
    </xf>
    <xf numFmtId="9" fontId="10" fillId="0" borderId="1" xfId="10" applyFont="1" applyFill="1" applyBorder="1" applyAlignment="1">
      <alignment vertical="center" wrapText="1"/>
    </xf>
    <xf numFmtId="166" fontId="10" fillId="0" borderId="1" xfId="11" applyNumberFormat="1" applyFont="1" applyBorder="1" applyAlignment="1" applyProtection="1">
      <alignment vertical="center" wrapText="1"/>
      <protection locked="0"/>
    </xf>
    <xf numFmtId="164" fontId="30" fillId="0" borderId="0" xfId="8" applyFont="1" applyFill="1" applyAlignment="1">
      <alignment horizontal="center" vertical="center"/>
    </xf>
    <xf numFmtId="3" fontId="10" fillId="0" borderId="1" xfId="8" applyNumberFormat="1" applyFont="1" applyFill="1" applyBorder="1" applyAlignment="1">
      <alignment horizontal="right" vertical="center"/>
    </xf>
    <xf numFmtId="164" fontId="10" fillId="3" borderId="1" xfId="1" applyFont="1" applyFill="1" applyBorder="1" applyAlignment="1">
      <alignment horizontal="right" vertical="center" wrapText="1"/>
    </xf>
    <xf numFmtId="164" fontId="30" fillId="0" borderId="1" xfId="8" applyFont="1" applyFill="1" applyBorder="1" applyAlignment="1">
      <alignment vertical="center" wrapText="1"/>
    </xf>
    <xf numFmtId="49" fontId="16" fillId="10" borderId="1" xfId="11" applyNumberFormat="1" applyFont="1" applyFill="1" applyBorder="1" applyAlignment="1">
      <alignment horizontal="center" vertical="center"/>
    </xf>
    <xf numFmtId="164" fontId="16" fillId="10" borderId="1" xfId="8" applyFont="1" applyFill="1" applyBorder="1" applyAlignment="1">
      <alignment vertical="center"/>
    </xf>
    <xf numFmtId="164" fontId="16" fillId="10" borderId="1" xfId="8" applyFont="1" applyFill="1" applyBorder="1" applyAlignment="1">
      <alignment horizontal="center" vertical="center" wrapText="1"/>
    </xf>
    <xf numFmtId="9" fontId="16" fillId="10" borderId="1" xfId="8" applyNumberFormat="1" applyFont="1" applyFill="1" applyBorder="1" applyAlignment="1">
      <alignment vertical="center" wrapText="1"/>
    </xf>
    <xf numFmtId="164" fontId="16" fillId="10" borderId="1" xfId="8" applyFont="1" applyFill="1" applyBorder="1" applyAlignment="1">
      <alignment vertical="center" wrapText="1"/>
    </xf>
    <xf numFmtId="166" fontId="16" fillId="10" borderId="1" xfId="8" applyNumberFormat="1" applyFont="1" applyFill="1" applyBorder="1" applyAlignment="1">
      <alignment vertical="center" wrapText="1"/>
    </xf>
    <xf numFmtId="49" fontId="16" fillId="10" borderId="1" xfId="11" applyNumberFormat="1" applyFont="1" applyFill="1" applyBorder="1" applyAlignment="1">
      <alignment horizontal="left" vertical="center" wrapText="1"/>
    </xf>
    <xf numFmtId="49" fontId="12" fillId="0" borderId="33" xfId="11" applyNumberFormat="1" applyFont="1" applyBorder="1" applyAlignment="1">
      <alignment horizontal="center" vertical="center" wrapText="1"/>
    </xf>
    <xf numFmtId="164" fontId="10" fillId="0" borderId="35" xfId="8" applyFont="1" applyBorder="1" applyAlignment="1">
      <alignment horizontal="center" vertical="center" wrapText="1"/>
    </xf>
    <xf numFmtId="164" fontId="10" fillId="0" borderId="38" xfId="8" applyFont="1" applyBorder="1" applyAlignment="1">
      <alignment horizontal="center" vertical="center" wrapText="1"/>
    </xf>
    <xf numFmtId="3" fontId="10" fillId="0" borderId="38" xfId="11" applyNumberFormat="1" applyFont="1" applyBorder="1" applyAlignment="1">
      <alignment vertical="center" wrapText="1"/>
    </xf>
    <xf numFmtId="49" fontId="10" fillId="0" borderId="45" xfId="11" applyNumberFormat="1" applyFont="1" applyBorder="1" applyAlignment="1">
      <alignment horizontal="center" vertical="center" wrapText="1"/>
    </xf>
    <xf numFmtId="49" fontId="10" fillId="0" borderId="39" xfId="11" applyNumberFormat="1" applyFont="1" applyBorder="1" applyAlignment="1">
      <alignment horizontal="center" vertical="center" wrapText="1"/>
    </xf>
    <xf numFmtId="166" fontId="19" fillId="0" borderId="25" xfId="1" applyNumberFormat="1" applyFont="1" applyBorder="1" applyAlignment="1">
      <alignment horizontal="center" wrapText="1"/>
    </xf>
    <xf numFmtId="0" fontId="19" fillId="0" borderId="40" xfId="11" applyFont="1" applyBorder="1" applyAlignment="1">
      <alignment vertical="center"/>
    </xf>
    <xf numFmtId="164" fontId="19" fillId="0" borderId="41" xfId="8" applyFont="1" applyBorder="1" applyAlignment="1">
      <alignment vertical="center"/>
    </xf>
    <xf numFmtId="3" fontId="19" fillId="0" borderId="40" xfId="11" applyNumberFormat="1" applyFont="1" applyBorder="1" applyAlignment="1">
      <alignment horizontal="center" vertical="center"/>
    </xf>
    <xf numFmtId="3" fontId="19" fillId="0" borderId="40" xfId="11" applyNumberFormat="1" applyFont="1" applyBorder="1" applyAlignment="1">
      <alignment vertical="center"/>
    </xf>
    <xf numFmtId="164" fontId="19" fillId="0" borderId="13" xfId="8" applyFont="1" applyBorder="1" applyAlignment="1">
      <alignment vertical="center"/>
    </xf>
    <xf numFmtId="3" fontId="19" fillId="0" borderId="0" xfId="11" applyNumberFormat="1" applyFont="1" applyAlignment="1">
      <alignment vertical="center"/>
    </xf>
    <xf numFmtId="0" fontId="21" fillId="0" borderId="0" xfId="11" applyFont="1" applyAlignment="1">
      <alignment horizontal="left" indent="3"/>
    </xf>
    <xf numFmtId="0" fontId="19" fillId="0" borderId="0" xfId="11" applyFont="1" applyAlignment="1">
      <alignment horizontal="left" indent="3"/>
    </xf>
    <xf numFmtId="164" fontId="19" fillId="0" borderId="13" xfId="8" applyFont="1" applyBorder="1" applyAlignment="1"/>
    <xf numFmtId="164" fontId="19" fillId="0" borderId="36" xfId="8" applyFont="1" applyBorder="1" applyAlignment="1"/>
    <xf numFmtId="3" fontId="19" fillId="0" borderId="37" xfId="11" applyNumberFormat="1" applyFont="1" applyBorder="1" applyAlignment="1">
      <alignment vertical="center"/>
    </xf>
    <xf numFmtId="49" fontId="30" fillId="11" borderId="1" xfId="11" applyNumberFormat="1" applyFont="1" applyFill="1" applyBorder="1" applyAlignment="1">
      <alignment vertical="center" wrapText="1"/>
    </xf>
    <xf numFmtId="166" fontId="10" fillId="11" borderId="1" xfId="11" applyNumberFormat="1" applyFont="1" applyFill="1" applyBorder="1" applyAlignment="1" applyProtection="1">
      <alignment vertical="center" wrapText="1"/>
      <protection locked="0"/>
    </xf>
    <xf numFmtId="49" fontId="10" fillId="11" borderId="1" xfId="11" applyNumberFormat="1" applyFont="1" applyFill="1" applyBorder="1" applyAlignment="1">
      <alignment horizontal="center" vertical="center" wrapText="1"/>
    </xf>
    <xf numFmtId="164" fontId="10" fillId="11" borderId="1" xfId="8" applyFont="1" applyFill="1" applyBorder="1" applyAlignment="1">
      <alignment vertical="center" wrapText="1"/>
    </xf>
    <xf numFmtId="164" fontId="10" fillId="11" borderId="1" xfId="8" applyFont="1" applyFill="1" applyBorder="1" applyAlignment="1">
      <alignment vertical="center"/>
    </xf>
    <xf numFmtId="9" fontId="10" fillId="11" borderId="1" xfId="11" applyNumberFormat="1" applyFont="1" applyFill="1" applyBorder="1" applyAlignment="1">
      <alignment vertical="center" wrapText="1"/>
    </xf>
    <xf numFmtId="164" fontId="10" fillId="11" borderId="1" xfId="8" applyFont="1" applyFill="1" applyBorder="1" applyAlignment="1">
      <alignment horizontal="right" vertical="center"/>
    </xf>
    <xf numFmtId="49" fontId="10" fillId="11" borderId="1" xfId="11" applyNumberFormat="1" applyFont="1" applyFill="1" applyBorder="1" applyAlignment="1">
      <alignment vertical="center" wrapText="1"/>
    </xf>
    <xf numFmtId="0" fontId="30" fillId="11" borderId="0" xfId="11" applyFont="1" applyFill="1" applyAlignment="1">
      <alignment horizontal="center" vertical="center"/>
    </xf>
    <xf numFmtId="49" fontId="30" fillId="11" borderId="0" xfId="11" applyNumberFormat="1" applyFont="1" applyFill="1" applyAlignment="1">
      <alignment horizontal="center" vertical="center"/>
    </xf>
    <xf numFmtId="49" fontId="10" fillId="11" borderId="1" xfId="11" applyNumberFormat="1" applyFont="1" applyFill="1" applyBorder="1" applyAlignment="1">
      <alignment horizontal="left" vertical="center" wrapText="1"/>
    </xf>
    <xf numFmtId="166" fontId="10" fillId="11" borderId="1" xfId="8" applyNumberFormat="1" applyFont="1" applyFill="1" applyBorder="1" applyAlignment="1">
      <alignment vertical="center" wrapText="1"/>
    </xf>
    <xf numFmtId="164" fontId="10" fillId="11" borderId="1" xfId="8" applyFont="1" applyFill="1" applyBorder="1" applyAlignment="1">
      <alignment horizontal="center" vertical="center" wrapText="1"/>
    </xf>
    <xf numFmtId="164" fontId="10" fillId="11" borderId="1" xfId="8" applyFont="1" applyFill="1" applyBorder="1" applyAlignment="1" applyProtection="1">
      <alignment horizontal="right" vertical="center" wrapText="1"/>
      <protection locked="0"/>
    </xf>
    <xf numFmtId="49" fontId="10" fillId="11" borderId="1" xfId="11" applyNumberFormat="1" applyFont="1" applyFill="1" applyBorder="1" applyAlignment="1">
      <alignment horizontal="center" vertical="center"/>
    </xf>
    <xf numFmtId="49" fontId="10" fillId="11" borderId="0" xfId="11" applyNumberFormat="1" applyFont="1" applyFill="1" applyAlignment="1">
      <alignment horizontal="center" vertical="center"/>
    </xf>
    <xf numFmtId="49" fontId="30" fillId="11" borderId="1" xfId="11" applyNumberFormat="1" applyFont="1" applyFill="1" applyBorder="1" applyAlignment="1">
      <alignment horizontal="left" vertical="center" wrapText="1"/>
    </xf>
    <xf numFmtId="3" fontId="10" fillId="11" borderId="1" xfId="11" applyNumberFormat="1" applyFont="1" applyFill="1" applyBorder="1" applyAlignment="1" applyProtection="1">
      <alignment vertical="center" wrapText="1"/>
      <protection locked="0"/>
    </xf>
    <xf numFmtId="0" fontId="18" fillId="11" borderId="0" xfId="11" applyFont="1" applyFill="1" applyAlignment="1">
      <alignment horizontal="center" vertical="center"/>
    </xf>
    <xf numFmtId="49" fontId="18" fillId="11" borderId="0" xfId="11" applyNumberFormat="1" applyFont="1" applyFill="1" applyAlignment="1">
      <alignment horizontal="left" vertical="center"/>
    </xf>
    <xf numFmtId="49" fontId="18" fillId="11" borderId="0" xfId="11" applyNumberFormat="1" applyFont="1" applyFill="1" applyAlignment="1">
      <alignment horizontal="center" vertical="center"/>
    </xf>
    <xf numFmtId="0" fontId="36" fillId="11" borderId="0" xfId="11" applyFont="1" applyFill="1" applyAlignment="1">
      <alignment horizontal="center" vertical="center"/>
    </xf>
    <xf numFmtId="49" fontId="36" fillId="11" borderId="0" xfId="11" applyNumberFormat="1" applyFont="1" applyFill="1" applyAlignment="1">
      <alignment horizontal="left" vertical="center"/>
    </xf>
    <xf numFmtId="49" fontId="36" fillId="11" borderId="0" xfId="11" applyNumberFormat="1" applyFont="1" applyFill="1" applyAlignment="1">
      <alignment horizontal="center" vertical="center"/>
    </xf>
    <xf numFmtId="49" fontId="10" fillId="0" borderId="17" xfId="11" applyNumberFormat="1" applyFont="1" applyBorder="1" applyAlignment="1">
      <alignment horizontal="center" vertical="center" wrapText="1"/>
    </xf>
    <xf numFmtId="49" fontId="12" fillId="0" borderId="15" xfId="11" applyNumberFormat="1" applyFont="1" applyBorder="1" applyAlignment="1">
      <alignment horizontal="center" vertical="center" wrapText="1"/>
    </xf>
    <xf numFmtId="164" fontId="13" fillId="0" borderId="0" xfId="8" applyFont="1" applyAlignment="1">
      <alignment vertical="center"/>
    </xf>
    <xf numFmtId="166" fontId="13" fillId="0" borderId="0" xfId="1" applyNumberFormat="1" applyFont="1" applyAlignment="1">
      <alignment horizontal="center" vertical="center"/>
    </xf>
    <xf numFmtId="164" fontId="13" fillId="0" borderId="0" xfId="8" applyFont="1" applyAlignment="1">
      <alignment horizontal="center" vertical="center"/>
    </xf>
    <xf numFmtId="166" fontId="13" fillId="0" borderId="0" xfId="1" applyNumberFormat="1" applyFont="1" applyAlignment="1">
      <alignment vertical="center"/>
    </xf>
    <xf numFmtId="167" fontId="13" fillId="0" borderId="0" xfId="8" applyNumberFormat="1" applyFont="1" applyAlignment="1">
      <alignment horizontal="center" vertical="center"/>
    </xf>
    <xf numFmtId="165" fontId="13" fillId="0" borderId="0" xfId="8" applyNumberFormat="1" applyFont="1" applyAlignment="1">
      <alignment horizontal="center" vertical="center"/>
    </xf>
    <xf numFmtId="9" fontId="10" fillId="0" borderId="1" xfId="10" applyFont="1" applyFill="1" applyBorder="1" applyAlignment="1">
      <alignment horizontal="center" vertical="center" wrapText="1"/>
    </xf>
    <xf numFmtId="0" fontId="11" fillId="0" borderId="16" xfId="0" applyFont="1" applyBorder="1" applyAlignment="1">
      <alignment vertical="center"/>
    </xf>
    <xf numFmtId="49" fontId="22" fillId="3" borderId="1" xfId="11" applyNumberFormat="1" applyFont="1" applyFill="1" applyBorder="1" applyAlignment="1">
      <alignment horizontal="center" vertical="center"/>
    </xf>
    <xf numFmtId="49" fontId="12" fillId="3" borderId="1" xfId="11" applyNumberFormat="1" applyFont="1" applyFill="1" applyBorder="1" applyAlignment="1">
      <alignment horizontal="center" vertical="center"/>
    </xf>
    <xf numFmtId="166" fontId="8" fillId="0" borderId="1" xfId="8" applyNumberFormat="1" applyFont="1" applyFill="1" applyBorder="1" applyAlignment="1">
      <alignment horizontal="left" vertical="center" wrapText="1"/>
    </xf>
    <xf numFmtId="164" fontId="10" fillId="0" borderId="25" xfId="8" applyFont="1" applyBorder="1" applyAlignment="1">
      <alignment horizontal="center" vertical="center" wrapText="1"/>
    </xf>
    <xf numFmtId="164" fontId="10" fillId="0" borderId="0" xfId="8" applyFont="1" applyBorder="1" applyAlignment="1">
      <alignment horizontal="center"/>
    </xf>
    <xf numFmtId="164" fontId="10" fillId="0" borderId="37" xfId="8" applyFont="1" applyBorder="1" applyAlignment="1">
      <alignment horizontal="center" vertical="center"/>
    </xf>
    <xf numFmtId="164" fontId="10" fillId="0" borderId="0" xfId="8" applyFont="1" applyAlignment="1">
      <alignment horizontal="center" vertical="center"/>
    </xf>
    <xf numFmtId="0" fontId="30" fillId="0" borderId="0" xfId="0" applyFont="1" applyAlignment="1">
      <alignment vertical="center"/>
    </xf>
    <xf numFmtId="0" fontId="25" fillId="0" borderId="0" xfId="11" applyFont="1" applyAlignment="1">
      <alignment vertical="center"/>
    </xf>
    <xf numFmtId="0" fontId="48" fillId="0" borderId="0" xfId="11" applyFont="1" applyAlignment="1">
      <alignment vertical="center"/>
    </xf>
    <xf numFmtId="49" fontId="8" fillId="11" borderId="1" xfId="11" applyNumberFormat="1" applyFont="1" applyFill="1" applyBorder="1" applyAlignment="1">
      <alignment horizontal="left" vertical="center" wrapText="1"/>
    </xf>
    <xf numFmtId="49" fontId="9" fillId="11" borderId="1" xfId="11" applyNumberFormat="1" applyFont="1" applyFill="1" applyBorder="1" applyAlignment="1">
      <alignment horizontal="center" vertical="center" wrapText="1"/>
    </xf>
    <xf numFmtId="165" fontId="8" fillId="11" borderId="1" xfId="8" applyNumberFormat="1" applyFont="1" applyFill="1" applyBorder="1" applyAlignment="1">
      <alignment horizontal="center" vertical="center" wrapText="1"/>
    </xf>
    <xf numFmtId="164" fontId="8" fillId="11" borderId="1" xfId="8" applyFont="1" applyFill="1" applyBorder="1" applyAlignment="1" applyProtection="1">
      <alignment horizontal="center" vertical="center" wrapText="1"/>
      <protection locked="0"/>
    </xf>
    <xf numFmtId="0" fontId="8" fillId="11" borderId="1" xfId="11" applyFont="1" applyFill="1" applyBorder="1" applyAlignment="1">
      <alignment horizontal="center" vertical="center" wrapText="1"/>
    </xf>
    <xf numFmtId="164" fontId="8" fillId="11" borderId="1" xfId="8" applyFont="1" applyFill="1" applyBorder="1" applyAlignment="1">
      <alignment vertical="center"/>
    </xf>
    <xf numFmtId="49" fontId="8" fillId="11" borderId="1" xfId="11" applyNumberFormat="1" applyFont="1" applyFill="1" applyBorder="1" applyAlignment="1">
      <alignment vertical="center" wrapText="1"/>
    </xf>
    <xf numFmtId="0" fontId="22" fillId="11" borderId="0" xfId="11" applyFont="1" applyFill="1" applyAlignment="1">
      <alignment horizontal="center" vertical="center"/>
    </xf>
    <xf numFmtId="49" fontId="22" fillId="11" borderId="0" xfId="11" applyNumberFormat="1" applyFont="1" applyFill="1" applyAlignment="1">
      <alignment horizontal="center" vertical="center"/>
    </xf>
    <xf numFmtId="49" fontId="23" fillId="11" borderId="0" xfId="11" applyNumberFormat="1" applyFont="1" applyFill="1" applyAlignment="1">
      <alignment horizontal="center" vertical="center"/>
    </xf>
    <xf numFmtId="49" fontId="19" fillId="11" borderId="0" xfId="11" applyNumberFormat="1" applyFont="1" applyFill="1" applyAlignment="1">
      <alignment horizontal="center" vertical="center"/>
    </xf>
    <xf numFmtId="164" fontId="20" fillId="11" borderId="1" xfId="8" applyFont="1" applyFill="1" applyBorder="1" applyAlignment="1" applyProtection="1">
      <alignment horizontal="center" vertical="center" wrapText="1"/>
      <protection locked="0"/>
    </xf>
    <xf numFmtId="0" fontId="20" fillId="11" borderId="1" xfId="11" applyFont="1" applyFill="1" applyBorder="1" applyAlignment="1">
      <alignment horizontal="center" vertical="center" wrapText="1"/>
    </xf>
    <xf numFmtId="164" fontId="20" fillId="11" borderId="1" xfId="8" applyFont="1" applyFill="1" applyBorder="1" applyAlignment="1">
      <alignment vertical="center"/>
    </xf>
    <xf numFmtId="49" fontId="10" fillId="0" borderId="14" xfId="11" applyNumberFormat="1" applyFont="1" applyBorder="1" applyAlignment="1">
      <alignment horizontal="center" vertical="center" wrapText="1"/>
    </xf>
    <xf numFmtId="0" fontId="2" fillId="13" borderId="0" xfId="0" applyFont="1" applyFill="1"/>
    <xf numFmtId="164" fontId="4" fillId="0" borderId="16" xfId="8" applyFont="1" applyBorder="1" applyAlignment="1">
      <alignment horizontal="left"/>
    </xf>
    <xf numFmtId="164" fontId="4" fillId="0" borderId="17" xfId="8" applyFont="1" applyBorder="1" applyAlignment="1">
      <alignment horizontal="left"/>
    </xf>
    <xf numFmtId="164" fontId="4" fillId="0" borderId="13" xfId="8" applyFont="1" applyBorder="1" applyAlignment="1">
      <alignment horizontal="left"/>
    </xf>
    <xf numFmtId="164" fontId="4" fillId="0" borderId="15" xfId="8" applyFont="1" applyBorder="1" applyAlignment="1">
      <alignment horizontal="left"/>
    </xf>
    <xf numFmtId="0" fontId="0" fillId="0" borderId="47" xfId="0" applyFont="1" applyBorder="1" applyAlignment="1">
      <alignment horizontal="left"/>
    </xf>
    <xf numFmtId="0" fontId="0" fillId="0" borderId="41" xfId="0" applyFont="1" applyBorder="1" applyAlignment="1">
      <alignment horizontal="left" wrapText="1"/>
    </xf>
    <xf numFmtId="164" fontId="56" fillId="0" borderId="40" xfId="8" applyFont="1" applyFill="1" applyBorder="1" applyAlignment="1">
      <alignment horizontal="center" vertical="center" wrapText="1"/>
    </xf>
    <xf numFmtId="164" fontId="56" fillId="0" borderId="14" xfId="8" applyFont="1" applyFill="1" applyBorder="1" applyAlignment="1">
      <alignment horizontal="center" vertical="center" wrapText="1"/>
    </xf>
    <xf numFmtId="164" fontId="56" fillId="0" borderId="46" xfId="8" applyFont="1" applyFill="1" applyBorder="1" applyAlignment="1">
      <alignment horizontal="center" vertical="center" wrapText="1"/>
    </xf>
    <xf numFmtId="164" fontId="56" fillId="0" borderId="0" xfId="8" applyFont="1" applyFill="1" applyBorder="1" applyAlignment="1">
      <alignment horizontal="center" vertical="center" wrapText="1"/>
    </xf>
    <xf numFmtId="0" fontId="56" fillId="0" borderId="13" xfId="0" applyFont="1" applyBorder="1" applyAlignment="1">
      <alignment horizontal="left" indent="2"/>
    </xf>
    <xf numFmtId="164" fontId="56" fillId="0" borderId="13" xfId="8" applyFont="1" applyBorder="1" applyAlignment="1">
      <alignment horizontal="center" vertical="center"/>
    </xf>
    <xf numFmtId="164" fontId="56" fillId="0" borderId="0" xfId="8" applyFont="1" applyBorder="1"/>
    <xf numFmtId="164" fontId="56" fillId="0" borderId="0" xfId="8" applyFont="1" applyBorder="1" applyAlignment="1">
      <alignment horizontal="center" vertical="center"/>
    </xf>
    <xf numFmtId="0" fontId="0" fillId="0" borderId="13" xfId="0" applyFont="1" applyBorder="1" applyAlignment="1">
      <alignment horizontal="left" indent="2"/>
    </xf>
    <xf numFmtId="0" fontId="0" fillId="0" borderId="0" xfId="0" applyFont="1" applyBorder="1"/>
    <xf numFmtId="0" fontId="0" fillId="0" borderId="17" xfId="0" applyFont="1" applyBorder="1" applyAlignment="1">
      <alignment horizontal="left" indent="2"/>
    </xf>
    <xf numFmtId="0" fontId="56" fillId="13" borderId="13" xfId="0" applyFont="1" applyFill="1" applyBorder="1" applyAlignment="1">
      <alignment horizontal="left" indent="1"/>
    </xf>
    <xf numFmtId="164" fontId="56" fillId="13" borderId="13" xfId="8" applyFont="1" applyFill="1" applyBorder="1" applyAlignment="1">
      <alignment horizontal="center" vertical="center"/>
    </xf>
    <xf numFmtId="164" fontId="56" fillId="13" borderId="0" xfId="8" applyFont="1" applyFill="1" applyBorder="1"/>
    <xf numFmtId="164" fontId="4" fillId="13" borderId="0" xfId="8" applyFont="1" applyFill="1" applyBorder="1" applyAlignment="1">
      <alignment horizontal="left"/>
    </xf>
    <xf numFmtId="164" fontId="4" fillId="13" borderId="12" xfId="8" applyFont="1" applyFill="1" applyBorder="1" applyAlignment="1">
      <alignment horizontal="left"/>
    </xf>
    <xf numFmtId="164" fontId="56" fillId="13" borderId="47" xfId="8" applyFont="1" applyFill="1" applyBorder="1" applyAlignment="1">
      <alignment horizontal="center" vertical="center"/>
    </xf>
    <xf numFmtId="164" fontId="56" fillId="13" borderId="12" xfId="8" applyFont="1" applyFill="1" applyBorder="1"/>
    <xf numFmtId="164" fontId="4" fillId="13" borderId="48" xfId="8" applyFont="1" applyFill="1" applyBorder="1" applyAlignment="1">
      <alignment horizontal="left"/>
    </xf>
    <xf numFmtId="164" fontId="56" fillId="13" borderId="0" xfId="8" applyFont="1" applyFill="1" applyBorder="1" applyAlignment="1">
      <alignment horizontal="center" vertical="center"/>
    </xf>
    <xf numFmtId="164" fontId="4" fillId="13" borderId="14" xfId="8" applyFont="1" applyFill="1" applyBorder="1" applyAlignment="1">
      <alignment horizontal="left"/>
    </xf>
    <xf numFmtId="164" fontId="4" fillId="0" borderId="0" xfId="8" applyFont="1" applyBorder="1"/>
    <xf numFmtId="164" fontId="4" fillId="0" borderId="14" xfId="8" applyFont="1" applyBorder="1"/>
    <xf numFmtId="164" fontId="4" fillId="0" borderId="47" xfId="8" applyFont="1" applyBorder="1" applyAlignment="1">
      <alignment horizontal="center" vertical="center"/>
    </xf>
    <xf numFmtId="164" fontId="4" fillId="0" borderId="12" xfId="8" applyFont="1" applyBorder="1" applyAlignment="1">
      <alignment horizontal="center" vertical="center"/>
    </xf>
    <xf numFmtId="164" fontId="4" fillId="0" borderId="48" xfId="8" applyFont="1" applyBorder="1" applyAlignment="1">
      <alignment horizontal="center" vertical="center"/>
    </xf>
    <xf numFmtId="0" fontId="19" fillId="7" borderId="5" xfId="11" applyFont="1" applyFill="1" applyBorder="1" applyAlignment="1">
      <alignment horizontal="center" vertical="center"/>
    </xf>
    <xf numFmtId="0" fontId="19" fillId="7" borderId="40" xfId="11" applyFont="1" applyFill="1" applyBorder="1" applyAlignment="1">
      <alignment horizontal="center" vertical="center"/>
    </xf>
    <xf numFmtId="0" fontId="19" fillId="7" borderId="4" xfId="11" applyFont="1" applyFill="1" applyBorder="1" applyAlignment="1">
      <alignment horizontal="center" vertical="center"/>
    </xf>
    <xf numFmtId="0" fontId="19" fillId="0" borderId="39" xfId="11" applyFont="1" applyBorder="1" applyAlignment="1">
      <alignment horizontal="center" vertical="center" wrapText="1"/>
    </xf>
    <xf numFmtId="0" fontId="19" fillId="0" borderId="32" xfId="11" applyFont="1" applyBorder="1" applyAlignment="1">
      <alignment horizontal="center" vertical="center" wrapText="1"/>
    </xf>
    <xf numFmtId="0" fontId="19" fillId="0" borderId="26" xfId="11" applyFont="1" applyBorder="1" applyAlignment="1">
      <alignment horizontal="center" vertical="center" wrapText="1"/>
    </xf>
    <xf numFmtId="165" fontId="19" fillId="0" borderId="38" xfId="8" applyNumberFormat="1" applyFont="1" applyBorder="1" applyAlignment="1">
      <alignment horizontal="center" vertical="center" wrapText="1"/>
    </xf>
    <xf numFmtId="165" fontId="19" fillId="0" borderId="1" xfId="8" applyNumberFormat="1" applyFont="1" applyBorder="1" applyAlignment="1">
      <alignment horizontal="center" vertical="center" wrapText="1"/>
    </xf>
    <xf numFmtId="165" fontId="19" fillId="0" borderId="25" xfId="8" applyNumberFormat="1" applyFont="1" applyBorder="1" applyAlignment="1">
      <alignment horizontal="center" vertical="center" wrapText="1"/>
    </xf>
    <xf numFmtId="0" fontId="19" fillId="0" borderId="1" xfId="11" applyFont="1" applyBorder="1" applyAlignment="1">
      <alignment horizontal="center" vertical="center" wrapText="1"/>
    </xf>
    <xf numFmtId="166" fontId="19" fillId="0" borderId="35" xfId="1" applyNumberFormat="1" applyFont="1" applyBorder="1" applyAlignment="1">
      <alignment horizontal="center" vertical="center" wrapText="1"/>
    </xf>
    <xf numFmtId="166" fontId="19" fillId="0" borderId="34" xfId="1" applyNumberFormat="1" applyFont="1" applyBorder="1" applyAlignment="1">
      <alignment horizontal="center" vertical="center" wrapText="1"/>
    </xf>
    <xf numFmtId="0" fontId="22" fillId="0" borderId="33" xfId="11" applyFont="1" applyBorder="1" applyAlignment="1">
      <alignment horizontal="center" vertical="center" wrapText="1"/>
    </xf>
    <xf numFmtId="0" fontId="22" fillId="0" borderId="27" xfId="11" applyFont="1" applyBorder="1" applyAlignment="1">
      <alignment horizontal="center" vertical="center" wrapText="1"/>
    </xf>
    <xf numFmtId="0" fontId="22" fillId="0" borderId="23" xfId="11" applyFont="1" applyBorder="1" applyAlignment="1">
      <alignment horizontal="center" vertical="center" wrapText="1"/>
    </xf>
    <xf numFmtId="0" fontId="19" fillId="0" borderId="38" xfId="11" applyFont="1" applyBorder="1" applyAlignment="1">
      <alignment horizontal="center" vertical="center" wrapText="1"/>
    </xf>
    <xf numFmtId="0" fontId="19" fillId="0" borderId="25" xfId="11" applyFont="1" applyBorder="1" applyAlignment="1">
      <alignment horizontal="center" vertical="center" wrapText="1"/>
    </xf>
    <xf numFmtId="164" fontId="19" fillId="0" borderId="36" xfId="8" applyFont="1" applyBorder="1" applyAlignment="1">
      <alignment horizontal="center" vertical="center" wrapText="1"/>
    </xf>
    <xf numFmtId="164" fontId="19" fillId="0" borderId="37" xfId="8" applyFont="1" applyBorder="1" applyAlignment="1">
      <alignment horizontal="center" vertical="center" wrapText="1"/>
    </xf>
    <xf numFmtId="164" fontId="19" fillId="0" borderId="21" xfId="8" applyFont="1" applyBorder="1" applyAlignment="1">
      <alignment horizontal="center" vertical="center" wrapText="1"/>
    </xf>
    <xf numFmtId="164" fontId="19" fillId="0" borderId="15" xfId="8" applyFont="1" applyBorder="1" applyAlignment="1">
      <alignment horizontal="center" vertical="center" wrapText="1"/>
    </xf>
    <xf numFmtId="164" fontId="19" fillId="0" borderId="16" xfId="8" applyFont="1" applyBorder="1" applyAlignment="1">
      <alignment horizontal="center" vertical="center" wrapText="1"/>
    </xf>
    <xf numFmtId="164" fontId="19" fillId="0" borderId="17" xfId="8" applyFont="1" applyBorder="1" applyAlignment="1">
      <alignment horizontal="center" vertical="center" wrapText="1"/>
    </xf>
    <xf numFmtId="0" fontId="19" fillId="0" borderId="36" xfId="11" applyFont="1" applyBorder="1" applyAlignment="1">
      <alignment horizontal="center" vertical="center" wrapText="1"/>
    </xf>
    <xf numFmtId="0" fontId="19" fillId="0" borderId="21" xfId="11" applyFont="1" applyBorder="1" applyAlignment="1">
      <alignment horizontal="center" vertical="center" wrapText="1"/>
    </xf>
    <xf numFmtId="0" fontId="19" fillId="0" borderId="15" xfId="11" applyFont="1" applyBorder="1" applyAlignment="1">
      <alignment horizontal="center" vertical="center" wrapText="1"/>
    </xf>
    <xf numFmtId="0" fontId="19" fillId="0" borderId="17" xfId="11" applyFont="1" applyBorder="1" applyAlignment="1">
      <alignment horizontal="center" vertical="center" wrapText="1"/>
    </xf>
    <xf numFmtId="0" fontId="19" fillId="0" borderId="20" xfId="11" applyFont="1" applyBorder="1" applyAlignment="1">
      <alignment horizontal="center" vertical="center" wrapText="1"/>
    </xf>
    <xf numFmtId="0" fontId="19" fillId="0" borderId="31" xfId="11" applyFont="1" applyBorder="1" applyAlignment="1">
      <alignment horizontal="center" vertical="center" wrapText="1"/>
    </xf>
    <xf numFmtId="0" fontId="19" fillId="0" borderId="24" xfId="11" applyFont="1" applyBorder="1" applyAlignment="1">
      <alignment horizontal="center" vertical="center" wrapText="1"/>
    </xf>
    <xf numFmtId="166" fontId="19" fillId="0" borderId="30" xfId="1" applyNumberFormat="1" applyFont="1" applyBorder="1" applyAlignment="1">
      <alignment horizontal="center" vertical="center" wrapText="1"/>
    </xf>
    <xf numFmtId="166" fontId="19" fillId="0" borderId="29" xfId="1" applyNumberFormat="1" applyFont="1" applyBorder="1" applyAlignment="1">
      <alignment horizontal="center" vertical="center" wrapText="1"/>
    </xf>
    <xf numFmtId="166" fontId="19" fillId="0" borderId="28" xfId="1" applyNumberFormat="1" applyFont="1" applyBorder="1" applyAlignment="1">
      <alignment horizontal="center" vertical="center" wrapText="1"/>
    </xf>
    <xf numFmtId="164" fontId="19" fillId="0" borderId="18" xfId="8" applyFont="1" applyBorder="1" applyAlignment="1">
      <alignment horizontal="center" vertical="center" wrapText="1"/>
    </xf>
    <xf numFmtId="164" fontId="19" fillId="0" borderId="24" xfId="8" applyFont="1" applyBorder="1" applyAlignment="1">
      <alignment horizontal="center" vertical="center" wrapText="1"/>
    </xf>
    <xf numFmtId="0" fontId="12" fillId="0" borderId="12" xfId="11" applyFont="1" applyBorder="1" applyAlignment="1">
      <alignment horizontal="left" vertical="center" wrapText="1"/>
    </xf>
    <xf numFmtId="166" fontId="19" fillId="0" borderId="1" xfId="1" applyNumberFormat="1" applyFont="1" applyBorder="1" applyAlignment="1">
      <alignment horizontal="center" vertical="center" wrapText="1"/>
    </xf>
    <xf numFmtId="166" fontId="19" fillId="0" borderId="1" xfId="8" applyNumberFormat="1" applyFont="1" applyBorder="1" applyAlignment="1">
      <alignment horizontal="center" vertical="center" wrapText="1"/>
    </xf>
    <xf numFmtId="3" fontId="19" fillId="0" borderId="38" xfId="11" applyNumberFormat="1" applyFont="1" applyBorder="1" applyAlignment="1">
      <alignment vertical="center" wrapText="1"/>
    </xf>
    <xf numFmtId="3" fontId="19" fillId="0" borderId="1" xfId="11" applyNumberFormat="1" applyFont="1" applyBorder="1" applyAlignment="1">
      <alignment vertical="center" wrapText="1"/>
    </xf>
    <xf numFmtId="3" fontId="19" fillId="0" borderId="25" xfId="11" applyNumberFormat="1" applyFont="1" applyBorder="1" applyAlignment="1">
      <alignment vertical="center" wrapText="1"/>
    </xf>
    <xf numFmtId="166" fontId="19" fillId="0" borderId="45" xfId="1" applyNumberFormat="1" applyFont="1" applyBorder="1" applyAlignment="1">
      <alignment horizontal="center" vertical="center" wrapText="1"/>
    </xf>
    <xf numFmtId="166" fontId="19" fillId="0" borderId="18" xfId="1" applyNumberFormat="1" applyFont="1" applyBorder="1" applyAlignment="1">
      <alignment horizontal="center" vertical="center" wrapText="1"/>
    </xf>
    <xf numFmtId="166" fontId="19" fillId="0" borderId="24" xfId="1" applyNumberFormat="1" applyFont="1" applyBorder="1" applyAlignment="1">
      <alignment horizontal="center" vertical="center" wrapText="1"/>
    </xf>
    <xf numFmtId="0" fontId="19" fillId="0" borderId="0" xfId="11" applyFont="1" applyAlignment="1">
      <alignment horizontal="center" vertical="center"/>
    </xf>
    <xf numFmtId="166" fontId="32" fillId="0" borderId="1" xfId="1" applyNumberFormat="1" applyFont="1" applyBorder="1" applyAlignment="1">
      <alignment horizontal="center" vertical="center" wrapText="1"/>
    </xf>
    <xf numFmtId="49" fontId="10" fillId="0" borderId="10" xfId="11" applyNumberFormat="1" applyFont="1" applyBorder="1" applyAlignment="1">
      <alignment horizontal="center" vertical="center" wrapText="1"/>
    </xf>
    <xf numFmtId="0" fontId="19" fillId="7" borderId="6" xfId="11" applyFont="1" applyFill="1" applyBorder="1" applyAlignment="1">
      <alignment horizontal="center" vertical="center"/>
    </xf>
    <xf numFmtId="0" fontId="19" fillId="7" borderId="7" xfId="11" applyFont="1" applyFill="1" applyBorder="1" applyAlignment="1">
      <alignment horizontal="center" vertical="center"/>
    </xf>
    <xf numFmtId="0" fontId="19" fillId="7" borderId="44" xfId="11" applyFont="1" applyFill="1" applyBorder="1" applyAlignment="1">
      <alignment horizontal="center" vertical="center"/>
    </xf>
    <xf numFmtId="3" fontId="32" fillId="0" borderId="38" xfId="11" applyNumberFormat="1" applyFont="1" applyBorder="1" applyAlignment="1">
      <alignment horizontal="center" vertical="center" wrapText="1"/>
    </xf>
    <xf numFmtId="3" fontId="32" fillId="0" borderId="1" xfId="11" applyNumberFormat="1" applyFont="1" applyBorder="1" applyAlignment="1">
      <alignment horizontal="center" vertical="center" wrapText="1"/>
    </xf>
    <xf numFmtId="3" fontId="32" fillId="0" borderId="25" xfId="11" applyNumberFormat="1" applyFont="1" applyBorder="1" applyAlignment="1">
      <alignment horizontal="center" vertical="center" wrapText="1"/>
    </xf>
    <xf numFmtId="0" fontId="32" fillId="0" borderId="38" xfId="11" applyFont="1" applyBorder="1" applyAlignment="1">
      <alignment horizontal="center" vertical="center" wrapText="1"/>
    </xf>
    <xf numFmtId="0" fontId="32" fillId="0" borderId="1" xfId="11" applyFont="1" applyBorder="1" applyAlignment="1">
      <alignment horizontal="center" vertical="center" wrapText="1"/>
    </xf>
    <xf numFmtId="0" fontId="32" fillId="0" borderId="25" xfId="11" applyFont="1" applyBorder="1" applyAlignment="1">
      <alignment horizontal="center" vertical="center" wrapText="1"/>
    </xf>
    <xf numFmtId="3" fontId="19" fillId="0" borderId="36" xfId="11" applyNumberFormat="1" applyFont="1" applyBorder="1" applyAlignment="1">
      <alignment horizontal="center" vertical="center" wrapText="1"/>
    </xf>
    <xf numFmtId="3" fontId="19" fillId="0" borderId="37" xfId="11" applyNumberFormat="1" applyFont="1" applyBorder="1" applyAlignment="1">
      <alignment horizontal="center" vertical="center" wrapText="1"/>
    </xf>
    <xf numFmtId="3" fontId="19" fillId="0" borderId="21" xfId="11" applyNumberFormat="1" applyFont="1" applyBorder="1" applyAlignment="1">
      <alignment horizontal="center" vertical="center" wrapText="1"/>
    </xf>
    <xf numFmtId="3" fontId="19" fillId="0" borderId="15" xfId="11" applyNumberFormat="1" applyFont="1" applyBorder="1" applyAlignment="1">
      <alignment horizontal="center" vertical="center" wrapText="1"/>
    </xf>
    <xf numFmtId="3" fontId="19" fillId="0" borderId="16" xfId="11" applyNumberFormat="1" applyFont="1" applyBorder="1" applyAlignment="1">
      <alignment horizontal="center" vertical="center" wrapText="1"/>
    </xf>
    <xf numFmtId="3" fontId="19" fillId="0" borderId="17" xfId="11" applyNumberFormat="1" applyFont="1" applyBorder="1" applyAlignment="1">
      <alignment horizontal="center" vertical="center" wrapText="1"/>
    </xf>
    <xf numFmtId="166" fontId="19" fillId="0" borderId="38" xfId="1" applyNumberFormat="1" applyFont="1" applyBorder="1" applyAlignment="1">
      <alignment horizontal="center" vertical="center" wrapText="1"/>
    </xf>
    <xf numFmtId="0" fontId="6" fillId="0" borderId="0" xfId="0" applyFont="1" applyAlignment="1">
      <alignment wrapText="1"/>
    </xf>
    <xf numFmtId="0" fontId="6" fillId="0" borderId="0" xfId="0" applyFont="1" applyAlignment="1">
      <alignment horizontal="center"/>
    </xf>
    <xf numFmtId="0" fontId="1" fillId="0" borderId="0" xfId="0" applyFont="1" applyAlignment="1">
      <alignment horizontal="center"/>
    </xf>
    <xf numFmtId="166" fontId="32" fillId="0" borderId="36" xfId="8" applyNumberFormat="1" applyFont="1" applyFill="1" applyBorder="1" applyAlignment="1">
      <alignment horizontal="center" vertical="center" wrapText="1"/>
    </xf>
    <xf numFmtId="166" fontId="32" fillId="0" borderId="37" xfId="8" applyNumberFormat="1" applyFont="1" applyFill="1" applyBorder="1" applyAlignment="1">
      <alignment horizontal="center" vertical="center" wrapText="1"/>
    </xf>
    <xf numFmtId="166" fontId="32" fillId="0" borderId="21" xfId="8" applyNumberFormat="1" applyFont="1" applyFill="1" applyBorder="1" applyAlignment="1">
      <alignment horizontal="center" vertical="center" wrapText="1"/>
    </xf>
    <xf numFmtId="166" fontId="32" fillId="0" borderId="15" xfId="8" applyNumberFormat="1" applyFont="1" applyFill="1" applyBorder="1" applyAlignment="1">
      <alignment horizontal="center" vertical="center" wrapText="1"/>
    </xf>
    <xf numFmtId="166" fontId="32" fillId="0" borderId="16" xfId="8" applyNumberFormat="1" applyFont="1" applyFill="1" applyBorder="1" applyAlignment="1">
      <alignment horizontal="center" vertical="center" wrapText="1"/>
    </xf>
    <xf numFmtId="166" fontId="32" fillId="0" borderId="17" xfId="8" applyNumberFormat="1" applyFont="1" applyFill="1" applyBorder="1" applyAlignment="1">
      <alignment horizontal="center" vertical="center" wrapText="1"/>
    </xf>
    <xf numFmtId="166" fontId="32" fillId="0" borderId="38" xfId="8" applyNumberFormat="1" applyFont="1" applyFill="1" applyBorder="1" applyAlignment="1">
      <alignment horizontal="center" vertical="center" wrapText="1"/>
    </xf>
    <xf numFmtId="166" fontId="32" fillId="0" borderId="1" xfId="8" applyNumberFormat="1" applyFont="1" applyFill="1" applyBorder="1" applyAlignment="1">
      <alignment horizontal="center" vertical="center" wrapText="1"/>
    </xf>
    <xf numFmtId="166" fontId="32" fillId="0" borderId="25" xfId="8" applyNumberFormat="1" applyFont="1" applyFill="1" applyBorder="1" applyAlignment="1">
      <alignment horizontal="center" vertical="center" wrapText="1"/>
    </xf>
    <xf numFmtId="166" fontId="29" fillId="0" borderId="33" xfId="8" applyNumberFormat="1" applyFont="1" applyFill="1" applyBorder="1" applyAlignment="1">
      <alignment horizontal="center" vertical="center" wrapText="1"/>
    </xf>
    <xf numFmtId="166" fontId="29" fillId="0" borderId="27" xfId="8" applyNumberFormat="1" applyFont="1" applyFill="1" applyBorder="1" applyAlignment="1">
      <alignment horizontal="center" vertical="center" wrapText="1"/>
    </xf>
    <xf numFmtId="166" fontId="29" fillId="0" borderId="23" xfId="8" applyNumberFormat="1" applyFont="1" applyFill="1" applyBorder="1" applyAlignment="1">
      <alignment horizontal="center" vertical="center" wrapText="1"/>
    </xf>
    <xf numFmtId="166" fontId="32" fillId="0" borderId="0" xfId="8" applyNumberFormat="1" applyFont="1" applyFill="1" applyAlignment="1">
      <alignment horizontal="center" vertical="center"/>
    </xf>
    <xf numFmtId="0" fontId="32" fillId="0" borderId="0" xfId="11" applyFont="1" applyAlignment="1">
      <alignment horizontal="center" vertical="center"/>
    </xf>
    <xf numFmtId="166" fontId="32" fillId="0" borderId="6" xfId="8" applyNumberFormat="1" applyFont="1" applyFill="1" applyBorder="1" applyAlignment="1">
      <alignment horizontal="center" vertical="center"/>
    </xf>
    <xf numFmtId="166" fontId="32" fillId="0" borderId="7" xfId="8" applyNumberFormat="1" applyFont="1" applyFill="1" applyBorder="1" applyAlignment="1">
      <alignment horizontal="center" vertical="center"/>
    </xf>
    <xf numFmtId="166" fontId="32" fillId="0" borderId="44" xfId="8" applyNumberFormat="1" applyFont="1" applyFill="1" applyBorder="1" applyAlignment="1">
      <alignment horizontal="center" vertical="center"/>
    </xf>
    <xf numFmtId="166" fontId="32" fillId="0" borderId="39" xfId="8" applyNumberFormat="1" applyFont="1" applyFill="1" applyBorder="1" applyAlignment="1">
      <alignment horizontal="center" vertical="center" wrapText="1"/>
    </xf>
    <xf numFmtId="166" fontId="32" fillId="0" borderId="32" xfId="8" applyNumberFormat="1" applyFont="1" applyFill="1" applyBorder="1" applyAlignment="1">
      <alignment horizontal="center" vertical="center" wrapText="1"/>
    </xf>
    <xf numFmtId="166" fontId="32" fillId="0" borderId="26" xfId="8" applyNumberFormat="1" applyFont="1" applyFill="1" applyBorder="1" applyAlignment="1">
      <alignment horizontal="center" vertical="center" wrapText="1"/>
    </xf>
    <xf numFmtId="49" fontId="8" fillId="3" borderId="1" xfId="11" applyNumberFormat="1" applyFont="1" applyFill="1" applyBorder="1" applyAlignment="1">
      <alignment horizontal="left" vertical="center" wrapText="1"/>
    </xf>
    <xf numFmtId="49" fontId="8" fillId="0" borderId="1" xfId="11" applyNumberFormat="1" applyFont="1" applyBorder="1" applyAlignment="1">
      <alignment horizontal="left" vertical="center" wrapText="1"/>
    </xf>
    <xf numFmtId="0" fontId="25" fillId="0" borderId="0" xfId="11" applyFont="1" applyAlignment="1">
      <alignment horizontal="center" vertical="center"/>
    </xf>
    <xf numFmtId="164" fontId="22" fillId="0" borderId="0" xfId="1" applyFont="1" applyAlignment="1">
      <alignment horizontal="left" vertical="center" wrapText="1"/>
    </xf>
    <xf numFmtId="166" fontId="22" fillId="0" borderId="0" xfId="1" applyNumberFormat="1" applyFont="1" applyAlignment="1">
      <alignment horizontal="left" vertical="center" wrapText="1"/>
    </xf>
    <xf numFmtId="164" fontId="0" fillId="0" borderId="47" xfId="8" applyFont="1" applyBorder="1" applyAlignment="1">
      <alignment horizontal="center" vertical="center"/>
    </xf>
  </cellXfs>
  <cellStyles count="12">
    <cellStyle name="Comma" xfId="8" builtinId="3"/>
    <cellStyle name="Comma 2" xfId="1" xr:uid="{00000000-0005-0000-0000-000001000000}"/>
    <cellStyle name="Comma 2 2" xfId="3" xr:uid="{00000000-0005-0000-0000-000002000000}"/>
    <cellStyle name="Comma 2 3" xfId="2" xr:uid="{00000000-0005-0000-0000-000003000000}"/>
    <cellStyle name="Comma 21" xfId="9" xr:uid="{00000000-0005-0000-0000-000004000000}"/>
    <cellStyle name="Comma 5" xfId="5" xr:uid="{00000000-0005-0000-0000-000005000000}"/>
    <cellStyle name="Normal" xfId="0" builtinId="0"/>
    <cellStyle name="Normal 2" xfId="11" xr:uid="{F5465A69-FB4F-CA4B-B790-8EA0DDAB379C}"/>
    <cellStyle name="Normal 3" xfId="4" xr:uid="{00000000-0005-0000-0000-000007000000}"/>
    <cellStyle name="Normal 3 2" xfId="6" xr:uid="{00000000-0005-0000-0000-000008000000}"/>
    <cellStyle name="Percent" xfId="10" builtinId="5"/>
    <cellStyle name="Percent 3 2" xfId="7" xr:uid="{00000000-0005-0000-0000-00000900000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62113</xdr:colOff>
      <xdr:row>6</xdr:row>
      <xdr:rowOff>202257</xdr:rowOff>
    </xdr:from>
    <xdr:to>
      <xdr:col>7</xdr:col>
      <xdr:colOff>329916</xdr:colOff>
      <xdr:row>7</xdr:row>
      <xdr:rowOff>192218</xdr:rowOff>
    </xdr:to>
    <xdr:sp macro="" textlink="">
      <xdr:nvSpPr>
        <xdr:cNvPr id="2" name="Rectangle 1">
          <a:extLst>
            <a:ext uri="{FF2B5EF4-FFF2-40B4-BE49-F238E27FC236}">
              <a16:creationId xmlns:a16="http://schemas.microsoft.com/office/drawing/2014/main" id="{903B204A-78C5-CA47-A1D6-DAE29DA3A3BB}"/>
            </a:ext>
          </a:extLst>
        </xdr:cNvPr>
        <xdr:cNvSpPr/>
      </xdr:nvSpPr>
      <xdr:spPr>
        <a:xfrm>
          <a:off x="6196213" y="1332557"/>
          <a:ext cx="267803" cy="193161"/>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7</xdr:col>
      <xdr:colOff>57573</xdr:colOff>
      <xdr:row>5</xdr:row>
      <xdr:rowOff>211249</xdr:rowOff>
    </xdr:from>
    <xdr:to>
      <xdr:col>7</xdr:col>
      <xdr:colOff>326570</xdr:colOff>
      <xdr:row>6</xdr:row>
      <xdr:rowOff>195942</xdr:rowOff>
    </xdr:to>
    <xdr:sp macro="" textlink="">
      <xdr:nvSpPr>
        <xdr:cNvPr id="3" name="Rectangle 2">
          <a:extLst>
            <a:ext uri="{FF2B5EF4-FFF2-40B4-BE49-F238E27FC236}">
              <a16:creationId xmlns:a16="http://schemas.microsoft.com/office/drawing/2014/main" id="{845163A2-FFBC-4A4B-83CA-AE79497357F2}"/>
            </a:ext>
          </a:extLst>
        </xdr:cNvPr>
        <xdr:cNvSpPr/>
      </xdr:nvSpPr>
      <xdr:spPr>
        <a:xfrm>
          <a:off x="6191673" y="1138349"/>
          <a:ext cx="268997" cy="200593"/>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4" name="Rectangle 3">
          <a:extLst>
            <a:ext uri="{FF2B5EF4-FFF2-40B4-BE49-F238E27FC236}">
              <a16:creationId xmlns:a16="http://schemas.microsoft.com/office/drawing/2014/main" id="{9D15F6BF-6273-4045-BDEF-5FF4197A1236}"/>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7</xdr:col>
      <xdr:colOff>60617</xdr:colOff>
      <xdr:row>7</xdr:row>
      <xdr:rowOff>206829</xdr:rowOff>
    </xdr:from>
    <xdr:to>
      <xdr:col>7</xdr:col>
      <xdr:colOff>337456</xdr:colOff>
      <xdr:row>8</xdr:row>
      <xdr:rowOff>174172</xdr:rowOff>
    </xdr:to>
    <xdr:sp macro="" textlink="">
      <xdr:nvSpPr>
        <xdr:cNvPr id="5" name="Rectangle 4">
          <a:extLst>
            <a:ext uri="{FF2B5EF4-FFF2-40B4-BE49-F238E27FC236}">
              <a16:creationId xmlns:a16="http://schemas.microsoft.com/office/drawing/2014/main" id="{C9A043C8-DBEF-1F4D-8412-2D68316CDD2C}"/>
            </a:ext>
          </a:extLst>
        </xdr:cNvPr>
        <xdr:cNvSpPr/>
      </xdr:nvSpPr>
      <xdr:spPr>
        <a:xfrm>
          <a:off x="6194717" y="1527629"/>
          <a:ext cx="276839" cy="170543"/>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id-ID" sz="2400"/>
            <a:t>x</a:t>
          </a:r>
          <a:endParaRPr lang="en-PH" sz="2400"/>
        </a:p>
      </xdr:txBody>
    </xdr:sp>
    <xdr:clientData/>
  </xdr:twoCellAnchor>
  <xdr:twoCellAnchor>
    <xdr:from>
      <xdr:col>9</xdr:col>
      <xdr:colOff>424543</xdr:colOff>
      <xdr:row>8</xdr:row>
      <xdr:rowOff>0</xdr:rowOff>
    </xdr:from>
    <xdr:to>
      <xdr:col>9</xdr:col>
      <xdr:colOff>685800</xdr:colOff>
      <xdr:row>8</xdr:row>
      <xdr:rowOff>195943</xdr:rowOff>
    </xdr:to>
    <xdr:sp macro="" textlink="">
      <xdr:nvSpPr>
        <xdr:cNvPr id="6" name="Rectangle 5">
          <a:extLst>
            <a:ext uri="{FF2B5EF4-FFF2-40B4-BE49-F238E27FC236}">
              <a16:creationId xmlns:a16="http://schemas.microsoft.com/office/drawing/2014/main" id="{8F871759-546B-FB46-B5C8-1CF65AE3CAF0}"/>
            </a:ext>
          </a:extLst>
        </xdr:cNvPr>
        <xdr:cNvSpPr/>
      </xdr:nvSpPr>
      <xdr:spPr>
        <a:xfrm>
          <a:off x="8311243" y="1524000"/>
          <a:ext cx="261257" cy="19594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2400">
              <a:solidFill>
                <a:schemeClr val="tx1"/>
              </a:solidFill>
            </a:rPr>
            <a:t>x</a:t>
          </a:r>
          <a:endParaRPr lang="en-PH" sz="1200">
            <a:solidFill>
              <a:schemeClr val="tx1"/>
            </a:solidFill>
          </a:endParaRPr>
        </a:p>
      </xdr:txBody>
    </xdr:sp>
    <xdr:clientData/>
  </xdr:twoCellAnchor>
  <xdr:twoCellAnchor>
    <xdr:from>
      <xdr:col>9</xdr:col>
      <xdr:colOff>424543</xdr:colOff>
      <xdr:row>7</xdr:row>
      <xdr:rowOff>30440</xdr:rowOff>
    </xdr:from>
    <xdr:to>
      <xdr:col>9</xdr:col>
      <xdr:colOff>690704</xdr:colOff>
      <xdr:row>8</xdr:row>
      <xdr:rowOff>21771</xdr:rowOff>
    </xdr:to>
    <xdr:sp macro="" textlink="">
      <xdr:nvSpPr>
        <xdr:cNvPr id="7" name="Rectangle 6">
          <a:extLst>
            <a:ext uri="{FF2B5EF4-FFF2-40B4-BE49-F238E27FC236}">
              <a16:creationId xmlns:a16="http://schemas.microsoft.com/office/drawing/2014/main" id="{F0F56B35-67A7-C447-8ADB-57CEF4DE0D0D}"/>
            </a:ext>
          </a:extLst>
        </xdr:cNvPr>
        <xdr:cNvSpPr/>
      </xdr:nvSpPr>
      <xdr:spPr>
        <a:xfrm>
          <a:off x="8311243" y="1363940"/>
          <a:ext cx="266161" cy="181831"/>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8" name="Rectangle 7">
          <a:extLst>
            <a:ext uri="{FF2B5EF4-FFF2-40B4-BE49-F238E27FC236}">
              <a16:creationId xmlns:a16="http://schemas.microsoft.com/office/drawing/2014/main" id="{AC34B4F3-689A-214C-9B2D-8651ACFF8946}"/>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9" name="Rectangle 8">
          <a:extLst>
            <a:ext uri="{FF2B5EF4-FFF2-40B4-BE49-F238E27FC236}">
              <a16:creationId xmlns:a16="http://schemas.microsoft.com/office/drawing/2014/main" id="{4B7C91D5-326D-3E46-B4F1-B29D2FEB03BA}"/>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177774</xdr:colOff>
      <xdr:row>1</xdr:row>
      <xdr:rowOff>0</xdr:rowOff>
    </xdr:from>
    <xdr:to>
      <xdr:col>7</xdr:col>
      <xdr:colOff>475333</xdr:colOff>
      <xdr:row>1</xdr:row>
      <xdr:rowOff>0</xdr:rowOff>
    </xdr:to>
    <xdr:sp macro="" textlink="">
      <xdr:nvSpPr>
        <xdr:cNvPr id="2" name="Rectangle 1">
          <a:extLst>
            <a:ext uri="{FF2B5EF4-FFF2-40B4-BE49-F238E27FC236}">
              <a16:creationId xmlns:a16="http://schemas.microsoft.com/office/drawing/2014/main" id="{555B6306-10D8-374D-90ED-EF29C58E4DE9}"/>
            </a:ext>
          </a:extLst>
        </xdr:cNvPr>
        <xdr:cNvSpPr/>
      </xdr:nvSpPr>
      <xdr:spPr>
        <a:xfrm>
          <a:off x="6311874" y="203200"/>
          <a:ext cx="297559"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7</xdr:col>
      <xdr:colOff>207253</xdr:colOff>
      <xdr:row>1</xdr:row>
      <xdr:rowOff>0</xdr:rowOff>
    </xdr:from>
    <xdr:to>
      <xdr:col>7</xdr:col>
      <xdr:colOff>471270</xdr:colOff>
      <xdr:row>1</xdr:row>
      <xdr:rowOff>0</xdr:rowOff>
    </xdr:to>
    <xdr:sp macro="" textlink="">
      <xdr:nvSpPr>
        <xdr:cNvPr id="3" name="Rectangle 2">
          <a:extLst>
            <a:ext uri="{FF2B5EF4-FFF2-40B4-BE49-F238E27FC236}">
              <a16:creationId xmlns:a16="http://schemas.microsoft.com/office/drawing/2014/main" id="{19A68ED9-7812-644A-88F1-920B303899DD}"/>
            </a:ext>
          </a:extLst>
        </xdr:cNvPr>
        <xdr:cNvSpPr/>
      </xdr:nvSpPr>
      <xdr:spPr>
        <a:xfrm>
          <a:off x="6341353" y="203200"/>
          <a:ext cx="26401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477832</xdr:colOff>
      <xdr:row>1</xdr:row>
      <xdr:rowOff>0</xdr:rowOff>
    </xdr:from>
    <xdr:to>
      <xdr:col>9</xdr:col>
      <xdr:colOff>752629</xdr:colOff>
      <xdr:row>1</xdr:row>
      <xdr:rowOff>0</xdr:rowOff>
    </xdr:to>
    <xdr:sp macro="" textlink="">
      <xdr:nvSpPr>
        <xdr:cNvPr id="4" name="Rectangle 3">
          <a:extLst>
            <a:ext uri="{FF2B5EF4-FFF2-40B4-BE49-F238E27FC236}">
              <a16:creationId xmlns:a16="http://schemas.microsoft.com/office/drawing/2014/main" id="{939CA596-2E0C-F646-9CCD-696C6F7C27B5}"/>
            </a:ext>
          </a:extLst>
        </xdr:cNvPr>
        <xdr:cNvSpPr/>
      </xdr:nvSpPr>
      <xdr:spPr>
        <a:xfrm>
          <a:off x="8364532" y="203200"/>
          <a:ext cx="27479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487501</xdr:colOff>
      <xdr:row>1</xdr:row>
      <xdr:rowOff>0</xdr:rowOff>
    </xdr:from>
    <xdr:to>
      <xdr:col>9</xdr:col>
      <xdr:colOff>790978</xdr:colOff>
      <xdr:row>1</xdr:row>
      <xdr:rowOff>0</xdr:rowOff>
    </xdr:to>
    <xdr:sp macro="" textlink="">
      <xdr:nvSpPr>
        <xdr:cNvPr id="5" name="Rectangle 4">
          <a:extLst>
            <a:ext uri="{FF2B5EF4-FFF2-40B4-BE49-F238E27FC236}">
              <a16:creationId xmlns:a16="http://schemas.microsoft.com/office/drawing/2014/main" id="{862864DA-ADE0-2243-978F-5E634CB4C426}"/>
            </a:ext>
          </a:extLst>
        </xdr:cNvPr>
        <xdr:cNvSpPr/>
      </xdr:nvSpPr>
      <xdr:spPr>
        <a:xfrm>
          <a:off x="8374201" y="203200"/>
          <a:ext cx="30347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176280</xdr:colOff>
      <xdr:row>1</xdr:row>
      <xdr:rowOff>0</xdr:rowOff>
    </xdr:from>
    <xdr:to>
      <xdr:col>7</xdr:col>
      <xdr:colOff>442224</xdr:colOff>
      <xdr:row>1</xdr:row>
      <xdr:rowOff>0</xdr:rowOff>
    </xdr:to>
    <xdr:sp macro="" textlink="">
      <xdr:nvSpPr>
        <xdr:cNvPr id="6" name="Rectangle 5">
          <a:extLst>
            <a:ext uri="{FF2B5EF4-FFF2-40B4-BE49-F238E27FC236}">
              <a16:creationId xmlns:a16="http://schemas.microsoft.com/office/drawing/2014/main" id="{720FBDCA-A59A-3A4A-9E39-15D5E9B50D76}"/>
            </a:ext>
          </a:extLst>
        </xdr:cNvPr>
        <xdr:cNvSpPr/>
      </xdr:nvSpPr>
      <xdr:spPr>
        <a:xfrm>
          <a:off x="6310380" y="203200"/>
          <a:ext cx="265944"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7</xdr:col>
      <xdr:colOff>114300</xdr:colOff>
      <xdr:row>6</xdr:row>
      <xdr:rowOff>165100</xdr:rowOff>
    </xdr:from>
    <xdr:ext cx="431800" cy="313018"/>
    <xdr:pic>
      <xdr:nvPicPr>
        <xdr:cNvPr id="7" name="Picture 8">
          <a:extLst>
            <a:ext uri="{FF2B5EF4-FFF2-40B4-BE49-F238E27FC236}">
              <a16:creationId xmlns:a16="http://schemas.microsoft.com/office/drawing/2014/main" id="{BB16983A-FF2D-B04A-A4E0-5ADAA3AF2A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0" y="1384300"/>
          <a:ext cx="431800" cy="3130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9</xdr:col>
      <xdr:colOff>489404</xdr:colOff>
      <xdr:row>1</xdr:row>
      <xdr:rowOff>0</xdr:rowOff>
    </xdr:from>
    <xdr:to>
      <xdr:col>9</xdr:col>
      <xdr:colOff>766431</xdr:colOff>
      <xdr:row>1</xdr:row>
      <xdr:rowOff>0</xdr:rowOff>
    </xdr:to>
    <xdr:sp macro="" textlink="">
      <xdr:nvSpPr>
        <xdr:cNvPr id="8" name="Rectangle 7">
          <a:extLst>
            <a:ext uri="{FF2B5EF4-FFF2-40B4-BE49-F238E27FC236}">
              <a16:creationId xmlns:a16="http://schemas.microsoft.com/office/drawing/2014/main" id="{6E34DEBA-DF98-0846-9B69-D2417A3F0837}"/>
            </a:ext>
          </a:extLst>
        </xdr:cNvPr>
        <xdr:cNvSpPr/>
      </xdr:nvSpPr>
      <xdr:spPr>
        <a:xfrm>
          <a:off x="8376104" y="203200"/>
          <a:ext cx="27702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177774</xdr:colOff>
      <xdr:row>1</xdr:row>
      <xdr:rowOff>0</xdr:rowOff>
    </xdr:from>
    <xdr:to>
      <xdr:col>7</xdr:col>
      <xdr:colOff>475333</xdr:colOff>
      <xdr:row>1</xdr:row>
      <xdr:rowOff>0</xdr:rowOff>
    </xdr:to>
    <xdr:sp macro="" textlink="">
      <xdr:nvSpPr>
        <xdr:cNvPr id="9" name="Rectangle 8">
          <a:extLst>
            <a:ext uri="{FF2B5EF4-FFF2-40B4-BE49-F238E27FC236}">
              <a16:creationId xmlns:a16="http://schemas.microsoft.com/office/drawing/2014/main" id="{D8DE36A6-CDE7-CB44-B359-3F4ACB99A17F}"/>
            </a:ext>
          </a:extLst>
        </xdr:cNvPr>
        <xdr:cNvSpPr/>
      </xdr:nvSpPr>
      <xdr:spPr>
        <a:xfrm>
          <a:off x="6311874" y="203200"/>
          <a:ext cx="297559"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7</xdr:col>
      <xdr:colOff>207253</xdr:colOff>
      <xdr:row>1</xdr:row>
      <xdr:rowOff>0</xdr:rowOff>
    </xdr:from>
    <xdr:to>
      <xdr:col>7</xdr:col>
      <xdr:colOff>471270</xdr:colOff>
      <xdr:row>1</xdr:row>
      <xdr:rowOff>0</xdr:rowOff>
    </xdr:to>
    <xdr:sp macro="" textlink="">
      <xdr:nvSpPr>
        <xdr:cNvPr id="10" name="Rectangle 9">
          <a:extLst>
            <a:ext uri="{FF2B5EF4-FFF2-40B4-BE49-F238E27FC236}">
              <a16:creationId xmlns:a16="http://schemas.microsoft.com/office/drawing/2014/main" id="{86BD6E6E-FFF8-2B4F-9AEA-307E3393BF8D}"/>
            </a:ext>
          </a:extLst>
        </xdr:cNvPr>
        <xdr:cNvSpPr/>
      </xdr:nvSpPr>
      <xdr:spPr>
        <a:xfrm>
          <a:off x="6341353" y="203200"/>
          <a:ext cx="26401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477832</xdr:colOff>
      <xdr:row>1</xdr:row>
      <xdr:rowOff>0</xdr:rowOff>
    </xdr:from>
    <xdr:to>
      <xdr:col>9</xdr:col>
      <xdr:colOff>752629</xdr:colOff>
      <xdr:row>1</xdr:row>
      <xdr:rowOff>0</xdr:rowOff>
    </xdr:to>
    <xdr:sp macro="" textlink="">
      <xdr:nvSpPr>
        <xdr:cNvPr id="11" name="Rectangle 10">
          <a:extLst>
            <a:ext uri="{FF2B5EF4-FFF2-40B4-BE49-F238E27FC236}">
              <a16:creationId xmlns:a16="http://schemas.microsoft.com/office/drawing/2014/main" id="{A66F4234-9624-E346-93E9-B9FD901AF6E3}"/>
            </a:ext>
          </a:extLst>
        </xdr:cNvPr>
        <xdr:cNvSpPr/>
      </xdr:nvSpPr>
      <xdr:spPr>
        <a:xfrm>
          <a:off x="8364532" y="203200"/>
          <a:ext cx="27479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487501</xdr:colOff>
      <xdr:row>1</xdr:row>
      <xdr:rowOff>0</xdr:rowOff>
    </xdr:from>
    <xdr:to>
      <xdr:col>9</xdr:col>
      <xdr:colOff>790978</xdr:colOff>
      <xdr:row>1</xdr:row>
      <xdr:rowOff>0</xdr:rowOff>
    </xdr:to>
    <xdr:sp macro="" textlink="">
      <xdr:nvSpPr>
        <xdr:cNvPr id="12" name="Rectangle 11">
          <a:extLst>
            <a:ext uri="{FF2B5EF4-FFF2-40B4-BE49-F238E27FC236}">
              <a16:creationId xmlns:a16="http://schemas.microsoft.com/office/drawing/2014/main" id="{B6FE89CF-7BF3-D94D-B491-4B13381F9AC9}"/>
            </a:ext>
          </a:extLst>
        </xdr:cNvPr>
        <xdr:cNvSpPr/>
      </xdr:nvSpPr>
      <xdr:spPr>
        <a:xfrm>
          <a:off x="8374201" y="203200"/>
          <a:ext cx="30347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176280</xdr:colOff>
      <xdr:row>1</xdr:row>
      <xdr:rowOff>0</xdr:rowOff>
    </xdr:from>
    <xdr:to>
      <xdr:col>7</xdr:col>
      <xdr:colOff>442224</xdr:colOff>
      <xdr:row>1</xdr:row>
      <xdr:rowOff>0</xdr:rowOff>
    </xdr:to>
    <xdr:sp macro="" textlink="">
      <xdr:nvSpPr>
        <xdr:cNvPr id="13" name="Rectangle 12">
          <a:extLst>
            <a:ext uri="{FF2B5EF4-FFF2-40B4-BE49-F238E27FC236}">
              <a16:creationId xmlns:a16="http://schemas.microsoft.com/office/drawing/2014/main" id="{899A9A78-BB26-5F4C-A242-B5FF2A6DD395}"/>
            </a:ext>
          </a:extLst>
        </xdr:cNvPr>
        <xdr:cNvSpPr/>
      </xdr:nvSpPr>
      <xdr:spPr>
        <a:xfrm>
          <a:off x="6310380" y="203200"/>
          <a:ext cx="265944"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7</xdr:col>
      <xdr:colOff>114300</xdr:colOff>
      <xdr:row>6</xdr:row>
      <xdr:rowOff>165100</xdr:rowOff>
    </xdr:from>
    <xdr:ext cx="431800" cy="313018"/>
    <xdr:pic>
      <xdr:nvPicPr>
        <xdr:cNvPr id="14" name="Picture 8">
          <a:extLst>
            <a:ext uri="{FF2B5EF4-FFF2-40B4-BE49-F238E27FC236}">
              <a16:creationId xmlns:a16="http://schemas.microsoft.com/office/drawing/2014/main" id="{C28FB29F-369D-9643-876D-2675FB37EC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0" y="1384300"/>
          <a:ext cx="431800" cy="3130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9</xdr:col>
      <xdr:colOff>489404</xdr:colOff>
      <xdr:row>1</xdr:row>
      <xdr:rowOff>0</xdr:rowOff>
    </xdr:from>
    <xdr:to>
      <xdr:col>9</xdr:col>
      <xdr:colOff>766431</xdr:colOff>
      <xdr:row>1</xdr:row>
      <xdr:rowOff>0</xdr:rowOff>
    </xdr:to>
    <xdr:sp macro="" textlink="">
      <xdr:nvSpPr>
        <xdr:cNvPr id="15" name="Rectangle 14">
          <a:extLst>
            <a:ext uri="{FF2B5EF4-FFF2-40B4-BE49-F238E27FC236}">
              <a16:creationId xmlns:a16="http://schemas.microsoft.com/office/drawing/2014/main" id="{24F3F122-5484-0345-84E6-AD38F1E1A001}"/>
            </a:ext>
          </a:extLst>
        </xdr:cNvPr>
        <xdr:cNvSpPr/>
      </xdr:nvSpPr>
      <xdr:spPr>
        <a:xfrm>
          <a:off x="8376104" y="203200"/>
          <a:ext cx="27702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177774</xdr:colOff>
      <xdr:row>1</xdr:row>
      <xdr:rowOff>0</xdr:rowOff>
    </xdr:from>
    <xdr:to>
      <xdr:col>7</xdr:col>
      <xdr:colOff>475333</xdr:colOff>
      <xdr:row>1</xdr:row>
      <xdr:rowOff>0</xdr:rowOff>
    </xdr:to>
    <xdr:sp macro="" textlink="">
      <xdr:nvSpPr>
        <xdr:cNvPr id="16" name="Rectangle 15">
          <a:extLst>
            <a:ext uri="{FF2B5EF4-FFF2-40B4-BE49-F238E27FC236}">
              <a16:creationId xmlns:a16="http://schemas.microsoft.com/office/drawing/2014/main" id="{DE2BBEE6-8E6D-AB46-BA67-15C7AEFAA588}"/>
            </a:ext>
          </a:extLst>
        </xdr:cNvPr>
        <xdr:cNvSpPr/>
      </xdr:nvSpPr>
      <xdr:spPr>
        <a:xfrm>
          <a:off x="6311874" y="203200"/>
          <a:ext cx="297559"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7</xdr:col>
      <xdr:colOff>207253</xdr:colOff>
      <xdr:row>1</xdr:row>
      <xdr:rowOff>0</xdr:rowOff>
    </xdr:from>
    <xdr:to>
      <xdr:col>7</xdr:col>
      <xdr:colOff>471270</xdr:colOff>
      <xdr:row>1</xdr:row>
      <xdr:rowOff>0</xdr:rowOff>
    </xdr:to>
    <xdr:sp macro="" textlink="">
      <xdr:nvSpPr>
        <xdr:cNvPr id="17" name="Rectangle 16">
          <a:extLst>
            <a:ext uri="{FF2B5EF4-FFF2-40B4-BE49-F238E27FC236}">
              <a16:creationId xmlns:a16="http://schemas.microsoft.com/office/drawing/2014/main" id="{3660CCC8-7058-E849-B8A5-2E9009264A6B}"/>
            </a:ext>
          </a:extLst>
        </xdr:cNvPr>
        <xdr:cNvSpPr/>
      </xdr:nvSpPr>
      <xdr:spPr>
        <a:xfrm>
          <a:off x="6341353" y="203200"/>
          <a:ext cx="26401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477832</xdr:colOff>
      <xdr:row>1</xdr:row>
      <xdr:rowOff>0</xdr:rowOff>
    </xdr:from>
    <xdr:to>
      <xdr:col>9</xdr:col>
      <xdr:colOff>752629</xdr:colOff>
      <xdr:row>1</xdr:row>
      <xdr:rowOff>0</xdr:rowOff>
    </xdr:to>
    <xdr:sp macro="" textlink="">
      <xdr:nvSpPr>
        <xdr:cNvPr id="18" name="Rectangle 17">
          <a:extLst>
            <a:ext uri="{FF2B5EF4-FFF2-40B4-BE49-F238E27FC236}">
              <a16:creationId xmlns:a16="http://schemas.microsoft.com/office/drawing/2014/main" id="{887A5744-5699-0649-9E8B-A12E67C1D93C}"/>
            </a:ext>
          </a:extLst>
        </xdr:cNvPr>
        <xdr:cNvSpPr/>
      </xdr:nvSpPr>
      <xdr:spPr>
        <a:xfrm>
          <a:off x="8364532" y="203200"/>
          <a:ext cx="27479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487501</xdr:colOff>
      <xdr:row>1</xdr:row>
      <xdr:rowOff>0</xdr:rowOff>
    </xdr:from>
    <xdr:to>
      <xdr:col>9</xdr:col>
      <xdr:colOff>790978</xdr:colOff>
      <xdr:row>1</xdr:row>
      <xdr:rowOff>0</xdr:rowOff>
    </xdr:to>
    <xdr:sp macro="" textlink="">
      <xdr:nvSpPr>
        <xdr:cNvPr id="19" name="Rectangle 18">
          <a:extLst>
            <a:ext uri="{FF2B5EF4-FFF2-40B4-BE49-F238E27FC236}">
              <a16:creationId xmlns:a16="http://schemas.microsoft.com/office/drawing/2014/main" id="{FC60FF3A-F339-C54C-9B15-AB99EC62BAE3}"/>
            </a:ext>
          </a:extLst>
        </xdr:cNvPr>
        <xdr:cNvSpPr/>
      </xdr:nvSpPr>
      <xdr:spPr>
        <a:xfrm>
          <a:off x="8374201" y="203200"/>
          <a:ext cx="30347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176280</xdr:colOff>
      <xdr:row>1</xdr:row>
      <xdr:rowOff>0</xdr:rowOff>
    </xdr:from>
    <xdr:to>
      <xdr:col>7</xdr:col>
      <xdr:colOff>442224</xdr:colOff>
      <xdr:row>1</xdr:row>
      <xdr:rowOff>0</xdr:rowOff>
    </xdr:to>
    <xdr:sp macro="" textlink="">
      <xdr:nvSpPr>
        <xdr:cNvPr id="20" name="Rectangle 19">
          <a:extLst>
            <a:ext uri="{FF2B5EF4-FFF2-40B4-BE49-F238E27FC236}">
              <a16:creationId xmlns:a16="http://schemas.microsoft.com/office/drawing/2014/main" id="{3C820472-BEB9-724A-968F-30EF698D1F8A}"/>
            </a:ext>
          </a:extLst>
        </xdr:cNvPr>
        <xdr:cNvSpPr/>
      </xdr:nvSpPr>
      <xdr:spPr>
        <a:xfrm>
          <a:off x="6310380" y="203200"/>
          <a:ext cx="265944"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7</xdr:col>
      <xdr:colOff>190500</xdr:colOff>
      <xdr:row>8</xdr:row>
      <xdr:rowOff>165100</xdr:rowOff>
    </xdr:from>
    <xdr:ext cx="393700" cy="313018"/>
    <xdr:pic>
      <xdr:nvPicPr>
        <xdr:cNvPr id="21" name="Picture 8">
          <a:extLst>
            <a:ext uri="{FF2B5EF4-FFF2-40B4-BE49-F238E27FC236}">
              <a16:creationId xmlns:a16="http://schemas.microsoft.com/office/drawing/2014/main" id="{D93C4E60-A834-E943-8198-55354E825B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24600" y="1790700"/>
          <a:ext cx="393700" cy="3130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419100</xdr:colOff>
      <xdr:row>8</xdr:row>
      <xdr:rowOff>165100</xdr:rowOff>
    </xdr:from>
    <xdr:ext cx="431800" cy="325718"/>
    <xdr:pic>
      <xdr:nvPicPr>
        <xdr:cNvPr id="22" name="Picture 8">
          <a:extLst>
            <a:ext uri="{FF2B5EF4-FFF2-40B4-BE49-F238E27FC236}">
              <a16:creationId xmlns:a16="http://schemas.microsoft.com/office/drawing/2014/main" id="{876C7D9B-F758-BA47-AA91-46411C507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05800" y="1790700"/>
          <a:ext cx="431800" cy="3257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twoCellAnchor>
    <xdr:from>
      <xdr:col>12</xdr:col>
      <xdr:colOff>203174</xdr:colOff>
      <xdr:row>8</xdr:row>
      <xdr:rowOff>21816</xdr:rowOff>
    </xdr:from>
    <xdr:to>
      <xdr:col>12</xdr:col>
      <xdr:colOff>473080</xdr:colOff>
      <xdr:row>8</xdr:row>
      <xdr:rowOff>223048</xdr:rowOff>
    </xdr:to>
    <xdr:sp macro="" textlink="">
      <xdr:nvSpPr>
        <xdr:cNvPr id="2" name="Rectangle 1">
          <a:extLst>
            <a:ext uri="{FF2B5EF4-FFF2-40B4-BE49-F238E27FC236}">
              <a16:creationId xmlns:a16="http://schemas.microsoft.com/office/drawing/2014/main" id="{F8A2B546-8467-6C40-B949-4A08720DB1D9}"/>
            </a:ext>
          </a:extLst>
        </xdr:cNvPr>
        <xdr:cNvSpPr/>
      </xdr:nvSpPr>
      <xdr:spPr>
        <a:xfrm>
          <a:off x="8585174" y="1647416"/>
          <a:ext cx="269906" cy="1758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12</xdr:col>
      <xdr:colOff>204078</xdr:colOff>
      <xdr:row>7</xdr:row>
      <xdr:rowOff>13946</xdr:rowOff>
    </xdr:from>
    <xdr:to>
      <xdr:col>12</xdr:col>
      <xdr:colOff>475784</xdr:colOff>
      <xdr:row>7</xdr:row>
      <xdr:rowOff>232310</xdr:rowOff>
    </xdr:to>
    <xdr:sp macro="" textlink="">
      <xdr:nvSpPr>
        <xdr:cNvPr id="3" name="Rectangle 2">
          <a:extLst>
            <a:ext uri="{FF2B5EF4-FFF2-40B4-BE49-F238E27FC236}">
              <a16:creationId xmlns:a16="http://schemas.microsoft.com/office/drawing/2014/main" id="{FFAF67BB-07B2-CA40-A801-A1FDBF15036B}"/>
            </a:ext>
          </a:extLst>
        </xdr:cNvPr>
        <xdr:cNvSpPr/>
      </xdr:nvSpPr>
      <xdr:spPr>
        <a:xfrm>
          <a:off x="8586078" y="1436346"/>
          <a:ext cx="271706" cy="19296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493707</xdr:colOff>
      <xdr:row>8</xdr:row>
      <xdr:rowOff>41327</xdr:rowOff>
    </xdr:from>
    <xdr:to>
      <xdr:col>14</xdr:col>
      <xdr:colOff>786835</xdr:colOff>
      <xdr:row>9</xdr:row>
      <xdr:rowOff>23141</xdr:rowOff>
    </xdr:to>
    <xdr:sp macro="" textlink="">
      <xdr:nvSpPr>
        <xdr:cNvPr id="4" name="Rectangle 3">
          <a:extLst>
            <a:ext uri="{FF2B5EF4-FFF2-40B4-BE49-F238E27FC236}">
              <a16:creationId xmlns:a16="http://schemas.microsoft.com/office/drawing/2014/main" id="{761B6A2A-108F-BB4C-B9C4-85DA5239E7D7}"/>
            </a:ext>
          </a:extLst>
        </xdr:cNvPr>
        <xdr:cNvSpPr/>
      </xdr:nvSpPr>
      <xdr:spPr>
        <a:xfrm>
          <a:off x="10272707" y="1666927"/>
          <a:ext cx="204228" cy="18501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484326</xdr:colOff>
      <xdr:row>7</xdr:row>
      <xdr:rowOff>61082</xdr:rowOff>
    </xdr:from>
    <xdr:to>
      <xdr:col>14</xdr:col>
      <xdr:colOff>779466</xdr:colOff>
      <xdr:row>8</xdr:row>
      <xdr:rowOff>905</xdr:rowOff>
    </xdr:to>
    <xdr:sp macro="" textlink="">
      <xdr:nvSpPr>
        <xdr:cNvPr id="5" name="Rectangle 4">
          <a:extLst>
            <a:ext uri="{FF2B5EF4-FFF2-40B4-BE49-F238E27FC236}">
              <a16:creationId xmlns:a16="http://schemas.microsoft.com/office/drawing/2014/main" id="{2142C74A-CEDD-FC41-9B88-D56E7174152A}"/>
            </a:ext>
          </a:extLst>
        </xdr:cNvPr>
        <xdr:cNvSpPr/>
      </xdr:nvSpPr>
      <xdr:spPr>
        <a:xfrm>
          <a:off x="10263326" y="1483482"/>
          <a:ext cx="218940" cy="14302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12</xdr:col>
      <xdr:colOff>173105</xdr:colOff>
      <xdr:row>9</xdr:row>
      <xdr:rowOff>6345</xdr:rowOff>
    </xdr:from>
    <xdr:to>
      <xdr:col>12</xdr:col>
      <xdr:colOff>468245</xdr:colOff>
      <xdr:row>9</xdr:row>
      <xdr:rowOff>207577</xdr:rowOff>
    </xdr:to>
    <xdr:sp macro="" textlink="">
      <xdr:nvSpPr>
        <xdr:cNvPr id="6" name="Rectangle 5">
          <a:extLst>
            <a:ext uri="{FF2B5EF4-FFF2-40B4-BE49-F238E27FC236}">
              <a16:creationId xmlns:a16="http://schemas.microsoft.com/office/drawing/2014/main" id="{7AE38B1A-973E-F443-8546-9C42EFF7545B}"/>
            </a:ext>
          </a:extLst>
        </xdr:cNvPr>
        <xdr:cNvSpPr/>
      </xdr:nvSpPr>
      <xdr:spPr>
        <a:xfrm>
          <a:off x="8555105" y="1835145"/>
          <a:ext cx="295140"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12</xdr:col>
      <xdr:colOff>114300</xdr:colOff>
      <xdr:row>6</xdr:row>
      <xdr:rowOff>165100</xdr:rowOff>
    </xdr:from>
    <xdr:ext cx="431800" cy="313267"/>
    <xdr:pic>
      <xdr:nvPicPr>
        <xdr:cNvPr id="7" name="Picture 8">
          <a:extLst>
            <a:ext uri="{FF2B5EF4-FFF2-40B4-BE49-F238E27FC236}">
              <a16:creationId xmlns:a16="http://schemas.microsoft.com/office/drawing/2014/main" id="{D7697338-C915-824F-B177-7108559187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1384300"/>
          <a:ext cx="431800" cy="3132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8" name="Rectangle 7">
          <a:extLst>
            <a:ext uri="{FF2B5EF4-FFF2-40B4-BE49-F238E27FC236}">
              <a16:creationId xmlns:a16="http://schemas.microsoft.com/office/drawing/2014/main" id="{2472C9E0-122C-304B-908E-4616C3BA088F}"/>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oneCellAnchor>
    <xdr:from>
      <xdr:col>14</xdr:col>
      <xdr:colOff>444500</xdr:colOff>
      <xdr:row>8</xdr:row>
      <xdr:rowOff>190500</xdr:rowOff>
    </xdr:from>
    <xdr:ext cx="431800" cy="325966"/>
    <xdr:pic>
      <xdr:nvPicPr>
        <xdr:cNvPr id="9" name="Picture 8">
          <a:extLst>
            <a:ext uri="{FF2B5EF4-FFF2-40B4-BE49-F238E27FC236}">
              <a16:creationId xmlns:a16="http://schemas.microsoft.com/office/drawing/2014/main" id="{CBDC8621-800A-0646-927C-62B869B835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25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12</xdr:col>
      <xdr:colOff>203174</xdr:colOff>
      <xdr:row>8</xdr:row>
      <xdr:rowOff>21816</xdr:rowOff>
    </xdr:from>
    <xdr:to>
      <xdr:col>12</xdr:col>
      <xdr:colOff>473080</xdr:colOff>
      <xdr:row>8</xdr:row>
      <xdr:rowOff>223048</xdr:rowOff>
    </xdr:to>
    <xdr:sp macro="" textlink="">
      <xdr:nvSpPr>
        <xdr:cNvPr id="10" name="Rectangle 9">
          <a:extLst>
            <a:ext uri="{FF2B5EF4-FFF2-40B4-BE49-F238E27FC236}">
              <a16:creationId xmlns:a16="http://schemas.microsoft.com/office/drawing/2014/main" id="{1481F711-DC82-7949-8135-107340972299}"/>
            </a:ext>
          </a:extLst>
        </xdr:cNvPr>
        <xdr:cNvSpPr/>
      </xdr:nvSpPr>
      <xdr:spPr>
        <a:xfrm>
          <a:off x="8585174" y="1647416"/>
          <a:ext cx="269906" cy="1758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12</xdr:col>
      <xdr:colOff>204078</xdr:colOff>
      <xdr:row>7</xdr:row>
      <xdr:rowOff>13946</xdr:rowOff>
    </xdr:from>
    <xdr:to>
      <xdr:col>12</xdr:col>
      <xdr:colOff>475784</xdr:colOff>
      <xdr:row>7</xdr:row>
      <xdr:rowOff>232310</xdr:rowOff>
    </xdr:to>
    <xdr:sp macro="" textlink="">
      <xdr:nvSpPr>
        <xdr:cNvPr id="11" name="Rectangle 10">
          <a:extLst>
            <a:ext uri="{FF2B5EF4-FFF2-40B4-BE49-F238E27FC236}">
              <a16:creationId xmlns:a16="http://schemas.microsoft.com/office/drawing/2014/main" id="{B9E9AC17-998F-5342-9F43-380F25134BA7}"/>
            </a:ext>
          </a:extLst>
        </xdr:cNvPr>
        <xdr:cNvSpPr/>
      </xdr:nvSpPr>
      <xdr:spPr>
        <a:xfrm>
          <a:off x="8586078" y="1436346"/>
          <a:ext cx="271706" cy="19296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493707</xdr:colOff>
      <xdr:row>8</xdr:row>
      <xdr:rowOff>41327</xdr:rowOff>
    </xdr:from>
    <xdr:to>
      <xdr:col>14</xdr:col>
      <xdr:colOff>786835</xdr:colOff>
      <xdr:row>9</xdr:row>
      <xdr:rowOff>23141</xdr:rowOff>
    </xdr:to>
    <xdr:sp macro="" textlink="">
      <xdr:nvSpPr>
        <xdr:cNvPr id="12" name="Rectangle 11">
          <a:extLst>
            <a:ext uri="{FF2B5EF4-FFF2-40B4-BE49-F238E27FC236}">
              <a16:creationId xmlns:a16="http://schemas.microsoft.com/office/drawing/2014/main" id="{09135EF2-A594-C547-8EC2-D8BB1AA75506}"/>
            </a:ext>
          </a:extLst>
        </xdr:cNvPr>
        <xdr:cNvSpPr/>
      </xdr:nvSpPr>
      <xdr:spPr>
        <a:xfrm>
          <a:off x="10272707" y="1666927"/>
          <a:ext cx="204228" cy="18501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484326</xdr:colOff>
      <xdr:row>7</xdr:row>
      <xdr:rowOff>61082</xdr:rowOff>
    </xdr:from>
    <xdr:to>
      <xdr:col>14</xdr:col>
      <xdr:colOff>779466</xdr:colOff>
      <xdr:row>8</xdr:row>
      <xdr:rowOff>905</xdr:rowOff>
    </xdr:to>
    <xdr:sp macro="" textlink="">
      <xdr:nvSpPr>
        <xdr:cNvPr id="13" name="Rectangle 12">
          <a:extLst>
            <a:ext uri="{FF2B5EF4-FFF2-40B4-BE49-F238E27FC236}">
              <a16:creationId xmlns:a16="http://schemas.microsoft.com/office/drawing/2014/main" id="{AF760681-7370-CB49-9BA4-CA40DAD03682}"/>
            </a:ext>
          </a:extLst>
        </xdr:cNvPr>
        <xdr:cNvSpPr/>
      </xdr:nvSpPr>
      <xdr:spPr>
        <a:xfrm>
          <a:off x="10263326" y="1483482"/>
          <a:ext cx="218940" cy="14302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12</xdr:col>
      <xdr:colOff>173105</xdr:colOff>
      <xdr:row>9</xdr:row>
      <xdr:rowOff>6345</xdr:rowOff>
    </xdr:from>
    <xdr:to>
      <xdr:col>12</xdr:col>
      <xdr:colOff>468245</xdr:colOff>
      <xdr:row>9</xdr:row>
      <xdr:rowOff>207577</xdr:rowOff>
    </xdr:to>
    <xdr:sp macro="" textlink="">
      <xdr:nvSpPr>
        <xdr:cNvPr id="14" name="Rectangle 13">
          <a:extLst>
            <a:ext uri="{FF2B5EF4-FFF2-40B4-BE49-F238E27FC236}">
              <a16:creationId xmlns:a16="http://schemas.microsoft.com/office/drawing/2014/main" id="{37269345-5F07-0246-B36C-942F10282EA4}"/>
            </a:ext>
          </a:extLst>
        </xdr:cNvPr>
        <xdr:cNvSpPr/>
      </xdr:nvSpPr>
      <xdr:spPr>
        <a:xfrm>
          <a:off x="8555105" y="1835145"/>
          <a:ext cx="295140"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12</xdr:col>
      <xdr:colOff>114300</xdr:colOff>
      <xdr:row>6</xdr:row>
      <xdr:rowOff>165100</xdr:rowOff>
    </xdr:from>
    <xdr:ext cx="431800" cy="313267"/>
    <xdr:pic>
      <xdr:nvPicPr>
        <xdr:cNvPr id="15" name="Picture 8">
          <a:extLst>
            <a:ext uri="{FF2B5EF4-FFF2-40B4-BE49-F238E27FC236}">
              <a16:creationId xmlns:a16="http://schemas.microsoft.com/office/drawing/2014/main" id="{6B55CEF0-E62A-1D45-BC32-4827602338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1384300"/>
          <a:ext cx="431800" cy="3132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16" name="Rectangle 15">
          <a:extLst>
            <a:ext uri="{FF2B5EF4-FFF2-40B4-BE49-F238E27FC236}">
              <a16:creationId xmlns:a16="http://schemas.microsoft.com/office/drawing/2014/main" id="{61F282B0-E567-1141-8066-FA085D55FAEE}"/>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oneCellAnchor>
    <xdr:from>
      <xdr:col>14</xdr:col>
      <xdr:colOff>444500</xdr:colOff>
      <xdr:row>8</xdr:row>
      <xdr:rowOff>190500</xdr:rowOff>
    </xdr:from>
    <xdr:ext cx="431800" cy="325966"/>
    <xdr:pic>
      <xdr:nvPicPr>
        <xdr:cNvPr id="17" name="Picture 8">
          <a:extLst>
            <a:ext uri="{FF2B5EF4-FFF2-40B4-BE49-F238E27FC236}">
              <a16:creationId xmlns:a16="http://schemas.microsoft.com/office/drawing/2014/main" id="{FFC2915D-0C43-CB46-8AFF-6FBC17ACA93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25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12</xdr:col>
      <xdr:colOff>203174</xdr:colOff>
      <xdr:row>8</xdr:row>
      <xdr:rowOff>21816</xdr:rowOff>
    </xdr:from>
    <xdr:to>
      <xdr:col>12</xdr:col>
      <xdr:colOff>473080</xdr:colOff>
      <xdr:row>8</xdr:row>
      <xdr:rowOff>223048</xdr:rowOff>
    </xdr:to>
    <xdr:sp macro="" textlink="">
      <xdr:nvSpPr>
        <xdr:cNvPr id="18" name="Rectangle 17">
          <a:extLst>
            <a:ext uri="{FF2B5EF4-FFF2-40B4-BE49-F238E27FC236}">
              <a16:creationId xmlns:a16="http://schemas.microsoft.com/office/drawing/2014/main" id="{4CA7ABD9-C8F8-8E4F-8C1D-D0E3C18E2AAB}"/>
            </a:ext>
          </a:extLst>
        </xdr:cNvPr>
        <xdr:cNvSpPr/>
      </xdr:nvSpPr>
      <xdr:spPr>
        <a:xfrm>
          <a:off x="8585174" y="1647416"/>
          <a:ext cx="269906" cy="1758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12</xdr:col>
      <xdr:colOff>204078</xdr:colOff>
      <xdr:row>7</xdr:row>
      <xdr:rowOff>13946</xdr:rowOff>
    </xdr:from>
    <xdr:to>
      <xdr:col>12</xdr:col>
      <xdr:colOff>475784</xdr:colOff>
      <xdr:row>7</xdr:row>
      <xdr:rowOff>232310</xdr:rowOff>
    </xdr:to>
    <xdr:sp macro="" textlink="">
      <xdr:nvSpPr>
        <xdr:cNvPr id="19" name="Rectangle 18">
          <a:extLst>
            <a:ext uri="{FF2B5EF4-FFF2-40B4-BE49-F238E27FC236}">
              <a16:creationId xmlns:a16="http://schemas.microsoft.com/office/drawing/2014/main" id="{C736DBD1-9653-ED4D-AEF6-2779518D0AB6}"/>
            </a:ext>
          </a:extLst>
        </xdr:cNvPr>
        <xdr:cNvSpPr/>
      </xdr:nvSpPr>
      <xdr:spPr>
        <a:xfrm>
          <a:off x="8586078" y="1436346"/>
          <a:ext cx="271706" cy="19296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493707</xdr:colOff>
      <xdr:row>8</xdr:row>
      <xdr:rowOff>41327</xdr:rowOff>
    </xdr:from>
    <xdr:to>
      <xdr:col>14</xdr:col>
      <xdr:colOff>786835</xdr:colOff>
      <xdr:row>9</xdr:row>
      <xdr:rowOff>23141</xdr:rowOff>
    </xdr:to>
    <xdr:sp macro="" textlink="">
      <xdr:nvSpPr>
        <xdr:cNvPr id="20" name="Rectangle 19">
          <a:extLst>
            <a:ext uri="{FF2B5EF4-FFF2-40B4-BE49-F238E27FC236}">
              <a16:creationId xmlns:a16="http://schemas.microsoft.com/office/drawing/2014/main" id="{E0BEEE38-F0D6-6546-A75D-5654615DACF7}"/>
            </a:ext>
          </a:extLst>
        </xdr:cNvPr>
        <xdr:cNvSpPr/>
      </xdr:nvSpPr>
      <xdr:spPr>
        <a:xfrm>
          <a:off x="10272707" y="1666927"/>
          <a:ext cx="204228" cy="18501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484326</xdr:colOff>
      <xdr:row>7</xdr:row>
      <xdr:rowOff>61082</xdr:rowOff>
    </xdr:from>
    <xdr:to>
      <xdr:col>14</xdr:col>
      <xdr:colOff>779466</xdr:colOff>
      <xdr:row>8</xdr:row>
      <xdr:rowOff>905</xdr:rowOff>
    </xdr:to>
    <xdr:sp macro="" textlink="">
      <xdr:nvSpPr>
        <xdr:cNvPr id="21" name="Rectangle 20">
          <a:extLst>
            <a:ext uri="{FF2B5EF4-FFF2-40B4-BE49-F238E27FC236}">
              <a16:creationId xmlns:a16="http://schemas.microsoft.com/office/drawing/2014/main" id="{F7B81A50-277B-3B48-A0C3-EC39C878A9EB}"/>
            </a:ext>
          </a:extLst>
        </xdr:cNvPr>
        <xdr:cNvSpPr/>
      </xdr:nvSpPr>
      <xdr:spPr>
        <a:xfrm>
          <a:off x="10263326" y="1483482"/>
          <a:ext cx="218940" cy="14302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12</xdr:col>
      <xdr:colOff>173105</xdr:colOff>
      <xdr:row>9</xdr:row>
      <xdr:rowOff>6345</xdr:rowOff>
    </xdr:from>
    <xdr:to>
      <xdr:col>12</xdr:col>
      <xdr:colOff>468245</xdr:colOff>
      <xdr:row>9</xdr:row>
      <xdr:rowOff>207577</xdr:rowOff>
    </xdr:to>
    <xdr:sp macro="" textlink="">
      <xdr:nvSpPr>
        <xdr:cNvPr id="22" name="Rectangle 21">
          <a:extLst>
            <a:ext uri="{FF2B5EF4-FFF2-40B4-BE49-F238E27FC236}">
              <a16:creationId xmlns:a16="http://schemas.microsoft.com/office/drawing/2014/main" id="{05D675BE-35CA-0B48-A856-DEC47DF36FC4}"/>
            </a:ext>
          </a:extLst>
        </xdr:cNvPr>
        <xdr:cNvSpPr/>
      </xdr:nvSpPr>
      <xdr:spPr>
        <a:xfrm>
          <a:off x="8555105" y="1835145"/>
          <a:ext cx="295140"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12</xdr:col>
      <xdr:colOff>88900</xdr:colOff>
      <xdr:row>8</xdr:row>
      <xdr:rowOff>139700</xdr:rowOff>
    </xdr:from>
    <xdr:ext cx="419100" cy="325966"/>
    <xdr:pic>
      <xdr:nvPicPr>
        <xdr:cNvPr id="23" name="Picture 8">
          <a:extLst>
            <a:ext uri="{FF2B5EF4-FFF2-40B4-BE49-F238E27FC236}">
              <a16:creationId xmlns:a16="http://schemas.microsoft.com/office/drawing/2014/main" id="{EC73EADE-B883-1344-BFB3-EF99E23F27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0900" y="1765300"/>
          <a:ext cx="419100" cy="325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24" name="Rectangle 23">
          <a:extLst>
            <a:ext uri="{FF2B5EF4-FFF2-40B4-BE49-F238E27FC236}">
              <a16:creationId xmlns:a16="http://schemas.microsoft.com/office/drawing/2014/main" id="{ADC1C0B1-F42E-A842-8C79-DBC4D6988B22}"/>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oneCellAnchor>
    <xdr:from>
      <xdr:col>14</xdr:col>
      <xdr:colOff>444500</xdr:colOff>
      <xdr:row>8</xdr:row>
      <xdr:rowOff>190500</xdr:rowOff>
    </xdr:from>
    <xdr:ext cx="431800" cy="325966"/>
    <xdr:pic>
      <xdr:nvPicPr>
        <xdr:cNvPr id="25" name="Picture 8">
          <a:extLst>
            <a:ext uri="{FF2B5EF4-FFF2-40B4-BE49-F238E27FC236}">
              <a16:creationId xmlns:a16="http://schemas.microsoft.com/office/drawing/2014/main" id="{396FE755-F3A7-734E-B32F-583E505FF2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25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twoCellAnchor>
    <xdr:from>
      <xdr:col>12</xdr:col>
      <xdr:colOff>190474</xdr:colOff>
      <xdr:row>8</xdr:row>
      <xdr:rowOff>9116</xdr:rowOff>
    </xdr:from>
    <xdr:to>
      <xdr:col>12</xdr:col>
      <xdr:colOff>474585</xdr:colOff>
      <xdr:row>8</xdr:row>
      <xdr:rowOff>223763</xdr:rowOff>
    </xdr:to>
    <xdr:sp macro="" textlink="">
      <xdr:nvSpPr>
        <xdr:cNvPr id="2" name="Rectangle 1">
          <a:extLst>
            <a:ext uri="{FF2B5EF4-FFF2-40B4-BE49-F238E27FC236}">
              <a16:creationId xmlns:a16="http://schemas.microsoft.com/office/drawing/2014/main" id="{BFCFCC09-2DD2-5144-BA2B-292EA845A784}"/>
            </a:ext>
          </a:extLst>
        </xdr:cNvPr>
        <xdr:cNvSpPr/>
      </xdr:nvSpPr>
      <xdr:spPr>
        <a:xfrm>
          <a:off x="8572474" y="1634716"/>
          <a:ext cx="284111" cy="189247"/>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12</xdr:col>
      <xdr:colOff>204078</xdr:colOff>
      <xdr:row>7</xdr:row>
      <xdr:rowOff>26646</xdr:rowOff>
    </xdr:from>
    <xdr:to>
      <xdr:col>12</xdr:col>
      <xdr:colOff>475784</xdr:colOff>
      <xdr:row>7</xdr:row>
      <xdr:rowOff>231362</xdr:rowOff>
    </xdr:to>
    <xdr:sp macro="" textlink="">
      <xdr:nvSpPr>
        <xdr:cNvPr id="3" name="Rectangle 2">
          <a:extLst>
            <a:ext uri="{FF2B5EF4-FFF2-40B4-BE49-F238E27FC236}">
              <a16:creationId xmlns:a16="http://schemas.microsoft.com/office/drawing/2014/main" id="{A98FE347-9154-584D-A08F-9CFF8188B80C}"/>
            </a:ext>
          </a:extLst>
        </xdr:cNvPr>
        <xdr:cNvSpPr/>
      </xdr:nvSpPr>
      <xdr:spPr>
        <a:xfrm>
          <a:off x="8586078" y="1449046"/>
          <a:ext cx="271706" cy="179316"/>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493707</xdr:colOff>
      <xdr:row>8</xdr:row>
      <xdr:rowOff>41327</xdr:rowOff>
    </xdr:from>
    <xdr:to>
      <xdr:col>14</xdr:col>
      <xdr:colOff>786835</xdr:colOff>
      <xdr:row>8</xdr:row>
      <xdr:rowOff>242559</xdr:rowOff>
    </xdr:to>
    <xdr:sp macro="" textlink="">
      <xdr:nvSpPr>
        <xdr:cNvPr id="4" name="Rectangle 3">
          <a:extLst>
            <a:ext uri="{FF2B5EF4-FFF2-40B4-BE49-F238E27FC236}">
              <a16:creationId xmlns:a16="http://schemas.microsoft.com/office/drawing/2014/main" id="{203F0FCC-704D-8548-A0CD-FC93E6F1E0F2}"/>
            </a:ext>
          </a:extLst>
        </xdr:cNvPr>
        <xdr:cNvSpPr/>
      </xdr:nvSpPr>
      <xdr:spPr>
        <a:xfrm>
          <a:off x="10272707" y="1666927"/>
          <a:ext cx="204228" cy="1631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484326</xdr:colOff>
      <xdr:row>7</xdr:row>
      <xdr:rowOff>61082</xdr:rowOff>
    </xdr:from>
    <xdr:to>
      <xdr:col>14</xdr:col>
      <xdr:colOff>779466</xdr:colOff>
      <xdr:row>7</xdr:row>
      <xdr:rowOff>233739</xdr:rowOff>
    </xdr:to>
    <xdr:sp macro="" textlink="">
      <xdr:nvSpPr>
        <xdr:cNvPr id="5" name="Rectangle 4">
          <a:extLst>
            <a:ext uri="{FF2B5EF4-FFF2-40B4-BE49-F238E27FC236}">
              <a16:creationId xmlns:a16="http://schemas.microsoft.com/office/drawing/2014/main" id="{DAB476D5-A87A-4C4C-AF6B-2F4F000389D5}"/>
            </a:ext>
          </a:extLst>
        </xdr:cNvPr>
        <xdr:cNvSpPr/>
      </xdr:nvSpPr>
      <xdr:spPr>
        <a:xfrm>
          <a:off x="10263326" y="1483482"/>
          <a:ext cx="218940" cy="1472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12</xdr:col>
      <xdr:colOff>173105</xdr:colOff>
      <xdr:row>9</xdr:row>
      <xdr:rowOff>6345</xdr:rowOff>
    </xdr:from>
    <xdr:to>
      <xdr:col>12</xdr:col>
      <xdr:colOff>453488</xdr:colOff>
      <xdr:row>9</xdr:row>
      <xdr:rowOff>207577</xdr:rowOff>
    </xdr:to>
    <xdr:sp macro="" textlink="">
      <xdr:nvSpPr>
        <xdr:cNvPr id="6" name="Rectangle 5">
          <a:extLst>
            <a:ext uri="{FF2B5EF4-FFF2-40B4-BE49-F238E27FC236}">
              <a16:creationId xmlns:a16="http://schemas.microsoft.com/office/drawing/2014/main" id="{561A07E0-26C0-494D-98E1-F9F411BA4BB1}"/>
            </a:ext>
          </a:extLst>
        </xdr:cNvPr>
        <xdr:cNvSpPr/>
      </xdr:nvSpPr>
      <xdr:spPr>
        <a:xfrm>
          <a:off x="8555105" y="1835145"/>
          <a:ext cx="280383"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oneCellAnchor>
    <xdr:from>
      <xdr:col>12</xdr:col>
      <xdr:colOff>114300</xdr:colOff>
      <xdr:row>6</xdr:row>
      <xdr:rowOff>165100</xdr:rowOff>
    </xdr:from>
    <xdr:ext cx="431800" cy="334724"/>
    <xdr:pic>
      <xdr:nvPicPr>
        <xdr:cNvPr id="7" name="Picture 8">
          <a:extLst>
            <a:ext uri="{FF2B5EF4-FFF2-40B4-BE49-F238E27FC236}">
              <a16:creationId xmlns:a16="http://schemas.microsoft.com/office/drawing/2014/main" id="{282B77FA-7C95-AA42-B945-EBF44DAD6D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1384300"/>
          <a:ext cx="431800" cy="3347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8" name="Rectangle 7">
          <a:extLst>
            <a:ext uri="{FF2B5EF4-FFF2-40B4-BE49-F238E27FC236}">
              <a16:creationId xmlns:a16="http://schemas.microsoft.com/office/drawing/2014/main" id="{C4D4165A-85F8-064B-9F11-47A715824C32}"/>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oneCellAnchor>
    <xdr:from>
      <xdr:col>14</xdr:col>
      <xdr:colOff>444500</xdr:colOff>
      <xdr:row>8</xdr:row>
      <xdr:rowOff>190500</xdr:rowOff>
    </xdr:from>
    <xdr:ext cx="431800" cy="347423"/>
    <xdr:pic>
      <xdr:nvPicPr>
        <xdr:cNvPr id="9" name="Picture 8">
          <a:extLst>
            <a:ext uri="{FF2B5EF4-FFF2-40B4-BE49-F238E27FC236}">
              <a16:creationId xmlns:a16="http://schemas.microsoft.com/office/drawing/2014/main" id="{1941DA76-238F-934F-9F70-9398698228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4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12</xdr:col>
      <xdr:colOff>190474</xdr:colOff>
      <xdr:row>8</xdr:row>
      <xdr:rowOff>9116</xdr:rowOff>
    </xdr:from>
    <xdr:to>
      <xdr:col>12</xdr:col>
      <xdr:colOff>474585</xdr:colOff>
      <xdr:row>8</xdr:row>
      <xdr:rowOff>223763</xdr:rowOff>
    </xdr:to>
    <xdr:sp macro="" textlink="">
      <xdr:nvSpPr>
        <xdr:cNvPr id="10" name="Rectangle 9">
          <a:extLst>
            <a:ext uri="{FF2B5EF4-FFF2-40B4-BE49-F238E27FC236}">
              <a16:creationId xmlns:a16="http://schemas.microsoft.com/office/drawing/2014/main" id="{1C70C2D6-3D0F-7A49-A5C6-E4FB5845139F}"/>
            </a:ext>
          </a:extLst>
        </xdr:cNvPr>
        <xdr:cNvSpPr/>
      </xdr:nvSpPr>
      <xdr:spPr>
        <a:xfrm>
          <a:off x="8572474" y="1634716"/>
          <a:ext cx="284111" cy="189247"/>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12</xdr:col>
      <xdr:colOff>204078</xdr:colOff>
      <xdr:row>7</xdr:row>
      <xdr:rowOff>26646</xdr:rowOff>
    </xdr:from>
    <xdr:to>
      <xdr:col>12</xdr:col>
      <xdr:colOff>475784</xdr:colOff>
      <xdr:row>7</xdr:row>
      <xdr:rowOff>231362</xdr:rowOff>
    </xdr:to>
    <xdr:sp macro="" textlink="">
      <xdr:nvSpPr>
        <xdr:cNvPr id="11" name="Rectangle 10">
          <a:extLst>
            <a:ext uri="{FF2B5EF4-FFF2-40B4-BE49-F238E27FC236}">
              <a16:creationId xmlns:a16="http://schemas.microsoft.com/office/drawing/2014/main" id="{B42ED3C3-42C6-7142-9AB6-5A182F0BBDE6}"/>
            </a:ext>
          </a:extLst>
        </xdr:cNvPr>
        <xdr:cNvSpPr/>
      </xdr:nvSpPr>
      <xdr:spPr>
        <a:xfrm>
          <a:off x="8586078" y="1449046"/>
          <a:ext cx="271706" cy="179316"/>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493707</xdr:colOff>
      <xdr:row>8</xdr:row>
      <xdr:rowOff>41327</xdr:rowOff>
    </xdr:from>
    <xdr:to>
      <xdr:col>14</xdr:col>
      <xdr:colOff>786835</xdr:colOff>
      <xdr:row>8</xdr:row>
      <xdr:rowOff>242559</xdr:rowOff>
    </xdr:to>
    <xdr:sp macro="" textlink="">
      <xdr:nvSpPr>
        <xdr:cNvPr id="12" name="Rectangle 11">
          <a:extLst>
            <a:ext uri="{FF2B5EF4-FFF2-40B4-BE49-F238E27FC236}">
              <a16:creationId xmlns:a16="http://schemas.microsoft.com/office/drawing/2014/main" id="{6354FA40-5784-6141-897A-CA29E8746A33}"/>
            </a:ext>
          </a:extLst>
        </xdr:cNvPr>
        <xdr:cNvSpPr/>
      </xdr:nvSpPr>
      <xdr:spPr>
        <a:xfrm>
          <a:off x="10272707" y="1666927"/>
          <a:ext cx="204228" cy="1631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484326</xdr:colOff>
      <xdr:row>7</xdr:row>
      <xdr:rowOff>61082</xdr:rowOff>
    </xdr:from>
    <xdr:to>
      <xdr:col>14</xdr:col>
      <xdr:colOff>779466</xdr:colOff>
      <xdr:row>7</xdr:row>
      <xdr:rowOff>233739</xdr:rowOff>
    </xdr:to>
    <xdr:sp macro="" textlink="">
      <xdr:nvSpPr>
        <xdr:cNvPr id="13" name="Rectangle 12">
          <a:extLst>
            <a:ext uri="{FF2B5EF4-FFF2-40B4-BE49-F238E27FC236}">
              <a16:creationId xmlns:a16="http://schemas.microsoft.com/office/drawing/2014/main" id="{91152F9D-B929-264A-B96B-297C530A4C76}"/>
            </a:ext>
          </a:extLst>
        </xdr:cNvPr>
        <xdr:cNvSpPr/>
      </xdr:nvSpPr>
      <xdr:spPr>
        <a:xfrm>
          <a:off x="10263326" y="1483482"/>
          <a:ext cx="218940" cy="1472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12</xdr:col>
      <xdr:colOff>173105</xdr:colOff>
      <xdr:row>9</xdr:row>
      <xdr:rowOff>6345</xdr:rowOff>
    </xdr:from>
    <xdr:to>
      <xdr:col>12</xdr:col>
      <xdr:colOff>453488</xdr:colOff>
      <xdr:row>9</xdr:row>
      <xdr:rowOff>207577</xdr:rowOff>
    </xdr:to>
    <xdr:sp macro="" textlink="">
      <xdr:nvSpPr>
        <xdr:cNvPr id="14" name="Rectangle 13">
          <a:extLst>
            <a:ext uri="{FF2B5EF4-FFF2-40B4-BE49-F238E27FC236}">
              <a16:creationId xmlns:a16="http://schemas.microsoft.com/office/drawing/2014/main" id="{4D87FE63-7971-6042-91FF-211B7F96F5EE}"/>
            </a:ext>
          </a:extLst>
        </xdr:cNvPr>
        <xdr:cNvSpPr/>
      </xdr:nvSpPr>
      <xdr:spPr>
        <a:xfrm>
          <a:off x="8555105" y="1835145"/>
          <a:ext cx="280383"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oneCellAnchor>
    <xdr:from>
      <xdr:col>12</xdr:col>
      <xdr:colOff>114300</xdr:colOff>
      <xdr:row>6</xdr:row>
      <xdr:rowOff>165100</xdr:rowOff>
    </xdr:from>
    <xdr:ext cx="431800" cy="334724"/>
    <xdr:pic>
      <xdr:nvPicPr>
        <xdr:cNvPr id="15" name="Picture 8">
          <a:extLst>
            <a:ext uri="{FF2B5EF4-FFF2-40B4-BE49-F238E27FC236}">
              <a16:creationId xmlns:a16="http://schemas.microsoft.com/office/drawing/2014/main" id="{83A1044F-D21A-8D40-9240-FF8F61CD5B1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1384300"/>
          <a:ext cx="431800" cy="3347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16" name="Rectangle 15">
          <a:extLst>
            <a:ext uri="{FF2B5EF4-FFF2-40B4-BE49-F238E27FC236}">
              <a16:creationId xmlns:a16="http://schemas.microsoft.com/office/drawing/2014/main" id="{C6872F96-48AE-CA49-A46B-8FCB7566F96B}"/>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oneCellAnchor>
    <xdr:from>
      <xdr:col>14</xdr:col>
      <xdr:colOff>444500</xdr:colOff>
      <xdr:row>8</xdr:row>
      <xdr:rowOff>190500</xdr:rowOff>
    </xdr:from>
    <xdr:ext cx="431800" cy="347423"/>
    <xdr:pic>
      <xdr:nvPicPr>
        <xdr:cNvPr id="17" name="Picture 8">
          <a:extLst>
            <a:ext uri="{FF2B5EF4-FFF2-40B4-BE49-F238E27FC236}">
              <a16:creationId xmlns:a16="http://schemas.microsoft.com/office/drawing/2014/main" id="{64DECD81-9C60-CC4D-A278-FFDFEDE682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4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12</xdr:col>
      <xdr:colOff>190474</xdr:colOff>
      <xdr:row>8</xdr:row>
      <xdr:rowOff>9116</xdr:rowOff>
    </xdr:from>
    <xdr:to>
      <xdr:col>12</xdr:col>
      <xdr:colOff>474585</xdr:colOff>
      <xdr:row>8</xdr:row>
      <xdr:rowOff>223763</xdr:rowOff>
    </xdr:to>
    <xdr:sp macro="" textlink="">
      <xdr:nvSpPr>
        <xdr:cNvPr id="18" name="Rectangle 17">
          <a:extLst>
            <a:ext uri="{FF2B5EF4-FFF2-40B4-BE49-F238E27FC236}">
              <a16:creationId xmlns:a16="http://schemas.microsoft.com/office/drawing/2014/main" id="{8E77C90C-6110-FB40-A465-71D277376DF4}"/>
            </a:ext>
          </a:extLst>
        </xdr:cNvPr>
        <xdr:cNvSpPr/>
      </xdr:nvSpPr>
      <xdr:spPr>
        <a:xfrm>
          <a:off x="8572474" y="1634716"/>
          <a:ext cx="284111" cy="189247"/>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12</xdr:col>
      <xdr:colOff>204078</xdr:colOff>
      <xdr:row>7</xdr:row>
      <xdr:rowOff>26646</xdr:rowOff>
    </xdr:from>
    <xdr:to>
      <xdr:col>12</xdr:col>
      <xdr:colOff>475784</xdr:colOff>
      <xdr:row>7</xdr:row>
      <xdr:rowOff>231362</xdr:rowOff>
    </xdr:to>
    <xdr:sp macro="" textlink="">
      <xdr:nvSpPr>
        <xdr:cNvPr id="19" name="Rectangle 18">
          <a:extLst>
            <a:ext uri="{FF2B5EF4-FFF2-40B4-BE49-F238E27FC236}">
              <a16:creationId xmlns:a16="http://schemas.microsoft.com/office/drawing/2014/main" id="{54173782-B7F7-FF49-94AA-F43498FF13F9}"/>
            </a:ext>
          </a:extLst>
        </xdr:cNvPr>
        <xdr:cNvSpPr/>
      </xdr:nvSpPr>
      <xdr:spPr>
        <a:xfrm>
          <a:off x="8586078" y="1449046"/>
          <a:ext cx="271706" cy="179316"/>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493707</xdr:colOff>
      <xdr:row>8</xdr:row>
      <xdr:rowOff>41327</xdr:rowOff>
    </xdr:from>
    <xdr:to>
      <xdr:col>14</xdr:col>
      <xdr:colOff>786835</xdr:colOff>
      <xdr:row>8</xdr:row>
      <xdr:rowOff>242559</xdr:rowOff>
    </xdr:to>
    <xdr:sp macro="" textlink="">
      <xdr:nvSpPr>
        <xdr:cNvPr id="20" name="Rectangle 19">
          <a:extLst>
            <a:ext uri="{FF2B5EF4-FFF2-40B4-BE49-F238E27FC236}">
              <a16:creationId xmlns:a16="http://schemas.microsoft.com/office/drawing/2014/main" id="{171059A4-D83D-EE40-ABC9-98073A2E9DE5}"/>
            </a:ext>
          </a:extLst>
        </xdr:cNvPr>
        <xdr:cNvSpPr/>
      </xdr:nvSpPr>
      <xdr:spPr>
        <a:xfrm>
          <a:off x="10272707" y="1666927"/>
          <a:ext cx="204228" cy="1631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484326</xdr:colOff>
      <xdr:row>7</xdr:row>
      <xdr:rowOff>61082</xdr:rowOff>
    </xdr:from>
    <xdr:to>
      <xdr:col>14</xdr:col>
      <xdr:colOff>779466</xdr:colOff>
      <xdr:row>7</xdr:row>
      <xdr:rowOff>233739</xdr:rowOff>
    </xdr:to>
    <xdr:sp macro="" textlink="">
      <xdr:nvSpPr>
        <xdr:cNvPr id="21" name="Rectangle 20">
          <a:extLst>
            <a:ext uri="{FF2B5EF4-FFF2-40B4-BE49-F238E27FC236}">
              <a16:creationId xmlns:a16="http://schemas.microsoft.com/office/drawing/2014/main" id="{BBEBF1D1-3B17-9743-A278-7C63FC35861C}"/>
            </a:ext>
          </a:extLst>
        </xdr:cNvPr>
        <xdr:cNvSpPr/>
      </xdr:nvSpPr>
      <xdr:spPr>
        <a:xfrm>
          <a:off x="10263326" y="1483482"/>
          <a:ext cx="218940" cy="1472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12</xdr:col>
      <xdr:colOff>173105</xdr:colOff>
      <xdr:row>9</xdr:row>
      <xdr:rowOff>6345</xdr:rowOff>
    </xdr:from>
    <xdr:to>
      <xdr:col>12</xdr:col>
      <xdr:colOff>453488</xdr:colOff>
      <xdr:row>9</xdr:row>
      <xdr:rowOff>207577</xdr:rowOff>
    </xdr:to>
    <xdr:sp macro="" textlink="">
      <xdr:nvSpPr>
        <xdr:cNvPr id="22" name="Rectangle 21">
          <a:extLst>
            <a:ext uri="{FF2B5EF4-FFF2-40B4-BE49-F238E27FC236}">
              <a16:creationId xmlns:a16="http://schemas.microsoft.com/office/drawing/2014/main" id="{05DE5EEB-A421-7F46-B5AE-E5CCF586A1A6}"/>
            </a:ext>
          </a:extLst>
        </xdr:cNvPr>
        <xdr:cNvSpPr/>
      </xdr:nvSpPr>
      <xdr:spPr>
        <a:xfrm>
          <a:off x="8555105" y="1835145"/>
          <a:ext cx="280383"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oneCellAnchor>
    <xdr:from>
      <xdr:col>12</xdr:col>
      <xdr:colOff>139700</xdr:colOff>
      <xdr:row>7</xdr:row>
      <xdr:rowOff>177800</xdr:rowOff>
    </xdr:from>
    <xdr:ext cx="431800" cy="347423"/>
    <xdr:pic>
      <xdr:nvPicPr>
        <xdr:cNvPr id="23" name="Picture 8">
          <a:extLst>
            <a:ext uri="{FF2B5EF4-FFF2-40B4-BE49-F238E27FC236}">
              <a16:creationId xmlns:a16="http://schemas.microsoft.com/office/drawing/2014/main" id="{F279A927-B7DF-A447-8752-CE2650DC55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21700" y="1600200"/>
          <a:ext cx="431800" cy="34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24" name="Rectangle 23">
          <a:extLst>
            <a:ext uri="{FF2B5EF4-FFF2-40B4-BE49-F238E27FC236}">
              <a16:creationId xmlns:a16="http://schemas.microsoft.com/office/drawing/2014/main" id="{43EB209E-3F64-0A4E-B726-751FCEA40FB9}"/>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oneCellAnchor>
    <xdr:from>
      <xdr:col>14</xdr:col>
      <xdr:colOff>444500</xdr:colOff>
      <xdr:row>8</xdr:row>
      <xdr:rowOff>190500</xdr:rowOff>
    </xdr:from>
    <xdr:ext cx="431800" cy="347423"/>
    <xdr:pic>
      <xdr:nvPicPr>
        <xdr:cNvPr id="25" name="Picture 8">
          <a:extLst>
            <a:ext uri="{FF2B5EF4-FFF2-40B4-BE49-F238E27FC236}">
              <a16:creationId xmlns:a16="http://schemas.microsoft.com/office/drawing/2014/main" id="{06D9BB17-B0D1-4C4C-9919-B2BEB53B3F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4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twoCellAnchor>
    <xdr:from>
      <xdr:col>7</xdr:col>
      <xdr:colOff>62113</xdr:colOff>
      <xdr:row>6</xdr:row>
      <xdr:rowOff>202257</xdr:rowOff>
    </xdr:from>
    <xdr:to>
      <xdr:col>7</xdr:col>
      <xdr:colOff>329916</xdr:colOff>
      <xdr:row>7</xdr:row>
      <xdr:rowOff>192218</xdr:rowOff>
    </xdr:to>
    <xdr:sp macro="" textlink="">
      <xdr:nvSpPr>
        <xdr:cNvPr id="2" name="Rectangle 1">
          <a:extLst>
            <a:ext uri="{FF2B5EF4-FFF2-40B4-BE49-F238E27FC236}">
              <a16:creationId xmlns:a16="http://schemas.microsoft.com/office/drawing/2014/main" id="{C844CD89-D567-F54C-B13E-265FFD2A3D9C}"/>
            </a:ext>
          </a:extLst>
        </xdr:cNvPr>
        <xdr:cNvSpPr/>
      </xdr:nvSpPr>
      <xdr:spPr>
        <a:xfrm>
          <a:off x="6196213" y="1332557"/>
          <a:ext cx="267803" cy="193161"/>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7</xdr:col>
      <xdr:colOff>57573</xdr:colOff>
      <xdr:row>5</xdr:row>
      <xdr:rowOff>211249</xdr:rowOff>
    </xdr:from>
    <xdr:to>
      <xdr:col>7</xdr:col>
      <xdr:colOff>326570</xdr:colOff>
      <xdr:row>6</xdr:row>
      <xdr:rowOff>195942</xdr:rowOff>
    </xdr:to>
    <xdr:sp macro="" textlink="">
      <xdr:nvSpPr>
        <xdr:cNvPr id="3" name="Rectangle 2">
          <a:extLst>
            <a:ext uri="{FF2B5EF4-FFF2-40B4-BE49-F238E27FC236}">
              <a16:creationId xmlns:a16="http://schemas.microsoft.com/office/drawing/2014/main" id="{C494F5EA-1F0D-0E4B-8986-576B82F257BF}"/>
            </a:ext>
          </a:extLst>
        </xdr:cNvPr>
        <xdr:cNvSpPr/>
      </xdr:nvSpPr>
      <xdr:spPr>
        <a:xfrm>
          <a:off x="6191673" y="1138349"/>
          <a:ext cx="268997" cy="200593"/>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4" name="Rectangle 3">
          <a:extLst>
            <a:ext uri="{FF2B5EF4-FFF2-40B4-BE49-F238E27FC236}">
              <a16:creationId xmlns:a16="http://schemas.microsoft.com/office/drawing/2014/main" id="{1B026D1E-4977-D945-A803-F9FC2EDEA191}"/>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7</xdr:col>
      <xdr:colOff>60617</xdr:colOff>
      <xdr:row>7</xdr:row>
      <xdr:rowOff>206829</xdr:rowOff>
    </xdr:from>
    <xdr:to>
      <xdr:col>7</xdr:col>
      <xdr:colOff>337456</xdr:colOff>
      <xdr:row>8</xdr:row>
      <xdr:rowOff>174172</xdr:rowOff>
    </xdr:to>
    <xdr:sp macro="" textlink="">
      <xdr:nvSpPr>
        <xdr:cNvPr id="5" name="Rectangle 4">
          <a:extLst>
            <a:ext uri="{FF2B5EF4-FFF2-40B4-BE49-F238E27FC236}">
              <a16:creationId xmlns:a16="http://schemas.microsoft.com/office/drawing/2014/main" id="{E424AB88-FE7E-4946-ACEE-73DA97F6F9F5}"/>
            </a:ext>
          </a:extLst>
        </xdr:cNvPr>
        <xdr:cNvSpPr/>
      </xdr:nvSpPr>
      <xdr:spPr>
        <a:xfrm>
          <a:off x="6194717" y="1527629"/>
          <a:ext cx="276839" cy="170543"/>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r>
            <a:rPr lang="id-ID" sz="2000"/>
            <a:t>x</a:t>
          </a:r>
          <a:endParaRPr lang="en-PH"/>
        </a:p>
      </xdr:txBody>
    </xdr:sp>
    <xdr:clientData/>
  </xdr:twoCellAnchor>
  <xdr:twoCellAnchor>
    <xdr:from>
      <xdr:col>9</xdr:col>
      <xdr:colOff>424543</xdr:colOff>
      <xdr:row>8</xdr:row>
      <xdr:rowOff>0</xdr:rowOff>
    </xdr:from>
    <xdr:to>
      <xdr:col>9</xdr:col>
      <xdr:colOff>685800</xdr:colOff>
      <xdr:row>8</xdr:row>
      <xdr:rowOff>195943</xdr:rowOff>
    </xdr:to>
    <xdr:sp macro="" textlink="">
      <xdr:nvSpPr>
        <xdr:cNvPr id="6" name="Rectangle 5">
          <a:extLst>
            <a:ext uri="{FF2B5EF4-FFF2-40B4-BE49-F238E27FC236}">
              <a16:creationId xmlns:a16="http://schemas.microsoft.com/office/drawing/2014/main" id="{A3834057-57A0-194F-A02B-B436E1DAFEDD}"/>
            </a:ext>
          </a:extLst>
        </xdr:cNvPr>
        <xdr:cNvSpPr/>
      </xdr:nvSpPr>
      <xdr:spPr>
        <a:xfrm>
          <a:off x="8311243" y="1524000"/>
          <a:ext cx="261257" cy="19594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r>
            <a:rPr lang="id-ID" sz="2000">
              <a:solidFill>
                <a:schemeClr val="tx1"/>
              </a:solidFill>
            </a:rPr>
            <a:t>x</a:t>
          </a:r>
          <a:endParaRPr lang="en-PH">
            <a:solidFill>
              <a:schemeClr val="tx1"/>
            </a:solidFill>
          </a:endParaRPr>
        </a:p>
      </xdr:txBody>
    </xdr:sp>
    <xdr:clientData/>
  </xdr:twoCellAnchor>
  <xdr:twoCellAnchor>
    <xdr:from>
      <xdr:col>9</xdr:col>
      <xdr:colOff>424543</xdr:colOff>
      <xdr:row>7</xdr:row>
      <xdr:rowOff>30440</xdr:rowOff>
    </xdr:from>
    <xdr:to>
      <xdr:col>9</xdr:col>
      <xdr:colOff>690704</xdr:colOff>
      <xdr:row>8</xdr:row>
      <xdr:rowOff>21771</xdr:rowOff>
    </xdr:to>
    <xdr:sp macro="" textlink="">
      <xdr:nvSpPr>
        <xdr:cNvPr id="7" name="Rectangle 6">
          <a:extLst>
            <a:ext uri="{FF2B5EF4-FFF2-40B4-BE49-F238E27FC236}">
              <a16:creationId xmlns:a16="http://schemas.microsoft.com/office/drawing/2014/main" id="{30C5A676-30D9-3048-914B-5D5657FAD1AA}"/>
            </a:ext>
          </a:extLst>
        </xdr:cNvPr>
        <xdr:cNvSpPr/>
      </xdr:nvSpPr>
      <xdr:spPr>
        <a:xfrm>
          <a:off x="8311243" y="1363940"/>
          <a:ext cx="266161" cy="181831"/>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8" name="Rectangle 7">
          <a:extLst>
            <a:ext uri="{FF2B5EF4-FFF2-40B4-BE49-F238E27FC236}">
              <a16:creationId xmlns:a16="http://schemas.microsoft.com/office/drawing/2014/main" id="{19D5F4D3-00C0-984C-B30F-D6A0D81F4AB6}"/>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9" name="Rectangle 8">
          <a:extLst>
            <a:ext uri="{FF2B5EF4-FFF2-40B4-BE49-F238E27FC236}">
              <a16:creationId xmlns:a16="http://schemas.microsoft.com/office/drawing/2014/main" id="{F4844EB9-D7E9-6A4C-892F-23C41F31CABD}"/>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165074</xdr:colOff>
      <xdr:row>8</xdr:row>
      <xdr:rowOff>21816</xdr:rowOff>
    </xdr:from>
    <xdr:to>
      <xdr:col>11</xdr:col>
      <xdr:colOff>410443</xdr:colOff>
      <xdr:row>8</xdr:row>
      <xdr:rowOff>223048</xdr:rowOff>
    </xdr:to>
    <xdr:sp macro="" textlink="">
      <xdr:nvSpPr>
        <xdr:cNvPr id="2" name="Rectangle 1">
          <a:extLst>
            <a:ext uri="{FF2B5EF4-FFF2-40B4-BE49-F238E27FC236}">
              <a16:creationId xmlns:a16="http://schemas.microsoft.com/office/drawing/2014/main" id="{0494A6AD-4255-0340-9BA2-CD487EBCCD6B}"/>
            </a:ext>
          </a:extLst>
        </xdr:cNvPr>
        <xdr:cNvSpPr/>
      </xdr:nvSpPr>
      <xdr:spPr>
        <a:xfrm>
          <a:off x="7848574" y="1545816"/>
          <a:ext cx="245369" cy="1631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11</xdr:col>
      <xdr:colOff>178678</xdr:colOff>
      <xdr:row>7</xdr:row>
      <xdr:rowOff>26646</xdr:rowOff>
    </xdr:from>
    <xdr:to>
      <xdr:col>11</xdr:col>
      <xdr:colOff>411569</xdr:colOff>
      <xdr:row>7</xdr:row>
      <xdr:rowOff>231362</xdr:rowOff>
    </xdr:to>
    <xdr:sp macro="" textlink="">
      <xdr:nvSpPr>
        <xdr:cNvPr id="3" name="Rectangle 2">
          <a:extLst>
            <a:ext uri="{FF2B5EF4-FFF2-40B4-BE49-F238E27FC236}">
              <a16:creationId xmlns:a16="http://schemas.microsoft.com/office/drawing/2014/main" id="{E9C13E61-9019-5048-9A3D-4A95E18C48FB}"/>
            </a:ext>
          </a:extLst>
        </xdr:cNvPr>
        <xdr:cNvSpPr/>
      </xdr:nvSpPr>
      <xdr:spPr>
        <a:xfrm>
          <a:off x="7862178" y="1360146"/>
          <a:ext cx="232891" cy="166616"/>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13</xdr:col>
      <xdr:colOff>430207</xdr:colOff>
      <xdr:row>8</xdr:row>
      <xdr:rowOff>41327</xdr:rowOff>
    </xdr:from>
    <xdr:to>
      <xdr:col>13</xdr:col>
      <xdr:colOff>685101</xdr:colOff>
      <xdr:row>8</xdr:row>
      <xdr:rowOff>242559</xdr:rowOff>
    </xdr:to>
    <xdr:sp macro="" textlink="">
      <xdr:nvSpPr>
        <xdr:cNvPr id="4" name="Rectangle 3">
          <a:extLst>
            <a:ext uri="{FF2B5EF4-FFF2-40B4-BE49-F238E27FC236}">
              <a16:creationId xmlns:a16="http://schemas.microsoft.com/office/drawing/2014/main" id="{4D0B4305-1EEC-1949-A651-E27458417369}"/>
            </a:ext>
          </a:extLst>
        </xdr:cNvPr>
        <xdr:cNvSpPr/>
      </xdr:nvSpPr>
      <xdr:spPr>
        <a:xfrm>
          <a:off x="9510707" y="1565327"/>
          <a:ext cx="254894" cy="1504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13</xdr:col>
      <xdr:colOff>433526</xdr:colOff>
      <xdr:row>7</xdr:row>
      <xdr:rowOff>61082</xdr:rowOff>
    </xdr:from>
    <xdr:to>
      <xdr:col>13</xdr:col>
      <xdr:colOff>688420</xdr:colOff>
      <xdr:row>7</xdr:row>
      <xdr:rowOff>233739</xdr:rowOff>
    </xdr:to>
    <xdr:sp macro="" textlink="">
      <xdr:nvSpPr>
        <xdr:cNvPr id="5" name="Rectangle 4">
          <a:extLst>
            <a:ext uri="{FF2B5EF4-FFF2-40B4-BE49-F238E27FC236}">
              <a16:creationId xmlns:a16="http://schemas.microsoft.com/office/drawing/2014/main" id="{42D1C059-6128-834C-8A8A-64F4D90313CE}"/>
            </a:ext>
          </a:extLst>
        </xdr:cNvPr>
        <xdr:cNvSpPr/>
      </xdr:nvSpPr>
      <xdr:spPr>
        <a:xfrm>
          <a:off x="9514026" y="1394582"/>
          <a:ext cx="254894" cy="1345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11</xdr:col>
      <xdr:colOff>147705</xdr:colOff>
      <xdr:row>9</xdr:row>
      <xdr:rowOff>6345</xdr:rowOff>
    </xdr:from>
    <xdr:to>
      <xdr:col>11</xdr:col>
      <xdr:colOff>402599</xdr:colOff>
      <xdr:row>9</xdr:row>
      <xdr:rowOff>207577</xdr:rowOff>
    </xdr:to>
    <xdr:sp macro="" textlink="">
      <xdr:nvSpPr>
        <xdr:cNvPr id="6" name="Rectangle 5">
          <a:extLst>
            <a:ext uri="{FF2B5EF4-FFF2-40B4-BE49-F238E27FC236}">
              <a16:creationId xmlns:a16="http://schemas.microsoft.com/office/drawing/2014/main" id="{3EC69C42-1A4E-C545-BA54-7A5C882CAE57}"/>
            </a:ext>
          </a:extLst>
        </xdr:cNvPr>
        <xdr:cNvSpPr/>
      </xdr:nvSpPr>
      <xdr:spPr>
        <a:xfrm>
          <a:off x="7831205" y="1720845"/>
          <a:ext cx="254894" cy="1885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13</xdr:col>
      <xdr:colOff>453662</xdr:colOff>
      <xdr:row>9</xdr:row>
      <xdr:rowOff>34552</xdr:rowOff>
    </xdr:from>
    <xdr:to>
      <xdr:col>14</xdr:col>
      <xdr:colOff>17313</xdr:colOff>
      <xdr:row>9</xdr:row>
      <xdr:rowOff>235784</xdr:rowOff>
    </xdr:to>
    <xdr:sp macro="" textlink="">
      <xdr:nvSpPr>
        <xdr:cNvPr id="7" name="Rectangle 6">
          <a:extLst>
            <a:ext uri="{FF2B5EF4-FFF2-40B4-BE49-F238E27FC236}">
              <a16:creationId xmlns:a16="http://schemas.microsoft.com/office/drawing/2014/main" id="{ABD41FE4-8867-5148-AB75-411DDF19032B}"/>
            </a:ext>
          </a:extLst>
        </xdr:cNvPr>
        <xdr:cNvSpPr/>
      </xdr:nvSpPr>
      <xdr:spPr>
        <a:xfrm>
          <a:off x="9534162" y="1749052"/>
          <a:ext cx="262151" cy="15043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r>
            <a:rPr lang="en-US" sz="1600" b="1">
              <a:solidFill>
                <a:sysClr val="windowText" lastClr="000000"/>
              </a:solidFill>
            </a:rPr>
            <a:t>X</a:t>
          </a:r>
        </a:p>
      </xdr:txBody>
    </xdr:sp>
    <xdr:clientData/>
  </xdr:twoCellAnchor>
  <xdr:oneCellAnchor>
    <xdr:from>
      <xdr:col>11</xdr:col>
      <xdr:colOff>52387</xdr:colOff>
      <xdr:row>8</xdr:row>
      <xdr:rowOff>147637</xdr:rowOff>
    </xdr:from>
    <xdr:ext cx="371475" cy="333375"/>
    <xdr:pic>
      <xdr:nvPicPr>
        <xdr:cNvPr id="8" name="Picture 8">
          <a:extLst>
            <a:ext uri="{FF2B5EF4-FFF2-40B4-BE49-F238E27FC236}">
              <a16:creationId xmlns:a16="http://schemas.microsoft.com/office/drawing/2014/main" id="{305168F2-7A91-6F43-B6AE-990D9D22B5BA}"/>
            </a:ext>
          </a:extLst>
        </xdr:cNvPr>
        <xdr:cNvPicPr>
          <a:picLocks noChangeAspect="1"/>
        </xdr:cNvPicPr>
      </xdr:nvPicPr>
      <xdr:blipFill>
        <a:blip xmlns:r="http://schemas.openxmlformats.org/officeDocument/2006/relationships" r:embed="rId1" cstate="print"/>
        <a:srcRect/>
        <a:stretch>
          <a:fillRect/>
        </a:stretch>
      </xdr:blipFill>
      <xdr:spPr bwMode="auto">
        <a:xfrm>
          <a:off x="7735887" y="1671637"/>
          <a:ext cx="371475" cy="333375"/>
        </a:xfrm>
        <a:prstGeom prst="rect">
          <a:avLst/>
        </a:prstGeom>
        <a:noFill/>
        <a:ln w="9525">
          <a:noFill/>
          <a:miter lim="800000"/>
          <a:headEnd/>
          <a:tailEnd/>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R128"/>
  <sheetViews>
    <sheetView tabSelected="1" topLeftCell="A8" zoomScale="70" zoomScaleNormal="70" workbookViewId="0">
      <pane xSplit="1" ySplit="2" topLeftCell="AR88" activePane="bottomRight" state="frozen"/>
      <selection activeCell="A8" sqref="A8"/>
      <selection pane="topRight" activeCell="B8" sqref="B8"/>
      <selection pane="bottomLeft" activeCell="A10" sqref="A10"/>
      <selection pane="bottomRight" activeCell="BJ8" sqref="BJ8:BO8"/>
    </sheetView>
  </sheetViews>
  <sheetFormatPr defaultColWidth="8.85546875" defaultRowHeight="15" x14ac:dyDescent="0.25"/>
  <cols>
    <col min="1" max="1" width="19.28515625" style="1" customWidth="1"/>
    <col min="2" max="91" width="14.85546875" style="3" customWidth="1"/>
  </cols>
  <sheetData>
    <row r="1" spans="1:96" ht="15" hidden="1" customHeight="1" x14ac:dyDescent="0.25"/>
    <row r="2" spans="1:96" ht="15" hidden="1" customHeight="1" x14ac:dyDescent="0.25"/>
    <row r="3" spans="1:96" ht="15" hidden="1" customHeight="1" x14ac:dyDescent="0.25"/>
    <row r="4" spans="1:96" ht="15" hidden="1" customHeight="1" x14ac:dyDescent="0.25"/>
    <row r="5" spans="1:96" ht="15" hidden="1" customHeight="1" x14ac:dyDescent="0.25"/>
    <row r="6" spans="1:96" ht="15" hidden="1" customHeight="1" x14ac:dyDescent="0.25"/>
    <row r="7" spans="1:96" ht="15" hidden="1" customHeight="1" x14ac:dyDescent="0.25"/>
    <row r="8" spans="1:96" ht="47.25" customHeight="1" x14ac:dyDescent="0.25">
      <c r="A8" s="709"/>
      <c r="B8" s="734" t="s">
        <v>452</v>
      </c>
      <c r="C8" s="735"/>
      <c r="D8" s="735"/>
      <c r="E8" s="735"/>
      <c r="F8" s="735"/>
      <c r="G8" s="736"/>
      <c r="H8" s="734" t="s">
        <v>450</v>
      </c>
      <c r="I8" s="735"/>
      <c r="J8" s="735"/>
      <c r="K8" s="735"/>
      <c r="L8" s="735"/>
      <c r="M8" s="736"/>
      <c r="N8" s="734" t="s">
        <v>451</v>
      </c>
      <c r="O8" s="735"/>
      <c r="P8" s="735"/>
      <c r="Q8" s="735"/>
      <c r="R8" s="735"/>
      <c r="S8" s="736"/>
      <c r="T8" s="734" t="s">
        <v>449</v>
      </c>
      <c r="U8" s="735"/>
      <c r="V8" s="735"/>
      <c r="W8" s="735"/>
      <c r="X8" s="735"/>
      <c r="Y8" s="736"/>
      <c r="Z8" s="734" t="s">
        <v>439</v>
      </c>
      <c r="AA8" s="735"/>
      <c r="AB8" s="735"/>
      <c r="AC8" s="735"/>
      <c r="AD8" s="735"/>
      <c r="AE8" s="736"/>
      <c r="AF8" s="734" t="s">
        <v>440</v>
      </c>
      <c r="AG8" s="735"/>
      <c r="AH8" s="735"/>
      <c r="AI8" s="735"/>
      <c r="AJ8" s="735"/>
      <c r="AK8" s="736"/>
      <c r="AL8" s="828" t="s">
        <v>453</v>
      </c>
      <c r="AM8" s="735"/>
      <c r="AN8" s="735"/>
      <c r="AO8" s="735"/>
      <c r="AP8" s="735"/>
      <c r="AQ8" s="736"/>
      <c r="AR8" s="734" t="s">
        <v>441</v>
      </c>
      <c r="AS8" s="735"/>
      <c r="AT8" s="735"/>
      <c r="AU8" s="735"/>
      <c r="AV8" s="735"/>
      <c r="AW8" s="736"/>
      <c r="AX8" s="734" t="s">
        <v>442</v>
      </c>
      <c r="AY8" s="735"/>
      <c r="AZ8" s="735"/>
      <c r="BA8" s="735"/>
      <c r="BB8" s="735"/>
      <c r="BC8" s="736"/>
      <c r="BD8" s="734" t="s">
        <v>443</v>
      </c>
      <c r="BE8" s="735"/>
      <c r="BF8" s="735"/>
      <c r="BG8" s="735"/>
      <c r="BH8" s="735"/>
      <c r="BI8" s="736"/>
      <c r="BJ8" s="734" t="s">
        <v>444</v>
      </c>
      <c r="BK8" s="735"/>
      <c r="BL8" s="735"/>
      <c r="BM8" s="735"/>
      <c r="BN8" s="735"/>
      <c r="BO8" s="736"/>
      <c r="BP8" s="734" t="s">
        <v>445</v>
      </c>
      <c r="BQ8" s="735"/>
      <c r="BR8" s="735"/>
      <c r="BS8" s="735"/>
      <c r="BT8" s="735"/>
      <c r="BU8" s="736"/>
      <c r="BV8" s="734" t="s">
        <v>446</v>
      </c>
      <c r="BW8" s="735"/>
      <c r="BX8" s="735"/>
      <c r="BY8" s="735"/>
      <c r="BZ8" s="735"/>
      <c r="CA8" s="736"/>
      <c r="CB8" s="734" t="s">
        <v>447</v>
      </c>
      <c r="CC8" s="735"/>
      <c r="CD8" s="735"/>
      <c r="CE8" s="735"/>
      <c r="CF8" s="735"/>
      <c r="CG8" s="736"/>
      <c r="CH8" s="734" t="s">
        <v>448</v>
      </c>
      <c r="CI8" s="735"/>
      <c r="CJ8" s="735"/>
      <c r="CK8" s="735"/>
      <c r="CL8" s="735"/>
      <c r="CM8" s="736"/>
    </row>
    <row r="9" spans="1:96" s="2" customFormat="1" ht="48" customHeight="1" thickBot="1" x14ac:dyDescent="0.3">
      <c r="A9" s="710"/>
      <c r="B9" s="711" t="s">
        <v>6</v>
      </c>
      <c r="C9" s="711" t="s">
        <v>324</v>
      </c>
      <c r="D9" s="711" t="s">
        <v>325</v>
      </c>
      <c r="E9" s="711" t="s">
        <v>96</v>
      </c>
      <c r="F9" s="711" t="s">
        <v>95</v>
      </c>
      <c r="G9" s="712" t="s">
        <v>323</v>
      </c>
      <c r="H9" s="714" t="s">
        <v>6</v>
      </c>
      <c r="I9" s="714" t="s">
        <v>324</v>
      </c>
      <c r="J9" s="714" t="s">
        <v>325</v>
      </c>
      <c r="K9" s="714" t="s">
        <v>96</v>
      </c>
      <c r="L9" s="714" t="s">
        <v>95</v>
      </c>
      <c r="M9" s="712" t="s">
        <v>323</v>
      </c>
      <c r="N9" s="714" t="s">
        <v>6</v>
      </c>
      <c r="O9" s="714" t="s">
        <v>324</v>
      </c>
      <c r="P9" s="714" t="s">
        <v>325</v>
      </c>
      <c r="Q9" s="714" t="s">
        <v>96</v>
      </c>
      <c r="R9" s="714" t="s">
        <v>95</v>
      </c>
      <c r="S9" s="712" t="s">
        <v>323</v>
      </c>
      <c r="T9" s="714" t="s">
        <v>6</v>
      </c>
      <c r="U9" s="714" t="s">
        <v>324</v>
      </c>
      <c r="V9" s="714" t="s">
        <v>325</v>
      </c>
      <c r="W9" s="714" t="s">
        <v>96</v>
      </c>
      <c r="X9" s="714" t="s">
        <v>95</v>
      </c>
      <c r="Y9" s="712" t="s">
        <v>323</v>
      </c>
      <c r="Z9" s="714" t="s">
        <v>6</v>
      </c>
      <c r="AA9" s="714" t="s">
        <v>324</v>
      </c>
      <c r="AB9" s="714" t="s">
        <v>325</v>
      </c>
      <c r="AC9" s="714" t="s">
        <v>96</v>
      </c>
      <c r="AD9" s="714" t="s">
        <v>95</v>
      </c>
      <c r="AE9" s="712" t="s">
        <v>323</v>
      </c>
      <c r="AF9" s="711" t="s">
        <v>6</v>
      </c>
      <c r="AG9" s="711" t="s">
        <v>324</v>
      </c>
      <c r="AH9" s="711" t="s">
        <v>325</v>
      </c>
      <c r="AI9" s="711" t="s">
        <v>96</v>
      </c>
      <c r="AJ9" s="711" t="s">
        <v>95</v>
      </c>
      <c r="AK9" s="713" t="s">
        <v>323</v>
      </c>
      <c r="AL9" s="714" t="s">
        <v>6</v>
      </c>
      <c r="AM9" s="714" t="s">
        <v>324</v>
      </c>
      <c r="AN9" s="714" t="s">
        <v>325</v>
      </c>
      <c r="AO9" s="714" t="s">
        <v>96</v>
      </c>
      <c r="AP9" s="714" t="s">
        <v>95</v>
      </c>
      <c r="AQ9" s="712" t="s">
        <v>323</v>
      </c>
      <c r="AR9" s="711" t="s">
        <v>6</v>
      </c>
      <c r="AS9" s="711" t="s">
        <v>324</v>
      </c>
      <c r="AT9" s="711" t="s">
        <v>325</v>
      </c>
      <c r="AU9" s="711" t="s">
        <v>96</v>
      </c>
      <c r="AV9" s="711" t="s">
        <v>95</v>
      </c>
      <c r="AW9" s="713" t="s">
        <v>323</v>
      </c>
      <c r="AX9" s="714" t="s">
        <v>6</v>
      </c>
      <c r="AY9" s="714" t="s">
        <v>324</v>
      </c>
      <c r="AZ9" s="714" t="s">
        <v>325</v>
      </c>
      <c r="BA9" s="714" t="s">
        <v>96</v>
      </c>
      <c r="BB9" s="714" t="s">
        <v>95</v>
      </c>
      <c r="BC9" s="712" t="s">
        <v>323</v>
      </c>
      <c r="BD9" s="711" t="s">
        <v>6</v>
      </c>
      <c r="BE9" s="711" t="s">
        <v>324</v>
      </c>
      <c r="BF9" s="711" t="s">
        <v>325</v>
      </c>
      <c r="BG9" s="711" t="s">
        <v>96</v>
      </c>
      <c r="BH9" s="711" t="s">
        <v>95</v>
      </c>
      <c r="BI9" s="713" t="s">
        <v>323</v>
      </c>
      <c r="BJ9" s="714" t="s">
        <v>6</v>
      </c>
      <c r="BK9" s="714" t="s">
        <v>324</v>
      </c>
      <c r="BL9" s="714" t="s">
        <v>325</v>
      </c>
      <c r="BM9" s="714" t="s">
        <v>96</v>
      </c>
      <c r="BN9" s="714" t="s">
        <v>95</v>
      </c>
      <c r="BO9" s="712" t="s">
        <v>323</v>
      </c>
      <c r="BP9" s="714" t="s">
        <v>6</v>
      </c>
      <c r="BQ9" s="714" t="s">
        <v>324</v>
      </c>
      <c r="BR9" s="714" t="s">
        <v>325</v>
      </c>
      <c r="BS9" s="714" t="s">
        <v>96</v>
      </c>
      <c r="BT9" s="714" t="s">
        <v>95</v>
      </c>
      <c r="BU9" s="712" t="s">
        <v>323</v>
      </c>
      <c r="BV9" s="714" t="s">
        <v>6</v>
      </c>
      <c r="BW9" s="714" t="s">
        <v>324</v>
      </c>
      <c r="BX9" s="714" t="s">
        <v>325</v>
      </c>
      <c r="BY9" s="714" t="s">
        <v>96</v>
      </c>
      <c r="BZ9" s="714" t="s">
        <v>95</v>
      </c>
      <c r="CA9" s="712" t="s">
        <v>323</v>
      </c>
      <c r="CB9" s="714" t="s">
        <v>6</v>
      </c>
      <c r="CC9" s="714" t="s">
        <v>324</v>
      </c>
      <c r="CD9" s="714" t="s">
        <v>325</v>
      </c>
      <c r="CE9" s="714" t="s">
        <v>96</v>
      </c>
      <c r="CF9" s="714" t="s">
        <v>95</v>
      </c>
      <c r="CG9" s="712" t="s">
        <v>323</v>
      </c>
      <c r="CH9" s="714" t="s">
        <v>6</v>
      </c>
      <c r="CI9" s="714" t="s">
        <v>324</v>
      </c>
      <c r="CJ9" s="714" t="s">
        <v>325</v>
      </c>
      <c r="CK9" s="714" t="s">
        <v>96</v>
      </c>
      <c r="CL9" s="714" t="s">
        <v>95</v>
      </c>
      <c r="CM9" s="712" t="s">
        <v>323</v>
      </c>
      <c r="CR9" s="2">
        <v>1</v>
      </c>
    </row>
    <row r="10" spans="1:96" s="704" customFormat="1" x14ac:dyDescent="0.25">
      <c r="A10" s="722" t="s">
        <v>326</v>
      </c>
      <c r="B10" s="723">
        <f t="shared" ref="B10" si="0">SUM(B11:B20)</f>
        <v>0</v>
      </c>
      <c r="C10" s="724">
        <f t="shared" ref="C10" si="1">SUM(C11:C20)</f>
        <v>0</v>
      </c>
      <c r="D10" s="724">
        <f t="shared" ref="D10" si="2">SUM(D11:D20)</f>
        <v>0</v>
      </c>
      <c r="E10" s="725">
        <f t="shared" ref="E10" si="3">SUM(E11:E20)</f>
        <v>0</v>
      </c>
      <c r="F10" s="725">
        <f t="shared" ref="F10" si="4">SUM(F11:F20)</f>
        <v>0</v>
      </c>
      <c r="G10" s="726">
        <f t="shared" ref="G10" si="5">SUM(G11:G20)</f>
        <v>0</v>
      </c>
      <c r="H10" s="727">
        <f t="shared" ref="H10" si="6">SUM(H11:H20)</f>
        <v>494</v>
      </c>
      <c r="I10" s="728">
        <f t="shared" ref="I10" si="7">SUM(I11:I20)</f>
        <v>0</v>
      </c>
      <c r="J10" s="728">
        <f t="shared" ref="J10" si="8">SUM(J11:J20)</f>
        <v>1044.3399999999999</v>
      </c>
      <c r="K10" s="726">
        <f t="shared" ref="K10" si="9">SUM(K11:K20)</f>
        <v>1044.3399999999999</v>
      </c>
      <c r="L10" s="726">
        <f t="shared" ref="L10" si="10">SUM(L11:L20)</f>
        <v>1604.0700000000002</v>
      </c>
      <c r="M10" s="726">
        <f t="shared" ref="M10" si="11">SUM(M11:M20)</f>
        <v>20852975</v>
      </c>
      <c r="N10" s="727">
        <f t="shared" ref="N10" si="12">SUM(N11:N20)</f>
        <v>145</v>
      </c>
      <c r="O10" s="728">
        <f t="shared" ref="O10" si="13">SUM(O11:O20)</f>
        <v>167</v>
      </c>
      <c r="P10" s="728">
        <f t="shared" ref="P10" si="14">SUM(P11:P20)</f>
        <v>0</v>
      </c>
      <c r="Q10" s="726">
        <f t="shared" ref="Q10" si="15">SUM(Q11:Q20)</f>
        <v>167</v>
      </c>
      <c r="R10" s="726">
        <f t="shared" ref="R10" si="16">SUM(R11:R20)</f>
        <v>777</v>
      </c>
      <c r="S10" s="729">
        <f t="shared" ref="S10" si="17">SUM(S11:S20)</f>
        <v>10878000</v>
      </c>
      <c r="T10" s="727">
        <f t="shared" ref="T10" si="18">SUM(T11:T20)</f>
        <v>90</v>
      </c>
      <c r="U10" s="728">
        <f t="shared" ref="U10" si="19">SUM(U11:U20)</f>
        <v>0</v>
      </c>
      <c r="V10" s="728">
        <f t="shared" ref="V10" si="20">SUM(V11:V20)</f>
        <v>58.18</v>
      </c>
      <c r="W10" s="726">
        <f t="shared" ref="W10" si="21">SUM(W11:W20)</f>
        <v>58.18</v>
      </c>
      <c r="X10" s="726">
        <f t="shared" ref="X10" si="22">SUM(X11:X20)</f>
        <v>64.36</v>
      </c>
      <c r="Y10" s="729">
        <f t="shared" ref="Y10" si="23">SUM(Y11:Y20)</f>
        <v>900984</v>
      </c>
      <c r="Z10" s="727">
        <f t="shared" ref="Z10:BK10" si="24">SUM(Z11:Z20)</f>
        <v>540</v>
      </c>
      <c r="AA10" s="728">
        <f t="shared" si="24"/>
        <v>0</v>
      </c>
      <c r="AB10" s="728">
        <f t="shared" si="24"/>
        <v>1333.1970000000001</v>
      </c>
      <c r="AC10" s="726">
        <f t="shared" si="24"/>
        <v>1333.1970000000001</v>
      </c>
      <c r="AD10" s="726">
        <f t="shared" si="24"/>
        <v>803.19999999999993</v>
      </c>
      <c r="AE10" s="729">
        <f t="shared" si="24"/>
        <v>11424318</v>
      </c>
      <c r="AF10" s="730">
        <f t="shared" si="24"/>
        <v>0</v>
      </c>
      <c r="AG10" s="724">
        <f t="shared" si="24"/>
        <v>0</v>
      </c>
      <c r="AH10" s="724">
        <f t="shared" si="24"/>
        <v>0</v>
      </c>
      <c r="AI10" s="725">
        <f t="shared" si="24"/>
        <v>0</v>
      </c>
      <c r="AJ10" s="725">
        <f t="shared" si="24"/>
        <v>0</v>
      </c>
      <c r="AK10" s="725">
        <f t="shared" si="24"/>
        <v>0</v>
      </c>
      <c r="AL10" s="727">
        <f t="shared" ref="AL10" si="25">SUM(AL11:AL20)</f>
        <v>0</v>
      </c>
      <c r="AM10" s="728">
        <f t="shared" ref="AM10" si="26">SUM(AM11:AM20)</f>
        <v>0</v>
      </c>
      <c r="AN10" s="728">
        <f t="shared" ref="AN10" si="27">SUM(AN11:AN20)</f>
        <v>0</v>
      </c>
      <c r="AO10" s="726">
        <f t="shared" ref="AO10" si="28">SUM(AO11:AO20)</f>
        <v>0</v>
      </c>
      <c r="AP10" s="726">
        <f t="shared" ref="AP10" si="29">SUM(AP11:AP20)</f>
        <v>0</v>
      </c>
      <c r="AQ10" s="729">
        <f t="shared" ref="AQ10" si="30">SUM(AQ11:AQ20)</f>
        <v>0</v>
      </c>
      <c r="AR10" s="730">
        <f t="shared" si="24"/>
        <v>0</v>
      </c>
      <c r="AS10" s="724">
        <f t="shared" si="24"/>
        <v>0</v>
      </c>
      <c r="AT10" s="724">
        <f t="shared" si="24"/>
        <v>0</v>
      </c>
      <c r="AU10" s="725">
        <f t="shared" si="24"/>
        <v>0</v>
      </c>
      <c r="AV10" s="725">
        <f t="shared" si="24"/>
        <v>0</v>
      </c>
      <c r="AW10" s="725">
        <f t="shared" si="24"/>
        <v>0</v>
      </c>
      <c r="AX10" s="727">
        <f t="shared" si="24"/>
        <v>682</v>
      </c>
      <c r="AY10" s="728">
        <f t="shared" si="24"/>
        <v>0</v>
      </c>
      <c r="AZ10" s="728">
        <f t="shared" si="24"/>
        <v>866.06999999999994</v>
      </c>
      <c r="BA10" s="726">
        <f t="shared" si="24"/>
        <v>866.06999999999994</v>
      </c>
      <c r="BB10" s="726">
        <f t="shared" si="24"/>
        <v>1139.08</v>
      </c>
      <c r="BC10" s="729">
        <f t="shared" si="24"/>
        <v>21462791.25</v>
      </c>
      <c r="BD10" s="730">
        <f t="shared" si="24"/>
        <v>216</v>
      </c>
      <c r="BE10" s="724">
        <f t="shared" si="24"/>
        <v>59.71</v>
      </c>
      <c r="BF10" s="724">
        <f t="shared" si="24"/>
        <v>348</v>
      </c>
      <c r="BG10" s="725">
        <f t="shared" si="24"/>
        <v>411.21000000000004</v>
      </c>
      <c r="BH10" s="725">
        <f t="shared" si="24"/>
        <v>1372.99</v>
      </c>
      <c r="BI10" s="725">
        <f t="shared" si="24"/>
        <v>15703438.1</v>
      </c>
      <c r="BJ10" s="727">
        <f t="shared" si="24"/>
        <v>0</v>
      </c>
      <c r="BK10" s="728">
        <f t="shared" si="24"/>
        <v>0</v>
      </c>
      <c r="BL10" s="728">
        <f t="shared" ref="BL10:CM10" si="31">SUM(BL11:BL20)</f>
        <v>0</v>
      </c>
      <c r="BM10" s="726">
        <f t="shared" si="31"/>
        <v>0</v>
      </c>
      <c r="BN10" s="726">
        <f t="shared" si="31"/>
        <v>0</v>
      </c>
      <c r="BO10" s="729">
        <f t="shared" si="31"/>
        <v>0</v>
      </c>
      <c r="BP10" s="727">
        <f t="shared" si="31"/>
        <v>0</v>
      </c>
      <c r="BQ10" s="728">
        <f t="shared" si="31"/>
        <v>0</v>
      </c>
      <c r="BR10" s="728">
        <f t="shared" si="31"/>
        <v>0</v>
      </c>
      <c r="BS10" s="726">
        <f t="shared" si="31"/>
        <v>0</v>
      </c>
      <c r="BT10" s="726">
        <f t="shared" si="31"/>
        <v>0</v>
      </c>
      <c r="BU10" s="729">
        <f t="shared" si="31"/>
        <v>0</v>
      </c>
      <c r="BV10" s="727">
        <f>SUM(BV11:BV20)</f>
        <v>516</v>
      </c>
      <c r="BW10" s="728">
        <f t="shared" si="31"/>
        <v>2</v>
      </c>
      <c r="BX10" s="728">
        <f t="shared" si="31"/>
        <v>589.91</v>
      </c>
      <c r="BY10" s="726">
        <f t="shared" si="31"/>
        <v>591.91</v>
      </c>
      <c r="BZ10" s="726">
        <f t="shared" si="31"/>
        <v>1357.28</v>
      </c>
      <c r="CA10" s="729">
        <f t="shared" si="31"/>
        <v>15737578.360000001</v>
      </c>
      <c r="CB10" s="727">
        <f t="shared" si="31"/>
        <v>4</v>
      </c>
      <c r="CC10" s="728">
        <f t="shared" si="31"/>
        <v>0</v>
      </c>
      <c r="CD10" s="728">
        <f t="shared" si="31"/>
        <v>4</v>
      </c>
      <c r="CE10" s="726">
        <f t="shared" si="31"/>
        <v>4</v>
      </c>
      <c r="CF10" s="726">
        <f t="shared" si="31"/>
        <v>3.06</v>
      </c>
      <c r="CG10" s="729">
        <f t="shared" si="31"/>
        <v>36720</v>
      </c>
      <c r="CH10" s="727">
        <f t="shared" si="31"/>
        <v>271</v>
      </c>
      <c r="CI10" s="728">
        <f t="shared" si="31"/>
        <v>7.5</v>
      </c>
      <c r="CJ10" s="728">
        <f t="shared" si="31"/>
        <v>475.62</v>
      </c>
      <c r="CK10" s="726">
        <f t="shared" si="31"/>
        <v>483.12</v>
      </c>
      <c r="CL10" s="726">
        <f t="shared" si="31"/>
        <v>1366.09</v>
      </c>
      <c r="CM10" s="729">
        <f t="shared" si="31"/>
        <v>17044164.619999997</v>
      </c>
    </row>
    <row r="11" spans="1:96" x14ac:dyDescent="0.25">
      <c r="A11" s="715" t="s">
        <v>329</v>
      </c>
      <c r="B11" s="716"/>
      <c r="C11" s="717"/>
      <c r="D11" s="717"/>
      <c r="E11" s="3">
        <f>SUM(C11:D11)</f>
        <v>0</v>
      </c>
      <c r="H11" s="716"/>
      <c r="I11" s="717"/>
      <c r="J11" s="717"/>
      <c r="K11" s="3">
        <f>SUM(I11:J11)</f>
        <v>0</v>
      </c>
      <c r="N11" s="716"/>
      <c r="O11" s="717"/>
      <c r="P11" s="717"/>
      <c r="Q11" s="3">
        <f>SUM(O11:P11)</f>
        <v>0</v>
      </c>
      <c r="S11" s="4"/>
      <c r="T11" s="716"/>
      <c r="U11" s="717"/>
      <c r="V11" s="717"/>
      <c r="W11" s="3">
        <f>SUM(U11:V11)</f>
        <v>0</v>
      </c>
      <c r="Y11" s="4"/>
      <c r="Z11" s="716"/>
      <c r="AA11" s="717"/>
      <c r="AB11" s="717"/>
      <c r="AC11" s="3">
        <f>SUM(AA11:AB11)</f>
        <v>0</v>
      </c>
      <c r="AE11" s="4"/>
      <c r="AF11" s="718"/>
      <c r="AG11" s="717"/>
      <c r="AH11" s="717"/>
      <c r="AI11" s="3">
        <f>SUM(AG11:AH11)</f>
        <v>0</v>
      </c>
      <c r="AL11" s="716"/>
      <c r="AM11" s="717"/>
      <c r="AN11" s="717"/>
      <c r="AO11" s="3">
        <f>SUM(AM11:AN11)</f>
        <v>0</v>
      </c>
      <c r="AQ11" s="4"/>
      <c r="AR11" s="718"/>
      <c r="AS11" s="717"/>
      <c r="AT11" s="717"/>
      <c r="AU11" s="3">
        <f>SUM(AS11:AT11)</f>
        <v>0</v>
      </c>
      <c r="AX11" s="716"/>
      <c r="AY11" s="717"/>
      <c r="AZ11" s="717"/>
      <c r="BA11" s="3">
        <f>SUM(AY11:AZ11)</f>
        <v>0</v>
      </c>
      <c r="BC11" s="4"/>
      <c r="BD11" s="718"/>
      <c r="BE11" s="717">
        <v>1</v>
      </c>
      <c r="BF11" s="717"/>
      <c r="BG11" s="3">
        <f>SUM(BE11:BF11)</f>
        <v>1</v>
      </c>
      <c r="BH11" s="3">
        <v>2.35</v>
      </c>
      <c r="BI11" s="3">
        <v>30550</v>
      </c>
      <c r="BJ11" s="716"/>
      <c r="BK11" s="717"/>
      <c r="BL11" s="717"/>
      <c r="BM11" s="3">
        <f>SUM(BK11:BL11)</f>
        <v>0</v>
      </c>
      <c r="BO11" s="4"/>
      <c r="BP11" s="716"/>
      <c r="BQ11" s="717"/>
      <c r="BR11" s="717"/>
      <c r="BS11" s="3">
        <f>SUM(BQ11:BR11)</f>
        <v>0</v>
      </c>
      <c r="BU11" s="4"/>
      <c r="BV11" s="716">
        <v>10</v>
      </c>
      <c r="BW11" s="717">
        <v>2</v>
      </c>
      <c r="BX11" s="717">
        <v>9.5</v>
      </c>
      <c r="BY11" s="3">
        <f>SUM(BW11:BX11)</f>
        <v>11.5</v>
      </c>
      <c r="BZ11" s="3">
        <v>31.73</v>
      </c>
      <c r="CA11" s="4">
        <v>412425</v>
      </c>
      <c r="CB11" s="716"/>
      <c r="CC11" s="717"/>
      <c r="CD11" s="717"/>
      <c r="CE11" s="3">
        <f>SUM(CC11:CD11)</f>
        <v>0</v>
      </c>
      <c r="CG11" s="4"/>
      <c r="CH11" s="716"/>
      <c r="CI11" s="717"/>
      <c r="CJ11" s="717">
        <v>9.5</v>
      </c>
      <c r="CK11" s="3">
        <f>SUM(CI11:CJ11)</f>
        <v>9.5</v>
      </c>
      <c r="CL11" s="3">
        <v>14.72</v>
      </c>
      <c r="CM11" s="4">
        <v>196360</v>
      </c>
    </row>
    <row r="12" spans="1:96" x14ac:dyDescent="0.25">
      <c r="A12" s="715" t="s">
        <v>330</v>
      </c>
      <c r="B12" s="716"/>
      <c r="C12" s="717"/>
      <c r="D12" s="717"/>
      <c r="E12" s="3">
        <f t="shared" ref="E12:E20" si="32">SUM(C12:D12)</f>
        <v>0</v>
      </c>
      <c r="H12" s="716"/>
      <c r="I12" s="717"/>
      <c r="J12" s="717"/>
      <c r="K12" s="3">
        <f t="shared" ref="K12:K20" si="33">SUM(I12:J12)</f>
        <v>0</v>
      </c>
      <c r="N12" s="716"/>
      <c r="O12" s="717"/>
      <c r="P12" s="717"/>
      <c r="Q12" s="3">
        <f t="shared" ref="Q12:Q20" si="34">SUM(O12:P12)</f>
        <v>0</v>
      </c>
      <c r="S12" s="4"/>
      <c r="T12" s="716"/>
      <c r="U12" s="717"/>
      <c r="V12" s="717"/>
      <c r="W12" s="3">
        <f t="shared" ref="W12:W20" si="35">SUM(U12:V12)</f>
        <v>0</v>
      </c>
      <c r="Y12" s="4"/>
      <c r="Z12" s="716"/>
      <c r="AA12" s="717"/>
      <c r="AB12" s="717"/>
      <c r="AC12" s="3">
        <f t="shared" ref="AC12:AC20" si="36">SUM(AA12:AB12)</f>
        <v>0</v>
      </c>
      <c r="AE12" s="4"/>
      <c r="AF12" s="718"/>
      <c r="AG12" s="717"/>
      <c r="AH12" s="717"/>
      <c r="AI12" s="3">
        <f t="shared" ref="AI12:AI20" si="37">SUM(AG12:AH12)</f>
        <v>0</v>
      </c>
      <c r="AL12" s="716"/>
      <c r="AM12" s="717"/>
      <c r="AN12" s="717"/>
      <c r="AO12" s="3">
        <f t="shared" ref="AO12:AO20" si="38">SUM(AM12:AN12)</f>
        <v>0</v>
      </c>
      <c r="AQ12" s="4"/>
      <c r="AR12" s="718"/>
      <c r="AS12" s="717"/>
      <c r="AT12" s="717"/>
      <c r="AU12" s="3">
        <f t="shared" ref="AU12:AU20" si="39">SUM(AS12:AT12)</f>
        <v>0</v>
      </c>
      <c r="AX12" s="716"/>
      <c r="AY12" s="717"/>
      <c r="AZ12" s="717"/>
      <c r="BA12" s="3">
        <f t="shared" ref="BA12:BA20" si="40">SUM(AY12:AZ12)</f>
        <v>0</v>
      </c>
      <c r="BC12" s="4"/>
      <c r="BD12" s="718"/>
      <c r="BE12" s="717"/>
      <c r="BF12" s="717"/>
      <c r="BG12" s="3">
        <f t="shared" ref="BG12:BG20" si="41">SUM(BE12:BF12)</f>
        <v>0</v>
      </c>
      <c r="BJ12" s="716"/>
      <c r="BK12" s="717"/>
      <c r="BL12" s="717"/>
      <c r="BM12" s="3">
        <f t="shared" ref="BM12:BM20" si="42">SUM(BK12:BL12)</f>
        <v>0</v>
      </c>
      <c r="BO12" s="4"/>
      <c r="BP12" s="716"/>
      <c r="BQ12" s="717"/>
      <c r="BR12" s="717"/>
      <c r="BS12" s="3">
        <f t="shared" ref="BS12:BS20" si="43">SUM(BQ12:BR12)</f>
        <v>0</v>
      </c>
      <c r="BU12" s="4"/>
      <c r="BV12" s="716">
        <v>11</v>
      </c>
      <c r="BW12" s="717"/>
      <c r="BX12" s="717">
        <v>17.82</v>
      </c>
      <c r="BY12" s="3">
        <f t="shared" ref="BY12:BY20" si="44">SUM(BW12:BX12)</f>
        <v>17.82</v>
      </c>
      <c r="BZ12" s="3">
        <v>47.9</v>
      </c>
      <c r="CA12" s="4">
        <v>622697.4</v>
      </c>
      <c r="CB12" s="716"/>
      <c r="CC12" s="717"/>
      <c r="CD12" s="717"/>
      <c r="CE12" s="3">
        <f t="shared" ref="CE12:CE20" si="45">SUM(CC12:CD12)</f>
        <v>0</v>
      </c>
      <c r="CG12" s="4"/>
      <c r="CH12" s="716">
        <v>19</v>
      </c>
      <c r="CI12" s="717"/>
      <c r="CJ12" s="717">
        <v>5.25</v>
      </c>
      <c r="CK12" s="3">
        <f t="shared" ref="CK12:CK20" si="46">SUM(CI12:CJ12)</f>
        <v>5.25</v>
      </c>
      <c r="CL12" s="3">
        <v>3.15</v>
      </c>
      <c r="CM12" s="4">
        <v>40950</v>
      </c>
    </row>
    <row r="13" spans="1:96" x14ac:dyDescent="0.25">
      <c r="A13" s="715" t="s">
        <v>331</v>
      </c>
      <c r="B13" s="716"/>
      <c r="C13" s="717"/>
      <c r="D13" s="717"/>
      <c r="E13" s="3">
        <f t="shared" si="32"/>
        <v>0</v>
      </c>
      <c r="H13" s="716"/>
      <c r="I13" s="717"/>
      <c r="J13" s="717"/>
      <c r="K13" s="3">
        <f t="shared" si="33"/>
        <v>0</v>
      </c>
      <c r="N13" s="716"/>
      <c r="O13" s="717"/>
      <c r="P13" s="717"/>
      <c r="Q13" s="3">
        <f t="shared" si="34"/>
        <v>0</v>
      </c>
      <c r="S13" s="4"/>
      <c r="T13" s="716"/>
      <c r="U13" s="717"/>
      <c r="V13" s="717"/>
      <c r="W13" s="3">
        <f t="shared" si="35"/>
        <v>0</v>
      </c>
      <c r="Y13" s="4"/>
      <c r="Z13" s="716"/>
      <c r="AA13" s="717"/>
      <c r="AB13" s="717"/>
      <c r="AC13" s="3">
        <f t="shared" si="36"/>
        <v>0</v>
      </c>
      <c r="AE13" s="4"/>
      <c r="AF13" s="718"/>
      <c r="AG13" s="717"/>
      <c r="AH13" s="717"/>
      <c r="AI13" s="3">
        <f t="shared" si="37"/>
        <v>0</v>
      </c>
      <c r="AL13" s="716"/>
      <c r="AM13" s="717"/>
      <c r="AN13" s="717"/>
      <c r="AO13" s="3">
        <f t="shared" si="38"/>
        <v>0</v>
      </c>
      <c r="AQ13" s="4"/>
      <c r="AR13" s="718"/>
      <c r="AS13" s="717"/>
      <c r="AT13" s="717"/>
      <c r="AU13" s="3">
        <f t="shared" si="39"/>
        <v>0</v>
      </c>
      <c r="AX13" s="716"/>
      <c r="AY13" s="717"/>
      <c r="AZ13" s="717"/>
      <c r="BA13" s="3">
        <f t="shared" si="40"/>
        <v>0</v>
      </c>
      <c r="BC13" s="4"/>
      <c r="BD13" s="718"/>
      <c r="BE13" s="717"/>
      <c r="BF13" s="717"/>
      <c r="BG13" s="3">
        <f t="shared" si="41"/>
        <v>0</v>
      </c>
      <c r="BJ13" s="716"/>
      <c r="BK13" s="717"/>
      <c r="BL13" s="717"/>
      <c r="BM13" s="3">
        <f t="shared" si="42"/>
        <v>0</v>
      </c>
      <c r="BO13" s="4"/>
      <c r="BP13" s="716"/>
      <c r="BQ13" s="717"/>
      <c r="BR13" s="717"/>
      <c r="BS13" s="3">
        <f t="shared" si="43"/>
        <v>0</v>
      </c>
      <c r="BU13" s="4"/>
      <c r="BV13" s="716">
        <v>36</v>
      </c>
      <c r="BW13" s="717"/>
      <c r="BX13" s="717">
        <v>48.7</v>
      </c>
      <c r="BY13" s="3">
        <f t="shared" si="44"/>
        <v>48.7</v>
      </c>
      <c r="BZ13" s="3">
        <v>58.44</v>
      </c>
      <c r="CA13" s="4">
        <v>701280</v>
      </c>
      <c r="CB13" s="716"/>
      <c r="CC13" s="717"/>
      <c r="CD13" s="717"/>
      <c r="CE13" s="3">
        <f t="shared" si="45"/>
        <v>0</v>
      </c>
      <c r="CG13" s="4"/>
      <c r="CH13" s="716"/>
      <c r="CI13" s="717"/>
      <c r="CJ13" s="717"/>
      <c r="CK13" s="3">
        <f t="shared" si="46"/>
        <v>0</v>
      </c>
      <c r="CM13" s="4"/>
    </row>
    <row r="14" spans="1:96" x14ac:dyDescent="0.25">
      <c r="A14" s="715" t="s">
        <v>327</v>
      </c>
      <c r="B14" s="716"/>
      <c r="C14" s="717"/>
      <c r="D14" s="717"/>
      <c r="E14" s="3">
        <f t="shared" si="32"/>
        <v>0</v>
      </c>
      <c r="H14" s="716">
        <v>18</v>
      </c>
      <c r="I14" s="717"/>
      <c r="J14" s="717">
        <v>143.94</v>
      </c>
      <c r="K14" s="3">
        <f t="shared" si="33"/>
        <v>143.94</v>
      </c>
      <c r="L14" s="3">
        <v>154.87</v>
      </c>
      <c r="M14" s="3">
        <v>2013336</v>
      </c>
      <c r="N14" s="716">
        <v>45</v>
      </c>
      <c r="O14" s="717">
        <v>50</v>
      </c>
      <c r="P14" s="717"/>
      <c r="Q14" s="3">
        <f t="shared" si="34"/>
        <v>50</v>
      </c>
      <c r="R14" s="3">
        <v>225</v>
      </c>
      <c r="S14" s="4">
        <v>3150000</v>
      </c>
      <c r="T14" s="716">
        <v>90</v>
      </c>
      <c r="U14" s="717"/>
      <c r="V14" s="717">
        <v>58.18</v>
      </c>
      <c r="W14" s="3">
        <f t="shared" si="35"/>
        <v>58.18</v>
      </c>
      <c r="X14" s="3">
        <v>64.36</v>
      </c>
      <c r="Y14" s="4">
        <v>900984</v>
      </c>
      <c r="Z14" s="716">
        <v>85</v>
      </c>
      <c r="AA14" s="717"/>
      <c r="AB14" s="717">
        <v>350.59699999999998</v>
      </c>
      <c r="AC14" s="3">
        <f t="shared" si="36"/>
        <v>350.59699999999998</v>
      </c>
      <c r="AD14" s="3">
        <v>472.4</v>
      </c>
      <c r="AE14" s="4">
        <v>6613593</v>
      </c>
      <c r="AF14" s="718"/>
      <c r="AG14" s="717"/>
      <c r="AH14" s="717"/>
      <c r="AI14" s="3">
        <f t="shared" si="37"/>
        <v>0</v>
      </c>
      <c r="AL14" s="716"/>
      <c r="AM14" s="717"/>
      <c r="AN14" s="717"/>
      <c r="AO14" s="3">
        <f t="shared" si="38"/>
        <v>0</v>
      </c>
      <c r="AQ14" s="4"/>
      <c r="AR14" s="718"/>
      <c r="AS14" s="717"/>
      <c r="AT14" s="717"/>
      <c r="AU14" s="3">
        <f t="shared" si="39"/>
        <v>0</v>
      </c>
      <c r="AX14" s="716">
        <v>55</v>
      </c>
      <c r="AY14" s="717"/>
      <c r="AZ14" s="717">
        <v>188.37</v>
      </c>
      <c r="BA14" s="3">
        <f t="shared" si="40"/>
        <v>188.37</v>
      </c>
      <c r="BB14" s="3">
        <v>406.01</v>
      </c>
      <c r="BC14" s="4">
        <v>7511231.25</v>
      </c>
      <c r="BD14" s="718"/>
      <c r="BE14" s="717">
        <v>55</v>
      </c>
      <c r="BF14" s="717">
        <v>56.33</v>
      </c>
      <c r="BG14" s="3">
        <f t="shared" si="41"/>
        <v>111.33</v>
      </c>
      <c r="BH14" s="3">
        <v>140.5</v>
      </c>
      <c r="BI14" s="3">
        <v>2122996.5</v>
      </c>
      <c r="BJ14" s="716"/>
      <c r="BK14" s="717"/>
      <c r="BL14" s="717"/>
      <c r="BM14" s="3">
        <f t="shared" si="42"/>
        <v>0</v>
      </c>
      <c r="BO14" s="4"/>
      <c r="BP14" s="716"/>
      <c r="BQ14" s="717"/>
      <c r="BR14" s="717"/>
      <c r="BS14" s="3">
        <f t="shared" si="43"/>
        <v>0</v>
      </c>
      <c r="BU14" s="4"/>
      <c r="BV14" s="716">
        <v>66</v>
      </c>
      <c r="BW14" s="717"/>
      <c r="BX14" s="717">
        <v>42.92</v>
      </c>
      <c r="BY14" s="3">
        <f t="shared" si="44"/>
        <v>42.92</v>
      </c>
      <c r="BZ14" s="3">
        <v>109.68</v>
      </c>
      <c r="CA14" s="4">
        <v>1316196</v>
      </c>
      <c r="CB14" s="716"/>
      <c r="CC14" s="717"/>
      <c r="CD14" s="717"/>
      <c r="CE14" s="3">
        <f t="shared" si="45"/>
        <v>0</v>
      </c>
      <c r="CG14" s="4"/>
      <c r="CH14" s="716">
        <v>95</v>
      </c>
      <c r="CI14" s="717">
        <v>1</v>
      </c>
      <c r="CJ14" s="717">
        <v>52.12</v>
      </c>
      <c r="CK14" s="3">
        <f t="shared" si="46"/>
        <v>53.12</v>
      </c>
      <c r="CL14" s="3">
        <v>94.99</v>
      </c>
      <c r="CM14" s="4">
        <v>1154836.8</v>
      </c>
    </row>
    <row r="15" spans="1:96" x14ac:dyDescent="0.25">
      <c r="A15" s="715" t="s">
        <v>332</v>
      </c>
      <c r="B15" s="716"/>
      <c r="C15" s="717"/>
      <c r="D15" s="717"/>
      <c r="E15" s="3">
        <f t="shared" si="32"/>
        <v>0</v>
      </c>
      <c r="H15" s="716">
        <v>39</v>
      </c>
      <c r="I15" s="717"/>
      <c r="J15" s="717">
        <v>103</v>
      </c>
      <c r="K15" s="3">
        <f t="shared" si="33"/>
        <v>103</v>
      </c>
      <c r="L15" s="3">
        <v>337</v>
      </c>
      <c r="M15" s="3">
        <v>4381000</v>
      </c>
      <c r="N15" s="716">
        <v>15</v>
      </c>
      <c r="O15" s="717">
        <v>25</v>
      </c>
      <c r="P15" s="717"/>
      <c r="Q15" s="3">
        <f t="shared" si="34"/>
        <v>25</v>
      </c>
      <c r="R15" s="3">
        <v>115</v>
      </c>
      <c r="S15" s="4">
        <v>1610000</v>
      </c>
      <c r="T15" s="716"/>
      <c r="U15" s="717"/>
      <c r="V15" s="717"/>
      <c r="W15" s="3">
        <f t="shared" si="35"/>
        <v>0</v>
      </c>
      <c r="Y15" s="4"/>
      <c r="Z15" s="716">
        <v>21</v>
      </c>
      <c r="AA15" s="717"/>
      <c r="AB15" s="717">
        <v>34.6</v>
      </c>
      <c r="AC15" s="3">
        <f t="shared" si="36"/>
        <v>34.6</v>
      </c>
      <c r="AD15" s="3">
        <v>100.8</v>
      </c>
      <c r="AE15" s="4">
        <v>1360800</v>
      </c>
      <c r="AF15" s="718"/>
      <c r="AG15" s="717"/>
      <c r="AH15" s="717"/>
      <c r="AI15" s="3">
        <f t="shared" si="37"/>
        <v>0</v>
      </c>
      <c r="AL15" s="716"/>
      <c r="AM15" s="717"/>
      <c r="AN15" s="717"/>
      <c r="AO15" s="3">
        <f t="shared" si="38"/>
        <v>0</v>
      </c>
      <c r="AQ15" s="4"/>
      <c r="AR15" s="718"/>
      <c r="AS15" s="717"/>
      <c r="AT15" s="717"/>
      <c r="AU15" s="3">
        <f t="shared" si="39"/>
        <v>0</v>
      </c>
      <c r="AX15" s="716">
        <v>22</v>
      </c>
      <c r="AY15" s="717"/>
      <c r="AZ15" s="717">
        <v>13.6</v>
      </c>
      <c r="BA15" s="3">
        <f t="shared" si="40"/>
        <v>13.6</v>
      </c>
      <c r="BB15" s="3">
        <v>17.190000000000001</v>
      </c>
      <c r="BC15" s="4">
        <v>312920</v>
      </c>
      <c r="BD15" s="718"/>
      <c r="BE15" s="717"/>
      <c r="BF15" s="717"/>
      <c r="BG15" s="3">
        <f t="shared" si="41"/>
        <v>0</v>
      </c>
      <c r="BJ15" s="716"/>
      <c r="BK15" s="717"/>
      <c r="BL15" s="717"/>
      <c r="BM15" s="3">
        <f t="shared" si="42"/>
        <v>0</v>
      </c>
      <c r="BO15" s="4"/>
      <c r="BP15" s="716"/>
      <c r="BQ15" s="717"/>
      <c r="BR15" s="717"/>
      <c r="BS15" s="3">
        <f t="shared" si="43"/>
        <v>0</v>
      </c>
      <c r="BU15" s="4"/>
      <c r="BV15" s="716">
        <v>3</v>
      </c>
      <c r="BW15" s="717"/>
      <c r="BX15" s="717">
        <v>19</v>
      </c>
      <c r="BY15" s="3">
        <f t="shared" si="44"/>
        <v>19</v>
      </c>
      <c r="BZ15" s="3">
        <v>33.840000000000003</v>
      </c>
      <c r="CA15" s="4">
        <v>421824.68</v>
      </c>
      <c r="CB15" s="716">
        <v>4</v>
      </c>
      <c r="CC15" s="717"/>
      <c r="CD15" s="717">
        <v>4</v>
      </c>
      <c r="CE15" s="3">
        <f t="shared" si="45"/>
        <v>4</v>
      </c>
      <c r="CF15" s="3">
        <v>3.06</v>
      </c>
      <c r="CG15" s="4">
        <v>36720</v>
      </c>
      <c r="CH15" s="716">
        <v>5</v>
      </c>
      <c r="CI15" s="717">
        <v>1.8</v>
      </c>
      <c r="CJ15" s="717">
        <v>10.4</v>
      </c>
      <c r="CK15" s="3">
        <f t="shared" si="46"/>
        <v>12.200000000000001</v>
      </c>
      <c r="CL15" s="3">
        <v>24.02</v>
      </c>
      <c r="CM15" s="4">
        <v>306195.40000000002</v>
      </c>
    </row>
    <row r="16" spans="1:96" x14ac:dyDescent="0.25">
      <c r="A16" s="715" t="s">
        <v>333</v>
      </c>
      <c r="B16" s="716"/>
      <c r="C16" s="717"/>
      <c r="D16" s="717"/>
      <c r="E16" s="3">
        <f t="shared" si="32"/>
        <v>0</v>
      </c>
      <c r="H16" s="716"/>
      <c r="I16" s="717"/>
      <c r="J16" s="717"/>
      <c r="K16" s="3">
        <f t="shared" si="33"/>
        <v>0</v>
      </c>
      <c r="N16" s="716"/>
      <c r="O16" s="717"/>
      <c r="P16" s="717"/>
      <c r="Q16" s="3">
        <f t="shared" si="34"/>
        <v>0</v>
      </c>
      <c r="S16" s="4"/>
      <c r="T16" s="716"/>
      <c r="U16" s="717"/>
      <c r="V16" s="717"/>
      <c r="W16" s="3">
        <f t="shared" si="35"/>
        <v>0</v>
      </c>
      <c r="Y16" s="4"/>
      <c r="Z16" s="716"/>
      <c r="AA16" s="717"/>
      <c r="AB16" s="717"/>
      <c r="AC16" s="3">
        <f t="shared" si="36"/>
        <v>0</v>
      </c>
      <c r="AE16" s="4"/>
      <c r="AF16" s="718"/>
      <c r="AG16" s="717"/>
      <c r="AH16" s="717"/>
      <c r="AI16" s="3">
        <f t="shared" si="37"/>
        <v>0</v>
      </c>
      <c r="AL16" s="716"/>
      <c r="AM16" s="717"/>
      <c r="AN16" s="717"/>
      <c r="AO16" s="3">
        <f t="shared" si="38"/>
        <v>0</v>
      </c>
      <c r="AQ16" s="4"/>
      <c r="AR16" s="718"/>
      <c r="AS16" s="717"/>
      <c r="AT16" s="717"/>
      <c r="AU16" s="3">
        <f t="shared" si="39"/>
        <v>0</v>
      </c>
      <c r="AX16" s="716"/>
      <c r="AY16" s="717"/>
      <c r="AZ16" s="717"/>
      <c r="BA16" s="3">
        <f t="shared" si="40"/>
        <v>0</v>
      </c>
      <c r="BC16" s="4"/>
      <c r="BD16" s="718"/>
      <c r="BE16" s="717"/>
      <c r="BF16" s="717"/>
      <c r="BG16" s="3">
        <f t="shared" si="41"/>
        <v>0</v>
      </c>
      <c r="BJ16" s="716"/>
      <c r="BK16" s="717"/>
      <c r="BL16" s="717"/>
      <c r="BM16" s="3">
        <f t="shared" si="42"/>
        <v>0</v>
      </c>
      <c r="BO16" s="4"/>
      <c r="BP16" s="716"/>
      <c r="BQ16" s="717"/>
      <c r="BR16" s="717"/>
      <c r="BS16" s="3">
        <f t="shared" si="43"/>
        <v>0</v>
      </c>
      <c r="BU16" s="4"/>
      <c r="BV16" s="716"/>
      <c r="BW16" s="717"/>
      <c r="BX16" s="717"/>
      <c r="BY16" s="3">
        <f t="shared" si="44"/>
        <v>0</v>
      </c>
      <c r="CA16" s="4"/>
      <c r="CB16" s="716"/>
      <c r="CC16" s="717"/>
      <c r="CD16" s="717"/>
      <c r="CE16" s="3">
        <f t="shared" si="45"/>
        <v>0</v>
      </c>
      <c r="CG16" s="4"/>
      <c r="CH16" s="716"/>
      <c r="CI16" s="717"/>
      <c r="CJ16" s="717"/>
      <c r="CK16" s="3">
        <f t="shared" si="46"/>
        <v>0</v>
      </c>
      <c r="CM16" s="4"/>
    </row>
    <row r="17" spans="1:91" x14ac:dyDescent="0.25">
      <c r="A17" s="715" t="s">
        <v>334</v>
      </c>
      <c r="B17" s="716"/>
      <c r="C17" s="717"/>
      <c r="D17" s="717"/>
      <c r="E17" s="3">
        <f t="shared" si="32"/>
        <v>0</v>
      </c>
      <c r="H17" s="716"/>
      <c r="I17" s="717"/>
      <c r="J17" s="717"/>
      <c r="K17" s="3">
        <f t="shared" si="33"/>
        <v>0</v>
      </c>
      <c r="N17" s="716"/>
      <c r="O17" s="717"/>
      <c r="P17" s="717"/>
      <c r="Q17" s="3">
        <f t="shared" si="34"/>
        <v>0</v>
      </c>
      <c r="S17" s="4"/>
      <c r="T17" s="716"/>
      <c r="U17" s="717"/>
      <c r="V17" s="717"/>
      <c r="W17" s="3">
        <f t="shared" si="35"/>
        <v>0</v>
      </c>
      <c r="Y17" s="4"/>
      <c r="Z17" s="716"/>
      <c r="AA17" s="717"/>
      <c r="AB17" s="717"/>
      <c r="AC17" s="3">
        <f t="shared" si="36"/>
        <v>0</v>
      </c>
      <c r="AE17" s="4"/>
      <c r="AF17" s="718"/>
      <c r="AG17" s="717"/>
      <c r="AH17" s="717"/>
      <c r="AI17" s="3">
        <f t="shared" si="37"/>
        <v>0</v>
      </c>
      <c r="AL17" s="716"/>
      <c r="AM17" s="717"/>
      <c r="AN17" s="717"/>
      <c r="AO17" s="3">
        <f t="shared" si="38"/>
        <v>0</v>
      </c>
      <c r="AQ17" s="4"/>
      <c r="AR17" s="718"/>
      <c r="AS17" s="717"/>
      <c r="AT17" s="717"/>
      <c r="AU17" s="3">
        <f t="shared" si="39"/>
        <v>0</v>
      </c>
      <c r="AX17" s="716"/>
      <c r="AY17" s="717"/>
      <c r="AZ17" s="717"/>
      <c r="BA17" s="3">
        <f t="shared" si="40"/>
        <v>0</v>
      </c>
      <c r="BC17" s="4"/>
      <c r="BD17" s="718"/>
      <c r="BE17" s="717">
        <v>2.21</v>
      </c>
      <c r="BF17" s="717"/>
      <c r="BG17" s="3">
        <f t="shared" si="41"/>
        <v>2.21</v>
      </c>
      <c r="BH17" s="3">
        <v>9.1999999999999993</v>
      </c>
      <c r="BI17" s="3">
        <v>119600</v>
      </c>
      <c r="BJ17" s="716"/>
      <c r="BK17" s="717"/>
      <c r="BL17" s="717"/>
      <c r="BM17" s="3">
        <f t="shared" si="42"/>
        <v>0</v>
      </c>
      <c r="BO17" s="4"/>
      <c r="BP17" s="716"/>
      <c r="BQ17" s="717"/>
      <c r="BR17" s="717"/>
      <c r="BS17" s="3">
        <f t="shared" si="43"/>
        <v>0</v>
      </c>
      <c r="BU17" s="4"/>
      <c r="BV17" s="716">
        <v>127</v>
      </c>
      <c r="BW17" s="717"/>
      <c r="BX17" s="717">
        <v>85.94</v>
      </c>
      <c r="BY17" s="3">
        <f t="shared" si="44"/>
        <v>85.94</v>
      </c>
      <c r="BZ17" s="3">
        <v>142.68</v>
      </c>
      <c r="CA17" s="4">
        <v>1812700</v>
      </c>
      <c r="CB17" s="716"/>
      <c r="CC17" s="717"/>
      <c r="CD17" s="717"/>
      <c r="CE17" s="3">
        <f t="shared" si="45"/>
        <v>0</v>
      </c>
      <c r="CG17" s="4"/>
      <c r="CH17" s="716">
        <v>26</v>
      </c>
      <c r="CI17" s="717"/>
      <c r="CJ17" s="717">
        <v>19.649999999999999</v>
      </c>
      <c r="CK17" s="3">
        <f t="shared" si="46"/>
        <v>19.649999999999999</v>
      </c>
      <c r="CL17" s="3">
        <v>13.44</v>
      </c>
      <c r="CM17" s="4">
        <v>303000</v>
      </c>
    </row>
    <row r="18" spans="1:91" x14ac:dyDescent="0.25">
      <c r="A18" s="715" t="s">
        <v>335</v>
      </c>
      <c r="B18" s="716"/>
      <c r="C18" s="717"/>
      <c r="D18" s="717"/>
      <c r="E18" s="3">
        <f t="shared" si="32"/>
        <v>0</v>
      </c>
      <c r="H18" s="716">
        <v>437</v>
      </c>
      <c r="I18" s="717"/>
      <c r="J18" s="717">
        <v>797.4</v>
      </c>
      <c r="K18" s="3">
        <f t="shared" si="33"/>
        <v>797.4</v>
      </c>
      <c r="L18" s="3">
        <v>1112.2</v>
      </c>
      <c r="M18" s="3">
        <v>14458639</v>
      </c>
      <c r="N18" s="716">
        <v>85</v>
      </c>
      <c r="O18" s="717">
        <v>92</v>
      </c>
      <c r="P18" s="717"/>
      <c r="Q18" s="3">
        <f t="shared" si="34"/>
        <v>92</v>
      </c>
      <c r="R18" s="3">
        <v>437</v>
      </c>
      <c r="S18" s="4">
        <v>6118000</v>
      </c>
      <c r="T18" s="716"/>
      <c r="U18" s="717"/>
      <c r="V18" s="717"/>
      <c r="W18" s="3">
        <f t="shared" si="35"/>
        <v>0</v>
      </c>
      <c r="Y18" s="4"/>
      <c r="Z18" s="716"/>
      <c r="AA18" s="717"/>
      <c r="AB18" s="717"/>
      <c r="AC18" s="3">
        <f t="shared" si="36"/>
        <v>0</v>
      </c>
      <c r="AE18" s="4"/>
      <c r="AF18" s="718"/>
      <c r="AG18" s="717"/>
      <c r="AH18" s="717"/>
      <c r="AI18" s="3">
        <f t="shared" si="37"/>
        <v>0</v>
      </c>
      <c r="AL18" s="716"/>
      <c r="AM18" s="717"/>
      <c r="AN18" s="717"/>
      <c r="AO18" s="3">
        <f t="shared" si="38"/>
        <v>0</v>
      </c>
      <c r="AQ18" s="4"/>
      <c r="AR18" s="718"/>
      <c r="AS18" s="717"/>
      <c r="AT18" s="717"/>
      <c r="AU18" s="3">
        <f t="shared" si="39"/>
        <v>0</v>
      </c>
      <c r="AX18" s="716">
        <v>299</v>
      </c>
      <c r="AY18" s="717"/>
      <c r="AZ18" s="717">
        <v>450.2</v>
      </c>
      <c r="BA18" s="3">
        <f t="shared" si="40"/>
        <v>450.2</v>
      </c>
      <c r="BB18" s="3">
        <v>489.56</v>
      </c>
      <c r="BC18" s="4">
        <v>9791200</v>
      </c>
      <c r="BD18" s="718">
        <v>194</v>
      </c>
      <c r="BE18" s="717"/>
      <c r="BF18" s="717">
        <v>291.67</v>
      </c>
      <c r="BG18" s="3">
        <f t="shared" si="41"/>
        <v>291.67</v>
      </c>
      <c r="BH18" s="3">
        <v>1166.69</v>
      </c>
      <c r="BI18" s="3">
        <v>12833541.6</v>
      </c>
      <c r="BJ18" s="716"/>
      <c r="BK18" s="717"/>
      <c r="BL18" s="717"/>
      <c r="BM18" s="3">
        <f t="shared" si="42"/>
        <v>0</v>
      </c>
      <c r="BO18" s="4"/>
      <c r="BP18" s="716"/>
      <c r="BQ18" s="717"/>
      <c r="BR18" s="717"/>
      <c r="BS18" s="3">
        <f t="shared" si="43"/>
        <v>0</v>
      </c>
      <c r="BU18" s="4"/>
      <c r="BV18" s="716">
        <v>176</v>
      </c>
      <c r="BW18" s="717"/>
      <c r="BX18" s="717">
        <v>276.93</v>
      </c>
      <c r="BY18" s="3">
        <f t="shared" si="44"/>
        <v>276.93</v>
      </c>
      <c r="BZ18" s="3">
        <v>816.67</v>
      </c>
      <c r="CA18" s="4">
        <v>9012733.1500000004</v>
      </c>
      <c r="CB18" s="716"/>
      <c r="CC18" s="717"/>
      <c r="CD18" s="717"/>
      <c r="CE18" s="3">
        <f t="shared" si="45"/>
        <v>0</v>
      </c>
      <c r="CG18" s="4"/>
      <c r="CH18" s="716">
        <v>55</v>
      </c>
      <c r="CI18" s="717">
        <v>4.7</v>
      </c>
      <c r="CJ18" s="717">
        <v>290.45</v>
      </c>
      <c r="CK18" s="3">
        <f t="shared" si="46"/>
        <v>295.14999999999998</v>
      </c>
      <c r="CL18" s="3">
        <v>1040.27</v>
      </c>
      <c r="CM18" s="4">
        <v>12669448</v>
      </c>
    </row>
    <row r="19" spans="1:91" x14ac:dyDescent="0.25">
      <c r="A19" s="715" t="s">
        <v>328</v>
      </c>
      <c r="B19" s="716"/>
      <c r="C19" s="717"/>
      <c r="D19" s="717"/>
      <c r="E19" s="3">
        <f t="shared" si="32"/>
        <v>0</v>
      </c>
      <c r="H19" s="716"/>
      <c r="I19" s="717"/>
      <c r="J19" s="717"/>
      <c r="K19" s="3">
        <f t="shared" si="33"/>
        <v>0</v>
      </c>
      <c r="N19" s="716"/>
      <c r="O19" s="717"/>
      <c r="P19" s="717"/>
      <c r="Q19" s="3">
        <f t="shared" si="34"/>
        <v>0</v>
      </c>
      <c r="S19" s="4"/>
      <c r="T19" s="716"/>
      <c r="U19" s="717"/>
      <c r="V19" s="717"/>
      <c r="W19" s="3">
        <f t="shared" si="35"/>
        <v>0</v>
      </c>
      <c r="Y19" s="4"/>
      <c r="Z19" s="716">
        <v>434</v>
      </c>
      <c r="AA19" s="717"/>
      <c r="AB19" s="717">
        <v>948</v>
      </c>
      <c r="AC19" s="3">
        <f t="shared" si="36"/>
        <v>948</v>
      </c>
      <c r="AD19" s="3">
        <v>230</v>
      </c>
      <c r="AE19" s="4">
        <v>3449925</v>
      </c>
      <c r="AF19" s="718"/>
      <c r="AG19" s="717"/>
      <c r="AH19" s="717"/>
      <c r="AI19" s="3">
        <f t="shared" si="37"/>
        <v>0</v>
      </c>
      <c r="AL19" s="716"/>
      <c r="AM19" s="717"/>
      <c r="AN19" s="717"/>
      <c r="AO19" s="3">
        <f t="shared" si="38"/>
        <v>0</v>
      </c>
      <c r="AQ19" s="4"/>
      <c r="AR19" s="718"/>
      <c r="AS19" s="717"/>
      <c r="AT19" s="717"/>
      <c r="AU19" s="3">
        <f t="shared" si="39"/>
        <v>0</v>
      </c>
      <c r="AX19" s="716">
        <v>306</v>
      </c>
      <c r="AY19" s="717"/>
      <c r="AZ19" s="717">
        <v>213.9</v>
      </c>
      <c r="BA19" s="3">
        <f t="shared" si="40"/>
        <v>213.9</v>
      </c>
      <c r="BB19" s="3">
        <v>226.32</v>
      </c>
      <c r="BC19" s="4">
        <v>3847440</v>
      </c>
      <c r="BD19" s="718">
        <v>22</v>
      </c>
      <c r="BE19" s="717">
        <v>1.5</v>
      </c>
      <c r="BF19" s="717"/>
      <c r="BG19" s="3">
        <v>5</v>
      </c>
      <c r="BH19" s="3">
        <v>54.25</v>
      </c>
      <c r="BI19" s="3">
        <v>596750</v>
      </c>
      <c r="BJ19" s="716"/>
      <c r="BK19" s="717"/>
      <c r="BL19" s="717"/>
      <c r="BM19" s="3">
        <f t="shared" si="42"/>
        <v>0</v>
      </c>
      <c r="BO19" s="4"/>
      <c r="BP19" s="716"/>
      <c r="BQ19" s="717"/>
      <c r="BR19" s="717"/>
      <c r="BS19" s="3">
        <f t="shared" si="43"/>
        <v>0</v>
      </c>
      <c r="BU19" s="4"/>
      <c r="BV19" s="716">
        <v>46</v>
      </c>
      <c r="BW19" s="717"/>
      <c r="BX19" s="717">
        <v>57.3</v>
      </c>
      <c r="BY19" s="3">
        <f t="shared" si="44"/>
        <v>57.3</v>
      </c>
      <c r="BZ19" s="3">
        <v>49.56</v>
      </c>
      <c r="CA19" s="4">
        <v>636362.13</v>
      </c>
      <c r="CB19" s="716"/>
      <c r="CC19" s="717"/>
      <c r="CD19" s="717"/>
      <c r="CE19" s="3">
        <f t="shared" si="45"/>
        <v>0</v>
      </c>
      <c r="CG19" s="4"/>
      <c r="CH19" s="716">
        <v>30</v>
      </c>
      <c r="CI19" s="717"/>
      <c r="CJ19" s="717">
        <v>43.87</v>
      </c>
      <c r="CK19" s="3">
        <f t="shared" si="46"/>
        <v>43.87</v>
      </c>
      <c r="CL19" s="3">
        <v>51.24</v>
      </c>
      <c r="CM19" s="4">
        <v>571546.42000000004</v>
      </c>
    </row>
    <row r="20" spans="1:91" x14ac:dyDescent="0.25">
      <c r="A20" s="715" t="s">
        <v>336</v>
      </c>
      <c r="B20" s="716"/>
      <c r="C20" s="717"/>
      <c r="D20" s="717"/>
      <c r="E20" s="3">
        <f t="shared" si="32"/>
        <v>0</v>
      </c>
      <c r="H20" s="716"/>
      <c r="I20" s="717"/>
      <c r="J20" s="717"/>
      <c r="K20" s="3">
        <f t="shared" si="33"/>
        <v>0</v>
      </c>
      <c r="N20" s="716"/>
      <c r="O20" s="717"/>
      <c r="P20" s="717"/>
      <c r="Q20" s="3">
        <f t="shared" si="34"/>
        <v>0</v>
      </c>
      <c r="S20" s="4"/>
      <c r="T20" s="716"/>
      <c r="U20" s="717"/>
      <c r="V20" s="717"/>
      <c r="W20" s="3">
        <f t="shared" si="35"/>
        <v>0</v>
      </c>
      <c r="Y20" s="4"/>
      <c r="Z20" s="716"/>
      <c r="AA20" s="717"/>
      <c r="AB20" s="717"/>
      <c r="AC20" s="3">
        <f t="shared" si="36"/>
        <v>0</v>
      </c>
      <c r="AE20" s="4"/>
      <c r="AF20" s="718"/>
      <c r="AG20" s="717"/>
      <c r="AH20" s="717"/>
      <c r="AI20" s="3">
        <f t="shared" si="37"/>
        <v>0</v>
      </c>
      <c r="AL20" s="716"/>
      <c r="AM20" s="717"/>
      <c r="AN20" s="717"/>
      <c r="AO20" s="3">
        <f t="shared" si="38"/>
        <v>0</v>
      </c>
      <c r="AQ20" s="4"/>
      <c r="AR20" s="718"/>
      <c r="AS20" s="717"/>
      <c r="AT20" s="717"/>
      <c r="AU20" s="3">
        <f t="shared" si="39"/>
        <v>0</v>
      </c>
      <c r="AX20" s="716"/>
      <c r="AY20" s="717"/>
      <c r="AZ20" s="717"/>
      <c r="BA20" s="3">
        <f t="shared" si="40"/>
        <v>0</v>
      </c>
      <c r="BC20" s="4"/>
      <c r="BD20" s="718"/>
      <c r="BE20" s="717"/>
      <c r="BF20" s="717"/>
      <c r="BG20" s="3">
        <f t="shared" si="41"/>
        <v>0</v>
      </c>
      <c r="BJ20" s="716"/>
      <c r="BK20" s="717"/>
      <c r="BL20" s="717"/>
      <c r="BM20" s="3">
        <f t="shared" si="42"/>
        <v>0</v>
      </c>
      <c r="BO20" s="4"/>
      <c r="BP20" s="716"/>
      <c r="BQ20" s="717"/>
      <c r="BR20" s="717"/>
      <c r="BS20" s="3">
        <f t="shared" si="43"/>
        <v>0</v>
      </c>
      <c r="BU20" s="4"/>
      <c r="BV20" s="716">
        <v>41</v>
      </c>
      <c r="BW20" s="717"/>
      <c r="BX20" s="717">
        <v>31.8</v>
      </c>
      <c r="BY20" s="3">
        <f t="shared" si="44"/>
        <v>31.8</v>
      </c>
      <c r="BZ20" s="3">
        <v>66.78</v>
      </c>
      <c r="CA20" s="4">
        <v>801360</v>
      </c>
      <c r="CB20" s="716"/>
      <c r="CC20" s="717"/>
      <c r="CD20" s="717"/>
      <c r="CE20" s="3">
        <f t="shared" si="45"/>
        <v>0</v>
      </c>
      <c r="CG20" s="4"/>
      <c r="CH20" s="716">
        <v>41</v>
      </c>
      <c r="CI20" s="717"/>
      <c r="CJ20" s="717">
        <v>44.38</v>
      </c>
      <c r="CK20" s="3">
        <f t="shared" si="46"/>
        <v>44.38</v>
      </c>
      <c r="CL20" s="3">
        <v>124.26</v>
      </c>
      <c r="CM20" s="4">
        <v>1801828</v>
      </c>
    </row>
    <row r="21" spans="1:91" s="704" customFormat="1" x14ac:dyDescent="0.25">
      <c r="A21" s="722" t="s">
        <v>337</v>
      </c>
      <c r="B21" s="723">
        <f>SUM(B22:B50)</f>
        <v>0</v>
      </c>
      <c r="C21" s="724">
        <f>SUM(C22:C50)</f>
        <v>2001.5700000000002</v>
      </c>
      <c r="D21" s="724">
        <f t="shared" ref="D21:F21" si="47">SUM(D22:D50)</f>
        <v>2454.0099999999998</v>
      </c>
      <c r="E21" s="724">
        <f t="shared" si="47"/>
        <v>4455.58</v>
      </c>
      <c r="F21" s="724">
        <f t="shared" si="47"/>
        <v>2209.2799999999997</v>
      </c>
      <c r="G21" s="725">
        <f>SUM(G22:G50)</f>
        <v>87398598</v>
      </c>
      <c r="H21" s="723">
        <f>SUM(H22:H50)</f>
        <v>168</v>
      </c>
      <c r="I21" s="724">
        <f>SUM(I22:I50)</f>
        <v>352.29999999999995</v>
      </c>
      <c r="J21" s="724">
        <f t="shared" ref="J21:L21" si="48">SUM(J22:J50)</f>
        <v>882.71999999999991</v>
      </c>
      <c r="K21" s="724">
        <f t="shared" si="48"/>
        <v>1235.02</v>
      </c>
      <c r="L21" s="724">
        <f t="shared" si="48"/>
        <v>3384.8900000000003</v>
      </c>
      <c r="M21" s="725">
        <f>SUM(M22:M50)</f>
        <v>40713495</v>
      </c>
      <c r="N21" s="723">
        <f>SUM(N22:N50)</f>
        <v>690</v>
      </c>
      <c r="O21" s="724">
        <f>SUM(O22:O50)</f>
        <v>551.81000000000006</v>
      </c>
      <c r="P21" s="724">
        <f t="shared" ref="P21:R21" si="49">SUM(P22:P50)</f>
        <v>140.6</v>
      </c>
      <c r="Q21" s="724">
        <f t="shared" si="49"/>
        <v>692.41</v>
      </c>
      <c r="R21" s="724">
        <f t="shared" si="49"/>
        <v>2949.5</v>
      </c>
      <c r="S21" s="731">
        <f>SUM(S22:S50)</f>
        <v>47159427.5</v>
      </c>
      <c r="T21" s="723">
        <f>SUM(T22:T50)</f>
        <v>0</v>
      </c>
      <c r="U21" s="724">
        <f>SUM(U22:U50)</f>
        <v>0</v>
      </c>
      <c r="V21" s="724">
        <f t="shared" ref="V21:X21" si="50">SUM(V22:V50)</f>
        <v>0</v>
      </c>
      <c r="W21" s="724">
        <f t="shared" si="50"/>
        <v>0</v>
      </c>
      <c r="X21" s="724">
        <f t="shared" si="50"/>
        <v>0</v>
      </c>
      <c r="Y21" s="731">
        <f>SUM(Y22:Y50)</f>
        <v>0</v>
      </c>
      <c r="Z21" s="723">
        <f>SUM(Z22:Z50)</f>
        <v>115</v>
      </c>
      <c r="AA21" s="724">
        <f>SUM(AA22:AA50)</f>
        <v>0</v>
      </c>
      <c r="AB21" s="724">
        <f t="shared" ref="AB21:AD21" si="51">SUM(AB22:AB50)</f>
        <v>105.1</v>
      </c>
      <c r="AC21" s="724">
        <f t="shared" si="51"/>
        <v>105.1</v>
      </c>
      <c r="AD21" s="724">
        <f t="shared" si="51"/>
        <v>316.83</v>
      </c>
      <c r="AE21" s="731">
        <f>SUM(AE22:AE50)</f>
        <v>4732550</v>
      </c>
      <c r="AF21" s="730">
        <f>SUM(AF22:AF50)</f>
        <v>0</v>
      </c>
      <c r="AG21" s="724">
        <f>SUM(AG22:AG50)</f>
        <v>0</v>
      </c>
      <c r="AH21" s="724">
        <f t="shared" ref="AH21" si="52">SUM(AH22:AH50)</f>
        <v>0</v>
      </c>
      <c r="AI21" s="724">
        <f t="shared" ref="AI21" si="53">SUM(AI22:AI50)</f>
        <v>0</v>
      </c>
      <c r="AJ21" s="724">
        <f t="shared" ref="AJ21" si="54">SUM(AJ22:AJ50)</f>
        <v>0</v>
      </c>
      <c r="AK21" s="725">
        <f>SUM(AK22:AK50)</f>
        <v>0</v>
      </c>
      <c r="AL21" s="723">
        <f>SUM(AL22:AL50)</f>
        <v>0</v>
      </c>
      <c r="AM21" s="724">
        <f>SUM(AM22:AM50)</f>
        <v>0</v>
      </c>
      <c r="AN21" s="724">
        <f t="shared" ref="AN21:AP21" si="55">SUM(AN22:AN50)</f>
        <v>0</v>
      </c>
      <c r="AO21" s="724">
        <f t="shared" si="55"/>
        <v>0</v>
      </c>
      <c r="AP21" s="724">
        <f t="shared" si="55"/>
        <v>0</v>
      </c>
      <c r="AQ21" s="731">
        <f>SUM(AQ22:AQ50)</f>
        <v>0</v>
      </c>
      <c r="AR21" s="730">
        <f>SUM(AR22:AR50)</f>
        <v>0</v>
      </c>
      <c r="AS21" s="724">
        <f>SUM(AS22:AS50)</f>
        <v>0</v>
      </c>
      <c r="AT21" s="724">
        <f t="shared" ref="AT21" si="56">SUM(AT22:AT50)</f>
        <v>0</v>
      </c>
      <c r="AU21" s="724">
        <f t="shared" ref="AU21" si="57">SUM(AU22:AU50)</f>
        <v>0</v>
      </c>
      <c r="AV21" s="724">
        <f t="shared" ref="AV21" si="58">SUM(AV22:AV50)</f>
        <v>0</v>
      </c>
      <c r="AW21" s="725">
        <f>SUM(AW22:AW50)</f>
        <v>0</v>
      </c>
      <c r="AX21" s="723">
        <f>SUM(AX22:AX50)</f>
        <v>361</v>
      </c>
      <c r="AY21" s="724">
        <f>SUM(AY22:AY50)</f>
        <v>43.3</v>
      </c>
      <c r="AZ21" s="724">
        <f t="shared" ref="AZ21" si="59">SUM(AZ22:AZ50)</f>
        <v>300.39999999999998</v>
      </c>
      <c r="BA21" s="724">
        <f t="shared" ref="BA21" si="60">SUM(BA22:BA50)</f>
        <v>343.7</v>
      </c>
      <c r="BB21" s="724">
        <f>SUM(BB22:BB50)</f>
        <v>803.15</v>
      </c>
      <c r="BC21" s="731">
        <f>SUM(BC22:BC50)</f>
        <v>17427370</v>
      </c>
      <c r="BD21" s="730">
        <f>SUM(BD22:BD50)</f>
        <v>218</v>
      </c>
      <c r="BE21" s="724">
        <f>SUM(BE22:BE50)</f>
        <v>47.7</v>
      </c>
      <c r="BF21" s="724">
        <f t="shared" ref="BF21" si="61">SUM(BF22:BF50)</f>
        <v>205.37000000000003</v>
      </c>
      <c r="BG21" s="724">
        <f t="shared" ref="BG21" si="62">SUM(BG22:BG50)</f>
        <v>253.07000000000005</v>
      </c>
      <c r="BH21" s="724">
        <f t="shared" ref="BH21" si="63">SUM(BH22:BH50)</f>
        <v>846.51</v>
      </c>
      <c r="BI21" s="725">
        <f>SUM(BI22:BI50)</f>
        <v>10789419.800000001</v>
      </c>
      <c r="BJ21" s="723">
        <f>SUM(BJ22:BJ50)</f>
        <v>68</v>
      </c>
      <c r="BK21" s="724">
        <f>SUM(BK22:BK50)</f>
        <v>13.05</v>
      </c>
      <c r="BL21" s="724">
        <f t="shared" ref="BL21" si="64">SUM(BL22:BL50)</f>
        <v>42.03</v>
      </c>
      <c r="BM21" s="724">
        <f t="shared" ref="BM21" si="65">SUM(BM22:BM50)</f>
        <v>55.08</v>
      </c>
      <c r="BN21" s="724">
        <f t="shared" ref="BN21" si="66">SUM(BN22:BN50)</f>
        <v>253.84</v>
      </c>
      <c r="BO21" s="731">
        <f>SUM(BO22:BO50)</f>
        <v>4448327.07</v>
      </c>
      <c r="BP21" s="723">
        <f>SUM(BP22:BP50)</f>
        <v>0</v>
      </c>
      <c r="BQ21" s="724">
        <f>SUM(BQ22:BQ50)</f>
        <v>0</v>
      </c>
      <c r="BR21" s="724">
        <f t="shared" ref="BR21" si="67">SUM(BR22:BR50)</f>
        <v>0</v>
      </c>
      <c r="BS21" s="724">
        <f t="shared" ref="BS21" si="68">SUM(BS22:BS50)</f>
        <v>0</v>
      </c>
      <c r="BT21" s="724">
        <f t="shared" ref="BT21" si="69">SUM(BT22:BT50)</f>
        <v>0</v>
      </c>
      <c r="BU21" s="731">
        <f>SUM(BU22:BU50)</f>
        <v>0</v>
      </c>
      <c r="BV21" s="723">
        <f>SUM(BV22:BV50)</f>
        <v>1759</v>
      </c>
      <c r="BW21" s="724">
        <f>SUM(BW22:BW50)</f>
        <v>787.56</v>
      </c>
      <c r="BX21" s="724">
        <f t="shared" ref="BX21" si="70">SUM(BX22:BX50)</f>
        <v>1733.27</v>
      </c>
      <c r="BY21" s="724">
        <f t="shared" ref="BY21" si="71">SUM(BY22:BY50)</f>
        <v>2520.83</v>
      </c>
      <c r="BZ21" s="724">
        <f t="shared" ref="BZ21" si="72">SUM(BZ22:BZ50)</f>
        <v>5936.1900000000005</v>
      </c>
      <c r="CA21" s="731">
        <f>SUM(CA22:CA50)</f>
        <v>72769509.950000003</v>
      </c>
      <c r="CB21" s="723">
        <f>SUM(CB22:CB50)</f>
        <v>230</v>
      </c>
      <c r="CC21" s="724">
        <f>SUM(CC22:CC50)</f>
        <v>79.89</v>
      </c>
      <c r="CD21" s="724">
        <f t="shared" ref="CD21" si="73">SUM(CD22:CD50)</f>
        <v>225.07999999999998</v>
      </c>
      <c r="CE21" s="724">
        <f t="shared" ref="CE21" si="74">SUM(CE22:CE50)</f>
        <v>304.96999999999997</v>
      </c>
      <c r="CF21" s="724">
        <f t="shared" ref="CF21" si="75">SUM(CF22:CF50)</f>
        <v>783.55</v>
      </c>
      <c r="CG21" s="731">
        <f>SUM(CG22:CG50)</f>
        <v>9813382.9800000004</v>
      </c>
      <c r="CH21" s="723">
        <f>SUM(CH22:CH50)</f>
        <v>1178</v>
      </c>
      <c r="CI21" s="724">
        <f>SUM(CI22:CI50)</f>
        <v>983.8</v>
      </c>
      <c r="CJ21" s="724">
        <f t="shared" ref="CJ21" si="76">SUM(CJ22:CJ50)</f>
        <v>755.27</v>
      </c>
      <c r="CK21" s="724">
        <f t="shared" ref="CK21" si="77">SUM(CK22:CK50)</f>
        <v>1739.0700000000002</v>
      </c>
      <c r="CL21" s="724">
        <f t="shared" ref="CL21" si="78">SUM(CL22:CL50)</f>
        <v>3430.55</v>
      </c>
      <c r="CM21" s="731">
        <f>SUM(CM22:CM50)</f>
        <v>44064296.609999999</v>
      </c>
    </row>
    <row r="22" spans="1:91" x14ac:dyDescent="0.25">
      <c r="A22" s="715" t="s">
        <v>338</v>
      </c>
      <c r="B22" s="716"/>
      <c r="C22" s="717"/>
      <c r="D22" s="717"/>
      <c r="E22" s="3">
        <f>SUM(C22:D22)</f>
        <v>0</v>
      </c>
      <c r="H22" s="716"/>
      <c r="I22" s="717"/>
      <c r="J22" s="717"/>
      <c r="K22" s="3">
        <f>SUM(I22:J22)</f>
        <v>0</v>
      </c>
      <c r="N22" s="716"/>
      <c r="O22" s="717"/>
      <c r="P22" s="717"/>
      <c r="Q22" s="3">
        <f>SUM(O22:P22)</f>
        <v>0</v>
      </c>
      <c r="S22" s="4"/>
      <c r="T22" s="716"/>
      <c r="U22" s="717"/>
      <c r="V22" s="717"/>
      <c r="W22" s="3">
        <f>SUM(U22:V22)</f>
        <v>0</v>
      </c>
      <c r="Y22" s="4"/>
      <c r="Z22" s="716"/>
      <c r="AA22" s="717"/>
      <c r="AB22" s="717"/>
      <c r="AC22" s="3">
        <f>SUM(AA22:AB22)</f>
        <v>0</v>
      </c>
      <c r="AE22" s="4"/>
      <c r="AF22" s="718"/>
      <c r="AG22" s="717"/>
      <c r="AH22" s="717"/>
      <c r="AI22" s="3">
        <f>SUM(AG22:AH22)</f>
        <v>0</v>
      </c>
      <c r="AL22" s="716"/>
      <c r="AM22" s="717"/>
      <c r="AN22" s="717"/>
      <c r="AO22" s="3">
        <f>SUM(AM22:AN22)</f>
        <v>0</v>
      </c>
      <c r="AQ22" s="4"/>
      <c r="AR22" s="718"/>
      <c r="AS22" s="717"/>
      <c r="AT22" s="717"/>
      <c r="AU22" s="3">
        <f>SUM(AS22:AT22)</f>
        <v>0</v>
      </c>
      <c r="AX22" s="716"/>
      <c r="AY22" s="717"/>
      <c r="AZ22" s="717"/>
      <c r="BA22" s="3">
        <f>SUM(AY22:AZ22)</f>
        <v>0</v>
      </c>
      <c r="BC22" s="4"/>
      <c r="BD22" s="718"/>
      <c r="BE22" s="717"/>
      <c r="BF22" s="717"/>
      <c r="BG22" s="3">
        <f>SUM(BE22:BF22)</f>
        <v>0</v>
      </c>
      <c r="BJ22" s="716">
        <v>3</v>
      </c>
      <c r="BK22" s="717"/>
      <c r="BL22" s="717">
        <v>1.5</v>
      </c>
      <c r="BM22" s="3">
        <f>SUM(BK22:BL22)</f>
        <v>1.5</v>
      </c>
      <c r="BN22" s="3">
        <v>3.64</v>
      </c>
      <c r="BO22" s="4">
        <v>58472.81</v>
      </c>
      <c r="BP22" s="716"/>
      <c r="BQ22" s="717"/>
      <c r="BR22" s="717"/>
      <c r="BS22" s="3">
        <f>SUM(BQ22:BR22)</f>
        <v>0</v>
      </c>
      <c r="BU22" s="4"/>
      <c r="BV22" s="716">
        <v>206</v>
      </c>
      <c r="BW22" s="717">
        <v>44</v>
      </c>
      <c r="BX22" s="717">
        <v>208.15</v>
      </c>
      <c r="BY22" s="3">
        <f>SUM(BW22:BX22)</f>
        <v>252.15</v>
      </c>
      <c r="BZ22" s="3">
        <v>313.5</v>
      </c>
      <c r="CA22" s="4">
        <v>3561133.99</v>
      </c>
      <c r="CB22" s="716"/>
      <c r="CC22" s="717"/>
      <c r="CD22" s="717"/>
      <c r="CE22" s="3">
        <f>SUM(CC22:CD22)</f>
        <v>0</v>
      </c>
      <c r="CG22" s="4"/>
      <c r="CH22" s="716"/>
      <c r="CI22" s="717"/>
      <c r="CJ22" s="717"/>
      <c r="CK22" s="3">
        <f>SUM(CI22:CJ22)</f>
        <v>0</v>
      </c>
      <c r="CM22" s="4"/>
    </row>
    <row r="23" spans="1:91" x14ac:dyDescent="0.25">
      <c r="A23" s="715" t="s">
        <v>339</v>
      </c>
      <c r="B23" s="716"/>
      <c r="C23" s="717">
        <v>18.66</v>
      </c>
      <c r="D23" s="717">
        <v>24.93</v>
      </c>
      <c r="E23" s="3">
        <f t="shared" ref="E23:E50" si="79">SUM(C23:D23)</f>
        <v>43.59</v>
      </c>
      <c r="F23" s="3">
        <v>143.16</v>
      </c>
      <c r="G23" s="3">
        <v>3149520</v>
      </c>
      <c r="H23" s="716"/>
      <c r="I23" s="717"/>
      <c r="J23" s="717"/>
      <c r="K23" s="3">
        <f t="shared" ref="K23:K50" si="80">SUM(I23:J23)</f>
        <v>0</v>
      </c>
      <c r="N23" s="716">
        <v>26</v>
      </c>
      <c r="O23" s="717">
        <v>2.7</v>
      </c>
      <c r="P23" s="717">
        <v>31.6</v>
      </c>
      <c r="Q23" s="3">
        <f t="shared" ref="Q23:Q50" si="81">SUM(O23:P23)</f>
        <v>34.300000000000004</v>
      </c>
      <c r="R23" s="3">
        <v>13.5</v>
      </c>
      <c r="S23" s="4">
        <v>3948250</v>
      </c>
      <c r="T23" s="716"/>
      <c r="U23" s="717"/>
      <c r="V23" s="717"/>
      <c r="W23" s="3">
        <f t="shared" ref="W23:W50" si="82">SUM(U23:V23)</f>
        <v>0</v>
      </c>
      <c r="Y23" s="4"/>
      <c r="Z23" s="716"/>
      <c r="AA23" s="717"/>
      <c r="AB23" s="717"/>
      <c r="AC23" s="3">
        <f t="shared" ref="AC23:AC86" si="83">SUM(AA23:AB23)</f>
        <v>0</v>
      </c>
      <c r="AE23" s="4"/>
      <c r="AF23" s="718"/>
      <c r="AG23" s="717"/>
      <c r="AH23" s="717"/>
      <c r="AI23" s="3">
        <f t="shared" ref="AI23:AI50" si="84">SUM(AG23:AH23)</f>
        <v>0</v>
      </c>
      <c r="AL23" s="716"/>
      <c r="AM23" s="717"/>
      <c r="AN23" s="717"/>
      <c r="AO23" s="3">
        <f t="shared" ref="AO23:AO50" si="85">SUM(AM23:AN23)</f>
        <v>0</v>
      </c>
      <c r="AQ23" s="4"/>
      <c r="AR23" s="718"/>
      <c r="AS23" s="717"/>
      <c r="AT23" s="717"/>
      <c r="AU23" s="3">
        <f t="shared" ref="AU23:AU50" si="86">SUM(AS23:AT23)</f>
        <v>0</v>
      </c>
      <c r="AX23" s="716"/>
      <c r="AY23" s="717"/>
      <c r="AZ23" s="717"/>
      <c r="BA23" s="3">
        <f t="shared" ref="BA23:BA50" si="87">SUM(AY23:AZ23)</f>
        <v>0</v>
      </c>
      <c r="BC23" s="4"/>
      <c r="BD23" s="718">
        <v>9</v>
      </c>
      <c r="BE23" s="717"/>
      <c r="BF23" s="717">
        <v>13</v>
      </c>
      <c r="BG23" s="3">
        <f t="shared" ref="BG23:BG50" si="88">SUM(BE23:BF23)</f>
        <v>13</v>
      </c>
      <c r="BH23" s="3">
        <v>4.0999999999999996</v>
      </c>
      <c r="BI23" s="3">
        <v>60800</v>
      </c>
      <c r="BJ23" s="716"/>
      <c r="BK23" s="717"/>
      <c r="BL23" s="717"/>
      <c r="BM23" s="3">
        <f t="shared" ref="BM23:BM50" si="89">SUM(BK23:BL23)</f>
        <v>0</v>
      </c>
      <c r="BO23" s="4"/>
      <c r="BP23" s="716"/>
      <c r="BQ23" s="717"/>
      <c r="BR23" s="717"/>
      <c r="BS23" s="3">
        <f t="shared" ref="BS23:BS50" si="90">SUM(BQ23:BR23)</f>
        <v>0</v>
      </c>
      <c r="BU23" s="4"/>
      <c r="BV23" s="716">
        <v>17</v>
      </c>
      <c r="BW23" s="717"/>
      <c r="BX23" s="717">
        <v>39.299999999999997</v>
      </c>
      <c r="BY23" s="3">
        <f t="shared" ref="BY23:BY50" si="91">SUM(BW23:BX23)</f>
        <v>39.299999999999997</v>
      </c>
      <c r="BZ23" s="3">
        <v>65.8</v>
      </c>
      <c r="CA23" s="4">
        <v>789540</v>
      </c>
      <c r="CB23" s="716"/>
      <c r="CC23" s="717"/>
      <c r="CD23" s="717"/>
      <c r="CE23" s="3">
        <f t="shared" ref="CE23:CE50" si="92">SUM(CC23:CD23)</f>
        <v>0</v>
      </c>
      <c r="CG23" s="4"/>
      <c r="CH23" s="716">
        <v>16</v>
      </c>
      <c r="CI23" s="717"/>
      <c r="CJ23" s="717">
        <v>34.299999999999997</v>
      </c>
      <c r="CK23" s="3">
        <f t="shared" ref="CK23:CK50" si="93">SUM(CI23:CJ23)</f>
        <v>34.299999999999997</v>
      </c>
      <c r="CL23" s="3">
        <v>22.72</v>
      </c>
      <c r="CM23" s="4">
        <v>275080</v>
      </c>
    </row>
    <row r="24" spans="1:91" x14ac:dyDescent="0.25">
      <c r="A24" s="715" t="s">
        <v>340</v>
      </c>
      <c r="B24" s="716"/>
      <c r="C24" s="717">
        <v>124.9</v>
      </c>
      <c r="D24" s="717"/>
      <c r="E24" s="3">
        <f t="shared" si="79"/>
        <v>124.9</v>
      </c>
      <c r="F24" s="3">
        <v>405.45</v>
      </c>
      <c r="G24" s="3">
        <v>9407100</v>
      </c>
      <c r="H24" s="716"/>
      <c r="I24" s="717"/>
      <c r="J24" s="717"/>
      <c r="K24" s="3">
        <f t="shared" si="80"/>
        <v>0</v>
      </c>
      <c r="N24" s="716"/>
      <c r="O24" s="717"/>
      <c r="P24" s="717"/>
      <c r="Q24" s="3">
        <f t="shared" si="81"/>
        <v>0</v>
      </c>
      <c r="S24" s="4"/>
      <c r="T24" s="716"/>
      <c r="U24" s="717"/>
      <c r="V24" s="717"/>
      <c r="W24" s="3">
        <f t="shared" si="82"/>
        <v>0</v>
      </c>
      <c r="Y24" s="4"/>
      <c r="Z24" s="716"/>
      <c r="AA24" s="717"/>
      <c r="AB24" s="717"/>
      <c r="AC24" s="3">
        <f t="shared" si="83"/>
        <v>0</v>
      </c>
      <c r="AE24" s="4"/>
      <c r="AF24" s="718"/>
      <c r="AG24" s="717"/>
      <c r="AH24" s="717"/>
      <c r="AI24" s="3">
        <f t="shared" si="84"/>
        <v>0</v>
      </c>
      <c r="AL24" s="716"/>
      <c r="AM24" s="717"/>
      <c r="AN24" s="717"/>
      <c r="AO24" s="3">
        <f t="shared" si="85"/>
        <v>0</v>
      </c>
      <c r="AQ24" s="4"/>
      <c r="AR24" s="718"/>
      <c r="AS24" s="717"/>
      <c r="AT24" s="717"/>
      <c r="AU24" s="3">
        <f t="shared" si="86"/>
        <v>0</v>
      </c>
      <c r="AX24" s="716"/>
      <c r="AY24" s="717"/>
      <c r="AZ24" s="717"/>
      <c r="BA24" s="3">
        <f t="shared" si="87"/>
        <v>0</v>
      </c>
      <c r="BC24" s="4"/>
      <c r="BD24" s="718"/>
      <c r="BE24" s="717"/>
      <c r="BF24" s="717"/>
      <c r="BG24" s="3">
        <f t="shared" si="88"/>
        <v>0</v>
      </c>
      <c r="BJ24" s="716"/>
      <c r="BK24" s="717"/>
      <c r="BL24" s="717"/>
      <c r="BM24" s="3">
        <f t="shared" si="89"/>
        <v>0</v>
      </c>
      <c r="BO24" s="4"/>
      <c r="BP24" s="716"/>
      <c r="BQ24" s="717"/>
      <c r="BR24" s="717"/>
      <c r="BS24" s="3">
        <f t="shared" si="90"/>
        <v>0</v>
      </c>
      <c r="BU24" s="4"/>
      <c r="BV24" s="716">
        <v>11</v>
      </c>
      <c r="BW24" s="717"/>
      <c r="BX24" s="717">
        <v>20.3</v>
      </c>
      <c r="BY24" s="3">
        <f t="shared" si="91"/>
        <v>20.3</v>
      </c>
      <c r="BZ24" s="3">
        <v>51.2</v>
      </c>
      <c r="CA24" s="4">
        <v>665600</v>
      </c>
      <c r="CB24" s="716"/>
      <c r="CC24" s="717"/>
      <c r="CD24" s="717"/>
      <c r="CE24" s="3">
        <f t="shared" si="92"/>
        <v>0</v>
      </c>
      <c r="CG24" s="4"/>
      <c r="CH24" s="716">
        <v>12</v>
      </c>
      <c r="CI24" s="717">
        <v>17.399999999999999</v>
      </c>
      <c r="CJ24" s="717">
        <v>1.1000000000000001</v>
      </c>
      <c r="CK24" s="3">
        <f t="shared" si="93"/>
        <v>18.5</v>
      </c>
      <c r="CL24" s="3">
        <v>39.479999999999997</v>
      </c>
      <c r="CM24" s="4">
        <v>573925</v>
      </c>
    </row>
    <row r="25" spans="1:91" x14ac:dyDescent="0.25">
      <c r="A25" s="715" t="s">
        <v>341</v>
      </c>
      <c r="B25" s="716"/>
      <c r="C25" s="717">
        <v>8.3000000000000007</v>
      </c>
      <c r="D25" s="717">
        <v>113.9</v>
      </c>
      <c r="E25" s="3">
        <f t="shared" si="79"/>
        <v>122.2</v>
      </c>
      <c r="F25" s="3">
        <v>79.5</v>
      </c>
      <c r="G25" s="3">
        <v>2439900</v>
      </c>
      <c r="H25" s="716"/>
      <c r="I25" s="717">
        <v>40.450000000000003</v>
      </c>
      <c r="J25" s="717"/>
      <c r="K25" s="3">
        <f t="shared" si="80"/>
        <v>40.450000000000003</v>
      </c>
      <c r="L25" s="3">
        <v>101.13</v>
      </c>
      <c r="M25" s="3">
        <v>1213500</v>
      </c>
      <c r="N25" s="716"/>
      <c r="O25" s="717"/>
      <c r="P25" s="717"/>
      <c r="Q25" s="3">
        <f t="shared" si="81"/>
        <v>0</v>
      </c>
      <c r="S25" s="4"/>
      <c r="T25" s="716"/>
      <c r="U25" s="717"/>
      <c r="V25" s="717"/>
      <c r="W25" s="3">
        <f t="shared" si="82"/>
        <v>0</v>
      </c>
      <c r="Y25" s="4"/>
      <c r="Z25" s="716"/>
      <c r="AA25" s="717"/>
      <c r="AB25" s="717"/>
      <c r="AC25" s="3">
        <f t="shared" si="83"/>
        <v>0</v>
      </c>
      <c r="AE25" s="4"/>
      <c r="AF25" s="718"/>
      <c r="AG25" s="717"/>
      <c r="AH25" s="717"/>
      <c r="AI25" s="3">
        <f t="shared" si="84"/>
        <v>0</v>
      </c>
      <c r="AL25" s="716"/>
      <c r="AM25" s="717"/>
      <c r="AN25" s="717"/>
      <c r="AO25" s="3">
        <f t="shared" si="85"/>
        <v>0</v>
      </c>
      <c r="AQ25" s="4"/>
      <c r="AR25" s="718"/>
      <c r="AS25" s="717"/>
      <c r="AT25" s="717"/>
      <c r="AU25" s="3">
        <f t="shared" si="86"/>
        <v>0</v>
      </c>
      <c r="AX25" s="716"/>
      <c r="AY25" s="717"/>
      <c r="AZ25" s="717"/>
      <c r="BA25" s="3">
        <f t="shared" si="87"/>
        <v>0</v>
      </c>
      <c r="BC25" s="4"/>
      <c r="BD25" s="718">
        <v>2</v>
      </c>
      <c r="BE25" s="717">
        <v>1</v>
      </c>
      <c r="BF25" s="717"/>
      <c r="BG25" s="3">
        <f t="shared" si="88"/>
        <v>1</v>
      </c>
      <c r="BH25" s="3">
        <v>4.5</v>
      </c>
      <c r="BI25" s="3">
        <v>54000</v>
      </c>
      <c r="BJ25" s="716">
        <v>2</v>
      </c>
      <c r="BK25" s="717">
        <v>1</v>
      </c>
      <c r="BL25" s="717"/>
      <c r="BM25" s="3">
        <f t="shared" si="89"/>
        <v>1</v>
      </c>
      <c r="BN25" s="3">
        <v>4.5</v>
      </c>
      <c r="BO25" s="4">
        <v>54000</v>
      </c>
      <c r="BP25" s="716"/>
      <c r="BQ25" s="717"/>
      <c r="BR25" s="717"/>
      <c r="BS25" s="3">
        <f t="shared" si="90"/>
        <v>0</v>
      </c>
      <c r="BU25" s="4"/>
      <c r="BV25" s="716">
        <v>49</v>
      </c>
      <c r="BW25" s="717">
        <v>3.3</v>
      </c>
      <c r="BX25" s="717">
        <v>86</v>
      </c>
      <c r="BY25" s="3">
        <f t="shared" si="91"/>
        <v>89.3</v>
      </c>
      <c r="BZ25" s="3">
        <v>149.72</v>
      </c>
      <c r="CA25" s="4">
        <v>1946308</v>
      </c>
      <c r="CB25" s="716">
        <v>62</v>
      </c>
      <c r="CC25" s="717"/>
      <c r="CD25" s="717">
        <v>129.19999999999999</v>
      </c>
      <c r="CE25" s="3">
        <f t="shared" si="92"/>
        <v>129.19999999999999</v>
      </c>
      <c r="CF25" s="3">
        <v>176.71</v>
      </c>
      <c r="CG25" s="4">
        <v>2297178</v>
      </c>
      <c r="CH25" s="716">
        <v>45</v>
      </c>
      <c r="CI25" s="717"/>
      <c r="CJ25" s="717">
        <v>92.5</v>
      </c>
      <c r="CK25" s="3">
        <f t="shared" si="93"/>
        <v>92.5</v>
      </c>
      <c r="CL25" s="3">
        <v>123.34</v>
      </c>
      <c r="CM25" s="4">
        <v>1603368</v>
      </c>
    </row>
    <row r="26" spans="1:91" x14ac:dyDescent="0.25">
      <c r="A26" s="715" t="s">
        <v>342</v>
      </c>
      <c r="B26" s="716"/>
      <c r="C26" s="717">
        <v>65.95</v>
      </c>
      <c r="D26" s="717">
        <v>27.46</v>
      </c>
      <c r="E26" s="3">
        <f t="shared" si="79"/>
        <v>93.41</v>
      </c>
      <c r="F26" s="3">
        <v>83.65</v>
      </c>
      <c r="G26" s="3">
        <v>2721600</v>
      </c>
      <c r="H26" s="716"/>
      <c r="I26" s="717"/>
      <c r="J26" s="717"/>
      <c r="K26" s="3">
        <f t="shared" si="80"/>
        <v>0</v>
      </c>
      <c r="N26" s="716"/>
      <c r="O26" s="717"/>
      <c r="P26" s="717"/>
      <c r="Q26" s="3">
        <f t="shared" si="81"/>
        <v>0</v>
      </c>
      <c r="S26" s="4"/>
      <c r="T26" s="716"/>
      <c r="U26" s="717"/>
      <c r="V26" s="717"/>
      <c r="W26" s="3">
        <f t="shared" si="82"/>
        <v>0</v>
      </c>
      <c r="Y26" s="4"/>
      <c r="Z26" s="716"/>
      <c r="AA26" s="717"/>
      <c r="AB26" s="717"/>
      <c r="AC26" s="3">
        <f t="shared" si="83"/>
        <v>0</v>
      </c>
      <c r="AE26" s="4"/>
      <c r="AF26" s="718"/>
      <c r="AG26" s="717"/>
      <c r="AH26" s="717"/>
      <c r="AI26" s="3">
        <f t="shared" si="84"/>
        <v>0</v>
      </c>
      <c r="AL26" s="716"/>
      <c r="AM26" s="717"/>
      <c r="AN26" s="717"/>
      <c r="AO26" s="3">
        <f t="shared" si="85"/>
        <v>0</v>
      </c>
      <c r="AQ26" s="4"/>
      <c r="AR26" s="718"/>
      <c r="AS26" s="717"/>
      <c r="AT26" s="717"/>
      <c r="AU26" s="3">
        <f t="shared" si="86"/>
        <v>0</v>
      </c>
      <c r="AX26" s="716"/>
      <c r="AY26" s="717"/>
      <c r="AZ26" s="717"/>
      <c r="BA26" s="3">
        <f t="shared" si="87"/>
        <v>0</v>
      </c>
      <c r="BC26" s="4"/>
      <c r="BD26" s="718"/>
      <c r="BE26" s="717"/>
      <c r="BF26" s="717"/>
      <c r="BG26" s="3">
        <f t="shared" si="88"/>
        <v>0</v>
      </c>
      <c r="BJ26" s="716"/>
      <c r="BK26" s="717"/>
      <c r="BL26" s="717"/>
      <c r="BM26" s="3">
        <f t="shared" si="89"/>
        <v>0</v>
      </c>
      <c r="BO26" s="4"/>
      <c r="BP26" s="716"/>
      <c r="BQ26" s="717"/>
      <c r="BR26" s="717"/>
      <c r="BS26" s="3">
        <f t="shared" si="90"/>
        <v>0</v>
      </c>
      <c r="BU26" s="4"/>
      <c r="BV26" s="716">
        <v>88</v>
      </c>
      <c r="BW26" s="717">
        <v>4.2</v>
      </c>
      <c r="BX26" s="717">
        <v>135.43</v>
      </c>
      <c r="BY26" s="3">
        <f t="shared" si="91"/>
        <v>139.63</v>
      </c>
      <c r="BZ26" s="3">
        <v>234.79</v>
      </c>
      <c r="CA26" s="4">
        <v>2919670</v>
      </c>
      <c r="CB26" s="716"/>
      <c r="CC26" s="717"/>
      <c r="CD26" s="717"/>
      <c r="CE26" s="3">
        <f t="shared" si="92"/>
        <v>0</v>
      </c>
      <c r="CG26" s="4"/>
      <c r="CH26" s="716">
        <v>12</v>
      </c>
      <c r="CI26" s="717">
        <v>1.9</v>
      </c>
      <c r="CJ26" s="717">
        <v>9.1</v>
      </c>
      <c r="CK26" s="3">
        <f t="shared" si="93"/>
        <v>11</v>
      </c>
      <c r="CL26" s="3">
        <v>30.77</v>
      </c>
      <c r="CM26" s="4">
        <v>369240</v>
      </c>
    </row>
    <row r="27" spans="1:91" x14ac:dyDescent="0.25">
      <c r="A27" s="719" t="s">
        <v>343</v>
      </c>
      <c r="E27" s="3">
        <f t="shared" si="79"/>
        <v>0</v>
      </c>
      <c r="H27" s="707"/>
      <c r="K27" s="3">
        <f t="shared" si="80"/>
        <v>0</v>
      </c>
      <c r="N27" s="707"/>
      <c r="Q27" s="3">
        <f t="shared" si="81"/>
        <v>0</v>
      </c>
      <c r="S27" s="4"/>
      <c r="T27" s="707"/>
      <c r="W27" s="3">
        <f t="shared" si="82"/>
        <v>0</v>
      </c>
      <c r="Y27" s="4"/>
      <c r="Z27" s="707"/>
      <c r="AC27" s="3">
        <f t="shared" si="83"/>
        <v>0</v>
      </c>
      <c r="AE27" s="4"/>
      <c r="AI27" s="3">
        <f t="shared" si="84"/>
        <v>0</v>
      </c>
      <c r="AL27" s="707"/>
      <c r="AO27" s="3">
        <f t="shared" si="85"/>
        <v>0</v>
      </c>
      <c r="AQ27" s="4"/>
      <c r="AU27" s="3">
        <f t="shared" si="86"/>
        <v>0</v>
      </c>
      <c r="AX27" s="707"/>
      <c r="BA27" s="3">
        <f t="shared" si="87"/>
        <v>0</v>
      </c>
      <c r="BC27" s="4"/>
      <c r="BG27" s="3">
        <f t="shared" si="88"/>
        <v>0</v>
      </c>
      <c r="BJ27" s="707"/>
      <c r="BM27" s="3">
        <f t="shared" si="89"/>
        <v>0</v>
      </c>
      <c r="BO27" s="4"/>
      <c r="BP27" s="707"/>
      <c r="BS27" s="3">
        <f t="shared" si="90"/>
        <v>0</v>
      </c>
      <c r="BU27" s="4"/>
      <c r="BV27" s="707">
        <v>3</v>
      </c>
      <c r="BW27" s="3">
        <v>0.9</v>
      </c>
      <c r="BX27" s="3">
        <v>0.14000000000000001</v>
      </c>
      <c r="BY27" s="3">
        <f t="shared" si="91"/>
        <v>1.04</v>
      </c>
      <c r="BZ27" s="3">
        <v>5.2</v>
      </c>
      <c r="CA27" s="4">
        <v>67558.399999999994</v>
      </c>
      <c r="CB27" s="707"/>
      <c r="CE27" s="3">
        <f t="shared" si="92"/>
        <v>0</v>
      </c>
      <c r="CG27" s="4"/>
      <c r="CH27" s="707"/>
      <c r="CK27" s="3">
        <f t="shared" si="93"/>
        <v>0</v>
      </c>
      <c r="CM27" s="4"/>
    </row>
    <row r="28" spans="1:91" x14ac:dyDescent="0.25">
      <c r="A28" s="719" t="s">
        <v>344</v>
      </c>
      <c r="D28" s="3">
        <v>289.97000000000003</v>
      </c>
      <c r="E28" s="3">
        <f t="shared" si="79"/>
        <v>289.97000000000003</v>
      </c>
      <c r="F28" s="3">
        <v>223.96</v>
      </c>
      <c r="G28" s="3">
        <v>6507748</v>
      </c>
      <c r="H28" s="707"/>
      <c r="J28" s="3">
        <v>9.6999999999999993</v>
      </c>
      <c r="K28" s="3">
        <f t="shared" si="80"/>
        <v>9.6999999999999993</v>
      </c>
      <c r="L28" s="3">
        <v>31.68</v>
      </c>
      <c r="M28" s="3">
        <v>475125</v>
      </c>
      <c r="N28" s="707"/>
      <c r="Q28" s="3">
        <f t="shared" si="81"/>
        <v>0</v>
      </c>
      <c r="S28" s="4"/>
      <c r="T28" s="707"/>
      <c r="W28" s="3">
        <f t="shared" si="82"/>
        <v>0</v>
      </c>
      <c r="Y28" s="4"/>
      <c r="Z28" s="707"/>
      <c r="AC28" s="3">
        <f t="shared" si="83"/>
        <v>0</v>
      </c>
      <c r="AE28" s="4"/>
      <c r="AI28" s="3">
        <f t="shared" si="84"/>
        <v>0</v>
      </c>
      <c r="AL28" s="707"/>
      <c r="AO28" s="3">
        <f t="shared" si="85"/>
        <v>0</v>
      </c>
      <c r="AQ28" s="4"/>
      <c r="AU28" s="3">
        <f t="shared" si="86"/>
        <v>0</v>
      </c>
      <c r="AX28" s="707"/>
      <c r="BA28" s="3">
        <f t="shared" si="87"/>
        <v>0</v>
      </c>
      <c r="BC28" s="4"/>
      <c r="BG28" s="3">
        <f t="shared" si="88"/>
        <v>0</v>
      </c>
      <c r="BJ28" s="707">
        <v>1</v>
      </c>
      <c r="BK28" s="3">
        <v>0.3</v>
      </c>
      <c r="BM28" s="3">
        <f t="shared" si="89"/>
        <v>0.3</v>
      </c>
      <c r="BO28" s="4">
        <v>3750</v>
      </c>
      <c r="BP28" s="707"/>
      <c r="BS28" s="3">
        <f t="shared" si="90"/>
        <v>0</v>
      </c>
      <c r="BU28" s="4"/>
      <c r="BV28" s="707">
        <v>8</v>
      </c>
      <c r="BW28" s="3">
        <v>8.5399999999999991</v>
      </c>
      <c r="BY28" s="3">
        <f t="shared" si="91"/>
        <v>8.5399999999999991</v>
      </c>
      <c r="BZ28" s="3">
        <v>42.7</v>
      </c>
      <c r="CA28" s="4">
        <v>597800</v>
      </c>
      <c r="CB28" s="707">
        <v>57</v>
      </c>
      <c r="CC28" s="3">
        <v>52.89</v>
      </c>
      <c r="CE28" s="3">
        <f t="shared" si="92"/>
        <v>52.89</v>
      </c>
      <c r="CF28" s="3">
        <v>264.45</v>
      </c>
      <c r="CG28" s="4">
        <v>3173400</v>
      </c>
      <c r="CH28" s="707"/>
      <c r="CK28" s="3">
        <f t="shared" si="93"/>
        <v>0</v>
      </c>
      <c r="CM28" s="4"/>
    </row>
    <row r="29" spans="1:91" x14ac:dyDescent="0.25">
      <c r="A29" s="719" t="s">
        <v>345</v>
      </c>
      <c r="D29" s="3">
        <v>1468</v>
      </c>
      <c r="E29" s="3">
        <f t="shared" si="79"/>
        <v>1468</v>
      </c>
      <c r="F29" s="3">
        <v>35.18</v>
      </c>
      <c r="G29" s="3">
        <v>12612450</v>
      </c>
      <c r="H29" s="707"/>
      <c r="K29" s="3">
        <f t="shared" si="80"/>
        <v>0</v>
      </c>
      <c r="N29" s="707"/>
      <c r="Q29" s="3">
        <f t="shared" si="81"/>
        <v>0</v>
      </c>
      <c r="S29" s="4"/>
      <c r="T29" s="707"/>
      <c r="W29" s="3">
        <f t="shared" si="82"/>
        <v>0</v>
      </c>
      <c r="Y29" s="4"/>
      <c r="Z29" s="707"/>
      <c r="AC29" s="3">
        <f t="shared" si="83"/>
        <v>0</v>
      </c>
      <c r="AE29" s="4"/>
      <c r="AI29" s="3">
        <f t="shared" si="84"/>
        <v>0</v>
      </c>
      <c r="AL29" s="707"/>
      <c r="AO29" s="3">
        <f t="shared" si="85"/>
        <v>0</v>
      </c>
      <c r="AQ29" s="4"/>
      <c r="AU29" s="3">
        <f t="shared" si="86"/>
        <v>0</v>
      </c>
      <c r="AX29" s="707"/>
      <c r="BA29" s="3">
        <f t="shared" si="87"/>
        <v>0</v>
      </c>
      <c r="BC29" s="4"/>
      <c r="BG29" s="3">
        <f t="shared" si="88"/>
        <v>0</v>
      </c>
      <c r="BJ29" s="707"/>
      <c r="BM29" s="3">
        <f t="shared" si="89"/>
        <v>0</v>
      </c>
      <c r="BO29" s="4"/>
      <c r="BP29" s="707"/>
      <c r="BS29" s="3">
        <f t="shared" si="90"/>
        <v>0</v>
      </c>
      <c r="BU29" s="4"/>
      <c r="BV29" s="707">
        <v>255</v>
      </c>
      <c r="BW29" s="3">
        <v>314.12</v>
      </c>
      <c r="BX29" s="3">
        <v>107.7</v>
      </c>
      <c r="BY29" s="3">
        <f t="shared" si="91"/>
        <v>421.82</v>
      </c>
      <c r="BZ29" s="3">
        <v>1797.62</v>
      </c>
      <c r="CA29" s="4">
        <v>21571416</v>
      </c>
      <c r="CB29" s="707">
        <v>37</v>
      </c>
      <c r="CC29" s="3">
        <v>27</v>
      </c>
      <c r="CD29" s="3">
        <v>38.5</v>
      </c>
      <c r="CE29" s="3">
        <f t="shared" si="92"/>
        <v>65.5</v>
      </c>
      <c r="CF29" s="3">
        <v>108.28</v>
      </c>
      <c r="CG29" s="4">
        <v>1299369.78</v>
      </c>
      <c r="CH29" s="707">
        <v>26</v>
      </c>
      <c r="CI29" s="3">
        <v>39</v>
      </c>
      <c r="CJ29" s="3">
        <v>9.1999999999999993</v>
      </c>
      <c r="CK29" s="3">
        <f t="shared" si="93"/>
        <v>48.2</v>
      </c>
      <c r="CL29" s="3">
        <v>18.09</v>
      </c>
      <c r="CM29" s="4">
        <v>268200</v>
      </c>
    </row>
    <row r="30" spans="1:91" x14ac:dyDescent="0.25">
      <c r="A30" s="719" t="s">
        <v>94</v>
      </c>
      <c r="C30" s="3">
        <v>643.35</v>
      </c>
      <c r="E30" s="3">
        <f t="shared" si="79"/>
        <v>643.35</v>
      </c>
      <c r="G30" s="3">
        <v>9006900</v>
      </c>
      <c r="H30" s="707"/>
      <c r="I30" s="3">
        <v>246</v>
      </c>
      <c r="K30" s="3">
        <f t="shared" si="80"/>
        <v>246</v>
      </c>
      <c r="L30" s="3">
        <v>1230</v>
      </c>
      <c r="M30" s="3">
        <v>14760000</v>
      </c>
      <c r="N30" s="707"/>
      <c r="Q30" s="3">
        <f t="shared" si="81"/>
        <v>0</v>
      </c>
      <c r="S30" s="4"/>
      <c r="T30" s="707"/>
      <c r="W30" s="3">
        <f t="shared" si="82"/>
        <v>0</v>
      </c>
      <c r="Y30" s="4"/>
      <c r="Z30" s="707"/>
      <c r="AC30" s="3">
        <f t="shared" si="83"/>
        <v>0</v>
      </c>
      <c r="AE30" s="4"/>
      <c r="AI30" s="3">
        <f t="shared" si="84"/>
        <v>0</v>
      </c>
      <c r="AL30" s="707"/>
      <c r="AO30" s="3">
        <f t="shared" si="85"/>
        <v>0</v>
      </c>
      <c r="AQ30" s="4"/>
      <c r="AU30" s="3">
        <f t="shared" si="86"/>
        <v>0</v>
      </c>
      <c r="AX30" s="707"/>
      <c r="BA30" s="3">
        <f t="shared" si="87"/>
        <v>0</v>
      </c>
      <c r="BC30" s="4"/>
      <c r="BG30" s="3">
        <f t="shared" si="88"/>
        <v>0</v>
      </c>
      <c r="BJ30" s="707"/>
      <c r="BM30" s="3">
        <f t="shared" si="89"/>
        <v>0</v>
      </c>
      <c r="BO30" s="4"/>
      <c r="BP30" s="707"/>
      <c r="BS30" s="3">
        <f t="shared" si="90"/>
        <v>0</v>
      </c>
      <c r="BU30" s="4"/>
      <c r="BV30" s="707">
        <v>7</v>
      </c>
      <c r="BW30" s="3">
        <v>5.7</v>
      </c>
      <c r="BY30" s="3">
        <f t="shared" si="91"/>
        <v>5.7</v>
      </c>
      <c r="BZ30" s="3">
        <v>28.5</v>
      </c>
      <c r="CA30" s="4">
        <v>313500</v>
      </c>
      <c r="CB30" s="707"/>
      <c r="CE30" s="3">
        <f t="shared" si="92"/>
        <v>0</v>
      </c>
      <c r="CG30" s="4"/>
      <c r="CH30" s="707"/>
      <c r="CK30" s="3">
        <f t="shared" si="93"/>
        <v>0</v>
      </c>
      <c r="CM30" s="4"/>
    </row>
    <row r="31" spans="1:91" x14ac:dyDescent="0.25">
      <c r="A31" s="719" t="s">
        <v>346</v>
      </c>
      <c r="C31" s="3">
        <v>10.039999999999999</v>
      </c>
      <c r="D31" s="3">
        <v>120.75</v>
      </c>
      <c r="E31" s="3">
        <f t="shared" si="79"/>
        <v>130.79</v>
      </c>
      <c r="G31" s="3">
        <v>343420</v>
      </c>
      <c r="H31" s="707"/>
      <c r="J31" s="3">
        <v>30.5</v>
      </c>
      <c r="K31" s="3">
        <f t="shared" si="80"/>
        <v>30.5</v>
      </c>
      <c r="L31" s="3">
        <v>42.96</v>
      </c>
      <c r="M31" s="3">
        <v>515520</v>
      </c>
      <c r="N31" s="707"/>
      <c r="Q31" s="3">
        <f t="shared" si="81"/>
        <v>0</v>
      </c>
      <c r="S31" s="4"/>
      <c r="T31" s="707"/>
      <c r="W31" s="3">
        <f t="shared" si="82"/>
        <v>0</v>
      </c>
      <c r="Y31" s="4"/>
      <c r="Z31" s="707"/>
      <c r="AC31" s="3">
        <f t="shared" si="83"/>
        <v>0</v>
      </c>
      <c r="AE31" s="4"/>
      <c r="AI31" s="3">
        <f t="shared" si="84"/>
        <v>0</v>
      </c>
      <c r="AL31" s="707"/>
      <c r="AO31" s="3">
        <f t="shared" si="85"/>
        <v>0</v>
      </c>
      <c r="AQ31" s="4"/>
      <c r="AU31" s="3">
        <f t="shared" si="86"/>
        <v>0</v>
      </c>
      <c r="AX31" s="707">
        <v>5</v>
      </c>
      <c r="AY31" s="3">
        <v>19.850000000000001</v>
      </c>
      <c r="BA31" s="3">
        <f t="shared" si="87"/>
        <v>19.850000000000001</v>
      </c>
      <c r="BB31" s="3">
        <v>100.04</v>
      </c>
      <c r="BC31" s="4">
        <v>1800792</v>
      </c>
      <c r="BD31" s="3">
        <v>57</v>
      </c>
      <c r="BE31" s="3">
        <v>1</v>
      </c>
      <c r="BF31" s="3">
        <v>85</v>
      </c>
      <c r="BG31" s="3">
        <f t="shared" si="88"/>
        <v>86</v>
      </c>
      <c r="BH31" s="3">
        <v>108.36</v>
      </c>
      <c r="BI31" s="3">
        <v>1408680</v>
      </c>
      <c r="BJ31" s="707"/>
      <c r="BM31" s="3">
        <f t="shared" si="89"/>
        <v>0</v>
      </c>
      <c r="BO31" s="4"/>
      <c r="BP31" s="707"/>
      <c r="BS31" s="3">
        <f t="shared" si="90"/>
        <v>0</v>
      </c>
      <c r="BU31" s="4"/>
      <c r="BV31" s="707"/>
      <c r="BY31" s="3">
        <f t="shared" si="91"/>
        <v>0</v>
      </c>
      <c r="CA31" s="4"/>
      <c r="CB31" s="707"/>
      <c r="CE31" s="3">
        <f t="shared" si="92"/>
        <v>0</v>
      </c>
      <c r="CG31" s="4"/>
      <c r="CH31" s="707"/>
      <c r="CK31" s="3">
        <f t="shared" si="93"/>
        <v>0</v>
      </c>
      <c r="CM31" s="4"/>
    </row>
    <row r="32" spans="1:91" x14ac:dyDescent="0.25">
      <c r="A32" s="719" t="s">
        <v>347</v>
      </c>
      <c r="E32" s="3">
        <f t="shared" si="79"/>
        <v>0</v>
      </c>
      <c r="H32" s="707"/>
      <c r="K32" s="3">
        <f t="shared" si="80"/>
        <v>0</v>
      </c>
      <c r="N32" s="707"/>
      <c r="Q32" s="3">
        <f t="shared" si="81"/>
        <v>0</v>
      </c>
      <c r="S32" s="4"/>
      <c r="T32" s="707"/>
      <c r="W32" s="3">
        <f t="shared" si="82"/>
        <v>0</v>
      </c>
      <c r="Y32" s="4"/>
      <c r="Z32" s="707"/>
      <c r="AC32" s="3">
        <f t="shared" si="83"/>
        <v>0</v>
      </c>
      <c r="AE32" s="4"/>
      <c r="AI32" s="3">
        <f t="shared" si="84"/>
        <v>0</v>
      </c>
      <c r="AL32" s="707"/>
      <c r="AO32" s="3">
        <f t="shared" si="85"/>
        <v>0</v>
      </c>
      <c r="AQ32" s="4"/>
      <c r="AU32" s="3">
        <f t="shared" si="86"/>
        <v>0</v>
      </c>
      <c r="AX32" s="707"/>
      <c r="BA32" s="3">
        <f t="shared" si="87"/>
        <v>0</v>
      </c>
      <c r="BC32" s="4"/>
      <c r="BG32" s="3">
        <f t="shared" si="88"/>
        <v>0</v>
      </c>
      <c r="BJ32" s="707"/>
      <c r="BM32" s="3">
        <f t="shared" si="89"/>
        <v>0</v>
      </c>
      <c r="BO32" s="4"/>
      <c r="BP32" s="707"/>
      <c r="BS32" s="3">
        <f t="shared" si="90"/>
        <v>0</v>
      </c>
      <c r="BU32" s="4"/>
      <c r="BV32" s="707"/>
      <c r="BY32" s="3">
        <f t="shared" si="91"/>
        <v>0</v>
      </c>
      <c r="CA32" s="4"/>
      <c r="CB32" s="707"/>
      <c r="CE32" s="3">
        <f t="shared" si="92"/>
        <v>0</v>
      </c>
      <c r="CG32" s="4"/>
      <c r="CH32" s="707"/>
      <c r="CK32" s="3">
        <f t="shared" si="93"/>
        <v>0</v>
      </c>
      <c r="CM32" s="4"/>
    </row>
    <row r="33" spans="1:91" x14ac:dyDescent="0.25">
      <c r="A33" s="719" t="s">
        <v>348</v>
      </c>
      <c r="E33" s="3">
        <f t="shared" si="79"/>
        <v>0</v>
      </c>
      <c r="H33" s="707"/>
      <c r="K33" s="3">
        <f t="shared" si="80"/>
        <v>0</v>
      </c>
      <c r="N33" s="707"/>
      <c r="Q33" s="3">
        <f t="shared" si="81"/>
        <v>0</v>
      </c>
      <c r="S33" s="4"/>
      <c r="T33" s="707"/>
      <c r="W33" s="3">
        <f t="shared" si="82"/>
        <v>0</v>
      </c>
      <c r="Y33" s="4"/>
      <c r="Z33" s="707"/>
      <c r="AC33" s="3">
        <f t="shared" si="83"/>
        <v>0</v>
      </c>
      <c r="AE33" s="4"/>
      <c r="AI33" s="3">
        <f t="shared" si="84"/>
        <v>0</v>
      </c>
      <c r="AL33" s="707"/>
      <c r="AO33" s="3">
        <f t="shared" si="85"/>
        <v>0</v>
      </c>
      <c r="AQ33" s="4"/>
      <c r="AU33" s="3">
        <f t="shared" si="86"/>
        <v>0</v>
      </c>
      <c r="AX33" s="707"/>
      <c r="BA33" s="3">
        <f t="shared" si="87"/>
        <v>0</v>
      </c>
      <c r="BC33" s="4"/>
      <c r="BG33" s="3">
        <f t="shared" si="88"/>
        <v>0</v>
      </c>
      <c r="BJ33" s="707"/>
      <c r="BM33" s="3">
        <f t="shared" si="89"/>
        <v>0</v>
      </c>
      <c r="BO33" s="4"/>
      <c r="BP33" s="707"/>
      <c r="BS33" s="3">
        <f t="shared" si="90"/>
        <v>0</v>
      </c>
      <c r="BU33" s="4"/>
      <c r="BV33" s="707">
        <v>42</v>
      </c>
      <c r="BW33" s="3">
        <v>30</v>
      </c>
      <c r="BX33" s="3">
        <v>10.75</v>
      </c>
      <c r="BY33" s="3">
        <f t="shared" si="91"/>
        <v>40.75</v>
      </c>
      <c r="BZ33" s="3">
        <v>196.88</v>
      </c>
      <c r="CA33" s="4">
        <v>2559375</v>
      </c>
      <c r="CB33" s="707"/>
      <c r="CE33" s="3">
        <f t="shared" si="92"/>
        <v>0</v>
      </c>
      <c r="CG33" s="4"/>
      <c r="CH33" s="707">
        <v>10</v>
      </c>
      <c r="CI33" s="3">
        <v>0.43</v>
      </c>
      <c r="CJ33" s="3">
        <v>10.5</v>
      </c>
      <c r="CK33" s="3">
        <f t="shared" si="93"/>
        <v>10.93</v>
      </c>
      <c r="CL33" s="3">
        <v>41.1</v>
      </c>
      <c r="CM33" s="4">
        <v>554782.5</v>
      </c>
    </row>
    <row r="34" spans="1:91" x14ac:dyDescent="0.25">
      <c r="A34" s="719" t="s">
        <v>349</v>
      </c>
      <c r="C34" s="3">
        <v>4.2</v>
      </c>
      <c r="D34" s="3">
        <v>45.3</v>
      </c>
      <c r="E34" s="3">
        <f t="shared" si="79"/>
        <v>49.5</v>
      </c>
      <c r="F34" s="3">
        <v>128.88</v>
      </c>
      <c r="G34" s="3">
        <v>2835360</v>
      </c>
      <c r="H34" s="707"/>
      <c r="J34" s="3">
        <v>6.5</v>
      </c>
      <c r="K34" s="3">
        <f t="shared" si="80"/>
        <v>6.5</v>
      </c>
      <c r="L34" s="3">
        <v>13.68</v>
      </c>
      <c r="M34" s="3">
        <v>164100</v>
      </c>
      <c r="N34" s="707"/>
      <c r="Q34" s="3">
        <f t="shared" si="81"/>
        <v>0</v>
      </c>
      <c r="S34" s="4"/>
      <c r="T34" s="707"/>
      <c r="W34" s="3">
        <f t="shared" si="82"/>
        <v>0</v>
      </c>
      <c r="Y34" s="4"/>
      <c r="Z34" s="707"/>
      <c r="AC34" s="3">
        <f t="shared" si="83"/>
        <v>0</v>
      </c>
      <c r="AE34" s="4"/>
      <c r="AI34" s="3">
        <f t="shared" si="84"/>
        <v>0</v>
      </c>
      <c r="AL34" s="707"/>
      <c r="AO34" s="3">
        <f t="shared" si="85"/>
        <v>0</v>
      </c>
      <c r="AQ34" s="4"/>
      <c r="AU34" s="3">
        <f t="shared" si="86"/>
        <v>0</v>
      </c>
      <c r="AX34" s="707">
        <v>28</v>
      </c>
      <c r="AY34" s="3">
        <v>17.95</v>
      </c>
      <c r="AZ34" s="3">
        <v>2.8</v>
      </c>
      <c r="BA34" s="3">
        <f t="shared" si="87"/>
        <v>20.75</v>
      </c>
      <c r="BB34" s="3">
        <v>111.49</v>
      </c>
      <c r="BC34" s="4">
        <v>2229860</v>
      </c>
      <c r="BG34" s="3">
        <f t="shared" si="88"/>
        <v>0</v>
      </c>
      <c r="BJ34" s="707"/>
      <c r="BM34" s="3">
        <f t="shared" si="89"/>
        <v>0</v>
      </c>
      <c r="BO34" s="4"/>
      <c r="BP34" s="707"/>
      <c r="BS34" s="3">
        <f t="shared" si="90"/>
        <v>0</v>
      </c>
      <c r="BU34" s="4"/>
      <c r="BV34" s="707"/>
      <c r="BY34" s="3">
        <f t="shared" si="91"/>
        <v>0</v>
      </c>
      <c r="CA34" s="4"/>
      <c r="CB34" s="707"/>
      <c r="CE34" s="3">
        <f t="shared" si="92"/>
        <v>0</v>
      </c>
      <c r="CG34" s="4"/>
      <c r="CH34" s="707">
        <v>10</v>
      </c>
      <c r="CJ34" s="3">
        <v>8.5</v>
      </c>
      <c r="CK34" s="3">
        <f t="shared" si="93"/>
        <v>8.5</v>
      </c>
      <c r="CL34" s="3">
        <v>6.8</v>
      </c>
      <c r="CM34" s="4">
        <v>81600</v>
      </c>
    </row>
    <row r="35" spans="1:91" x14ac:dyDescent="0.25">
      <c r="A35" s="719" t="s">
        <v>350</v>
      </c>
      <c r="E35" s="3">
        <f t="shared" si="79"/>
        <v>0</v>
      </c>
      <c r="H35" s="707"/>
      <c r="K35" s="3">
        <f t="shared" si="80"/>
        <v>0</v>
      </c>
      <c r="N35" s="707"/>
      <c r="Q35" s="3">
        <f t="shared" si="81"/>
        <v>0</v>
      </c>
      <c r="S35" s="4"/>
      <c r="T35" s="707"/>
      <c r="W35" s="3">
        <f t="shared" si="82"/>
        <v>0</v>
      </c>
      <c r="Y35" s="4"/>
      <c r="Z35" s="707"/>
      <c r="AC35" s="3">
        <f t="shared" si="83"/>
        <v>0</v>
      </c>
      <c r="AE35" s="4"/>
      <c r="AI35" s="3">
        <f t="shared" si="84"/>
        <v>0</v>
      </c>
      <c r="AL35" s="707"/>
      <c r="AO35" s="3">
        <f t="shared" si="85"/>
        <v>0</v>
      </c>
      <c r="AQ35" s="4"/>
      <c r="AU35" s="3">
        <f t="shared" si="86"/>
        <v>0</v>
      </c>
      <c r="AX35" s="707">
        <v>87</v>
      </c>
      <c r="AZ35" s="3">
        <v>48</v>
      </c>
      <c r="BA35" s="3">
        <f t="shared" si="87"/>
        <v>48</v>
      </c>
      <c r="BB35" s="3">
        <v>60</v>
      </c>
      <c r="BC35" s="4">
        <v>1200000</v>
      </c>
      <c r="BG35" s="3">
        <f t="shared" si="88"/>
        <v>0</v>
      </c>
      <c r="BJ35" s="707"/>
      <c r="BM35" s="3">
        <f t="shared" si="89"/>
        <v>0</v>
      </c>
      <c r="BO35" s="4"/>
      <c r="BP35" s="707"/>
      <c r="BS35" s="3">
        <f t="shared" si="90"/>
        <v>0</v>
      </c>
      <c r="BU35" s="4"/>
      <c r="BV35" s="707"/>
      <c r="BY35" s="3">
        <f t="shared" si="91"/>
        <v>0</v>
      </c>
      <c r="CA35" s="4"/>
      <c r="CB35" s="707"/>
      <c r="CE35" s="3">
        <f t="shared" si="92"/>
        <v>0</v>
      </c>
      <c r="CG35" s="4"/>
      <c r="CH35" s="707"/>
      <c r="CK35" s="3">
        <f t="shared" si="93"/>
        <v>0</v>
      </c>
      <c r="CM35" s="4"/>
    </row>
    <row r="36" spans="1:91" x14ac:dyDescent="0.25">
      <c r="A36" s="719" t="s">
        <v>351</v>
      </c>
      <c r="C36" s="3">
        <v>285.36</v>
      </c>
      <c r="E36" s="3">
        <f t="shared" si="79"/>
        <v>285.36</v>
      </c>
      <c r="F36" s="3">
        <v>834.5</v>
      </c>
      <c r="G36" s="3">
        <v>20017440</v>
      </c>
      <c r="H36" s="707">
        <v>13</v>
      </c>
      <c r="J36" s="3">
        <v>5.0999999999999996</v>
      </c>
      <c r="K36" s="3">
        <f t="shared" si="80"/>
        <v>5.0999999999999996</v>
      </c>
      <c r="L36" s="3">
        <v>12.5</v>
      </c>
      <c r="M36" s="3">
        <v>149940</v>
      </c>
      <c r="N36" s="707">
        <v>405</v>
      </c>
      <c r="O36" s="3">
        <v>365</v>
      </c>
      <c r="Q36" s="3">
        <f t="shared" si="81"/>
        <v>365</v>
      </c>
      <c r="R36" s="3">
        <v>1715.5</v>
      </c>
      <c r="S36" s="4">
        <v>24017000</v>
      </c>
      <c r="T36" s="707"/>
      <c r="W36" s="3">
        <f t="shared" si="82"/>
        <v>0</v>
      </c>
      <c r="Y36" s="4"/>
      <c r="Z36" s="707"/>
      <c r="AC36" s="3">
        <f t="shared" si="83"/>
        <v>0</v>
      </c>
      <c r="AE36" s="4"/>
      <c r="AI36" s="3">
        <f t="shared" si="84"/>
        <v>0</v>
      </c>
      <c r="AL36" s="707"/>
      <c r="AO36" s="3">
        <f t="shared" si="85"/>
        <v>0</v>
      </c>
      <c r="AQ36" s="4"/>
      <c r="AU36" s="3">
        <f t="shared" si="86"/>
        <v>0</v>
      </c>
      <c r="AX36" s="707"/>
      <c r="BA36" s="3">
        <f t="shared" si="87"/>
        <v>0</v>
      </c>
      <c r="BC36" s="4"/>
      <c r="BD36" s="3">
        <v>3</v>
      </c>
      <c r="BE36" s="3">
        <v>0.45</v>
      </c>
      <c r="BF36" s="3">
        <v>1.25</v>
      </c>
      <c r="BG36" s="3">
        <f t="shared" si="88"/>
        <v>1.7</v>
      </c>
      <c r="BH36" s="3">
        <v>2.46</v>
      </c>
      <c r="BI36" s="3">
        <v>29484</v>
      </c>
      <c r="BJ36" s="707"/>
      <c r="BM36" s="3">
        <f t="shared" si="89"/>
        <v>0</v>
      </c>
      <c r="BO36" s="4"/>
      <c r="BP36" s="707"/>
      <c r="BS36" s="3">
        <f t="shared" si="90"/>
        <v>0</v>
      </c>
      <c r="BU36" s="4"/>
      <c r="BV36" s="707">
        <v>14</v>
      </c>
      <c r="BW36" s="3">
        <v>8.9</v>
      </c>
      <c r="BX36" s="3">
        <v>3.5</v>
      </c>
      <c r="BY36" s="3">
        <f t="shared" si="91"/>
        <v>12.4</v>
      </c>
      <c r="BZ36" s="3">
        <v>59.48</v>
      </c>
      <c r="CA36" s="4">
        <v>832650</v>
      </c>
      <c r="CB36" s="707"/>
      <c r="CE36" s="3">
        <f t="shared" si="92"/>
        <v>0</v>
      </c>
      <c r="CG36" s="4"/>
      <c r="CH36" s="707"/>
      <c r="CK36" s="3">
        <f t="shared" si="93"/>
        <v>0</v>
      </c>
      <c r="CM36" s="4"/>
    </row>
    <row r="37" spans="1:91" x14ac:dyDescent="0.25">
      <c r="A37" s="719" t="s">
        <v>352</v>
      </c>
      <c r="C37" s="3">
        <v>22</v>
      </c>
      <c r="E37" s="3">
        <f t="shared" si="79"/>
        <v>22</v>
      </c>
      <c r="G37" s="3">
        <v>308000</v>
      </c>
      <c r="H37" s="707"/>
      <c r="K37" s="3">
        <f t="shared" si="80"/>
        <v>0</v>
      </c>
      <c r="N37" s="707"/>
      <c r="Q37" s="3">
        <f t="shared" si="81"/>
        <v>0</v>
      </c>
      <c r="S37" s="4"/>
      <c r="T37" s="707"/>
      <c r="W37" s="3">
        <f t="shared" si="82"/>
        <v>0</v>
      </c>
      <c r="Y37" s="4"/>
      <c r="Z37" s="707"/>
      <c r="AC37" s="3">
        <f t="shared" si="83"/>
        <v>0</v>
      </c>
      <c r="AE37" s="4"/>
      <c r="AI37" s="3">
        <f t="shared" si="84"/>
        <v>0</v>
      </c>
      <c r="AL37" s="707"/>
      <c r="AO37" s="3">
        <f t="shared" si="85"/>
        <v>0</v>
      </c>
      <c r="AQ37" s="4"/>
      <c r="AU37" s="3">
        <f t="shared" si="86"/>
        <v>0</v>
      </c>
      <c r="AX37" s="707"/>
      <c r="BA37" s="3">
        <f t="shared" si="87"/>
        <v>0</v>
      </c>
      <c r="BC37" s="4"/>
      <c r="BG37" s="3">
        <f t="shared" si="88"/>
        <v>0</v>
      </c>
      <c r="BJ37" s="707">
        <v>4</v>
      </c>
      <c r="BK37" s="3">
        <v>0.5</v>
      </c>
      <c r="BL37" s="3">
        <v>1.5</v>
      </c>
      <c r="BM37" s="3">
        <f t="shared" si="89"/>
        <v>2</v>
      </c>
      <c r="BN37" s="3">
        <v>6.21</v>
      </c>
      <c r="BO37" s="4">
        <v>108235</v>
      </c>
      <c r="BP37" s="707"/>
      <c r="BS37" s="3">
        <f t="shared" si="90"/>
        <v>0</v>
      </c>
      <c r="BU37" s="4"/>
      <c r="BV37" s="707"/>
      <c r="BY37" s="3">
        <f t="shared" si="91"/>
        <v>0</v>
      </c>
      <c r="CA37" s="4"/>
      <c r="CB37" s="707"/>
      <c r="CE37" s="3">
        <f t="shared" si="92"/>
        <v>0</v>
      </c>
      <c r="CG37" s="4"/>
      <c r="CH37" s="707">
        <v>2</v>
      </c>
      <c r="CI37" s="3">
        <v>0.6</v>
      </c>
      <c r="CK37" s="3">
        <f t="shared" si="93"/>
        <v>0.6</v>
      </c>
      <c r="CM37" s="4">
        <v>6000</v>
      </c>
    </row>
    <row r="38" spans="1:91" x14ac:dyDescent="0.25">
      <c r="A38" s="719" t="s">
        <v>353</v>
      </c>
      <c r="C38" s="3">
        <v>72</v>
      </c>
      <c r="E38" s="3">
        <f t="shared" si="79"/>
        <v>72</v>
      </c>
      <c r="G38" s="3">
        <v>1008000</v>
      </c>
      <c r="H38" s="707"/>
      <c r="K38" s="3">
        <f t="shared" si="80"/>
        <v>0</v>
      </c>
      <c r="N38" s="707"/>
      <c r="Q38" s="3">
        <f t="shared" si="81"/>
        <v>0</v>
      </c>
      <c r="S38" s="4"/>
      <c r="T38" s="707"/>
      <c r="W38" s="3">
        <f t="shared" si="82"/>
        <v>0</v>
      </c>
      <c r="Y38" s="4"/>
      <c r="Z38" s="707"/>
      <c r="AC38" s="3">
        <f t="shared" si="83"/>
        <v>0</v>
      </c>
      <c r="AE38" s="4"/>
      <c r="AI38" s="3">
        <f t="shared" si="84"/>
        <v>0</v>
      </c>
      <c r="AL38" s="707"/>
      <c r="AO38" s="3">
        <f t="shared" si="85"/>
        <v>0</v>
      </c>
      <c r="AQ38" s="4"/>
      <c r="AU38" s="3">
        <f t="shared" si="86"/>
        <v>0</v>
      </c>
      <c r="AX38" s="707"/>
      <c r="BA38" s="3">
        <f t="shared" si="87"/>
        <v>0</v>
      </c>
      <c r="BC38" s="4"/>
      <c r="BG38" s="3">
        <f t="shared" si="88"/>
        <v>0</v>
      </c>
      <c r="BJ38" s="707"/>
      <c r="BM38" s="3">
        <f t="shared" si="89"/>
        <v>0</v>
      </c>
      <c r="BO38" s="4"/>
      <c r="BP38" s="707"/>
      <c r="BS38" s="3">
        <f t="shared" si="90"/>
        <v>0</v>
      </c>
      <c r="BU38" s="4"/>
      <c r="BV38" s="707"/>
      <c r="BY38" s="3">
        <f t="shared" si="91"/>
        <v>0</v>
      </c>
      <c r="CA38" s="4"/>
      <c r="CB38" s="707"/>
      <c r="CE38" s="3">
        <f t="shared" si="92"/>
        <v>0</v>
      </c>
      <c r="CG38" s="4"/>
      <c r="CH38" s="707"/>
      <c r="CK38" s="3">
        <f t="shared" si="93"/>
        <v>0</v>
      </c>
      <c r="CM38" s="4"/>
    </row>
    <row r="39" spans="1:91" x14ac:dyDescent="0.25">
      <c r="A39" s="719" t="s">
        <v>354</v>
      </c>
      <c r="C39" s="3">
        <v>5.5</v>
      </c>
      <c r="D39" s="3">
        <v>3.5</v>
      </c>
      <c r="E39" s="3">
        <f t="shared" si="79"/>
        <v>9</v>
      </c>
      <c r="G39" s="3">
        <v>96600</v>
      </c>
      <c r="H39" s="707">
        <v>155</v>
      </c>
      <c r="J39" s="3">
        <v>224.5</v>
      </c>
      <c r="K39" s="3">
        <f t="shared" si="80"/>
        <v>224.5</v>
      </c>
      <c r="L39" s="3">
        <v>535.86</v>
      </c>
      <c r="M39" s="3">
        <v>6430320</v>
      </c>
      <c r="N39" s="707"/>
      <c r="Q39" s="3">
        <f t="shared" si="81"/>
        <v>0</v>
      </c>
      <c r="S39" s="4"/>
      <c r="T39" s="707"/>
      <c r="W39" s="3">
        <f t="shared" si="82"/>
        <v>0</v>
      </c>
      <c r="Y39" s="4"/>
      <c r="Z39" s="707"/>
      <c r="AC39" s="3">
        <f t="shared" si="83"/>
        <v>0</v>
      </c>
      <c r="AE39" s="4"/>
      <c r="AI39" s="3">
        <f t="shared" si="84"/>
        <v>0</v>
      </c>
      <c r="AL39" s="707"/>
      <c r="AO39" s="3">
        <f t="shared" si="85"/>
        <v>0</v>
      </c>
      <c r="AQ39" s="4"/>
      <c r="AU39" s="3">
        <f t="shared" si="86"/>
        <v>0</v>
      </c>
      <c r="AX39" s="707"/>
      <c r="BA39" s="3">
        <f t="shared" si="87"/>
        <v>0</v>
      </c>
      <c r="BC39" s="4"/>
      <c r="BD39" s="3">
        <v>66</v>
      </c>
      <c r="BF39" s="3">
        <v>89.4</v>
      </c>
      <c r="BG39" s="3">
        <f t="shared" si="88"/>
        <v>89.4</v>
      </c>
      <c r="BH39" s="3">
        <v>414.82</v>
      </c>
      <c r="BI39" s="3">
        <v>5309644.7999999998</v>
      </c>
      <c r="BJ39" s="707"/>
      <c r="BM39" s="3">
        <f t="shared" si="89"/>
        <v>0</v>
      </c>
      <c r="BO39" s="4"/>
      <c r="BP39" s="707"/>
      <c r="BS39" s="3">
        <f t="shared" si="90"/>
        <v>0</v>
      </c>
      <c r="BU39" s="4"/>
      <c r="BV39" s="707">
        <v>110</v>
      </c>
      <c r="BX39" s="3">
        <v>129.30000000000001</v>
      </c>
      <c r="BY39" s="3">
        <f t="shared" si="91"/>
        <v>129.30000000000001</v>
      </c>
      <c r="BZ39" s="3">
        <v>527.54</v>
      </c>
      <c r="CA39" s="4">
        <v>6900504</v>
      </c>
      <c r="CB39" s="707">
        <v>74</v>
      </c>
      <c r="CD39" s="3">
        <v>57.38</v>
      </c>
      <c r="CE39" s="3">
        <f t="shared" si="92"/>
        <v>57.38</v>
      </c>
      <c r="CF39" s="3">
        <v>234.11</v>
      </c>
      <c r="CG39" s="4">
        <v>3043435.2</v>
      </c>
      <c r="CH39" s="707">
        <v>48</v>
      </c>
      <c r="CI39" s="3">
        <v>21.9</v>
      </c>
      <c r="CJ39" s="3">
        <v>63.42</v>
      </c>
      <c r="CK39" s="3">
        <f t="shared" si="93"/>
        <v>85.32</v>
      </c>
      <c r="CL39" s="3">
        <v>284.76</v>
      </c>
      <c r="CM39" s="4">
        <v>3920881.3</v>
      </c>
    </row>
    <row r="40" spans="1:91" x14ac:dyDescent="0.25">
      <c r="A40" s="719" t="s">
        <v>355</v>
      </c>
      <c r="C40" s="3">
        <v>0.11</v>
      </c>
      <c r="D40" s="3">
        <v>322.5</v>
      </c>
      <c r="E40" s="3">
        <f t="shared" si="79"/>
        <v>322.61</v>
      </c>
      <c r="G40" s="3">
        <v>1168200</v>
      </c>
      <c r="H40" s="707"/>
      <c r="K40" s="3">
        <f t="shared" si="80"/>
        <v>0</v>
      </c>
      <c r="N40" s="707">
        <v>53</v>
      </c>
      <c r="O40" s="3">
        <v>55</v>
      </c>
      <c r="Q40" s="3">
        <f t="shared" si="81"/>
        <v>55</v>
      </c>
      <c r="R40" s="3">
        <v>275</v>
      </c>
      <c r="S40" s="4">
        <v>4125000</v>
      </c>
      <c r="T40" s="707"/>
      <c r="W40" s="3">
        <f t="shared" si="82"/>
        <v>0</v>
      </c>
      <c r="Y40" s="4"/>
      <c r="Z40" s="707"/>
      <c r="AC40" s="3">
        <f t="shared" si="83"/>
        <v>0</v>
      </c>
      <c r="AE40" s="4"/>
      <c r="AI40" s="3">
        <f t="shared" si="84"/>
        <v>0</v>
      </c>
      <c r="AL40" s="707"/>
      <c r="AO40" s="3">
        <f t="shared" si="85"/>
        <v>0</v>
      </c>
      <c r="AQ40" s="4"/>
      <c r="AU40" s="3">
        <f t="shared" si="86"/>
        <v>0</v>
      </c>
      <c r="AX40" s="707"/>
      <c r="BA40" s="3">
        <f t="shared" si="87"/>
        <v>0</v>
      </c>
      <c r="BC40" s="4"/>
      <c r="BG40" s="3">
        <f t="shared" si="88"/>
        <v>0</v>
      </c>
      <c r="BJ40" s="707"/>
      <c r="BM40" s="3">
        <f t="shared" si="89"/>
        <v>0</v>
      </c>
      <c r="BO40" s="4"/>
      <c r="BP40" s="707"/>
      <c r="BS40" s="3">
        <f t="shared" si="90"/>
        <v>0</v>
      </c>
      <c r="BU40" s="4"/>
      <c r="BV40" s="707">
        <v>195</v>
      </c>
      <c r="BW40" s="3">
        <v>301</v>
      </c>
      <c r="BY40" s="3">
        <f t="shared" si="91"/>
        <v>301</v>
      </c>
      <c r="BZ40" s="3">
        <v>954.58</v>
      </c>
      <c r="CA40" s="4">
        <v>12409540</v>
      </c>
      <c r="CB40" s="707"/>
      <c r="CE40" s="3">
        <f t="shared" si="92"/>
        <v>0</v>
      </c>
      <c r="CG40" s="4"/>
      <c r="CH40" s="707">
        <v>151</v>
      </c>
      <c r="CI40" s="3">
        <v>237</v>
      </c>
      <c r="CK40" s="3">
        <f t="shared" si="93"/>
        <v>237</v>
      </c>
      <c r="CL40" s="3">
        <v>1289.03</v>
      </c>
      <c r="CM40" s="4">
        <v>16787150</v>
      </c>
    </row>
    <row r="41" spans="1:91" x14ac:dyDescent="0.25">
      <c r="A41" s="719" t="s">
        <v>356</v>
      </c>
      <c r="E41" s="3">
        <f t="shared" si="79"/>
        <v>0</v>
      </c>
      <c r="H41" s="707"/>
      <c r="I41" s="3">
        <v>65.849999999999994</v>
      </c>
      <c r="K41" s="3">
        <f t="shared" si="80"/>
        <v>65.849999999999994</v>
      </c>
      <c r="L41" s="3">
        <v>174.5</v>
      </c>
      <c r="M41" s="3">
        <v>2094030</v>
      </c>
      <c r="N41" s="707"/>
      <c r="Q41" s="3">
        <f t="shared" si="81"/>
        <v>0</v>
      </c>
      <c r="S41" s="4"/>
      <c r="T41" s="707"/>
      <c r="W41" s="3">
        <f t="shared" si="82"/>
        <v>0</v>
      </c>
      <c r="Y41" s="4"/>
      <c r="Z41" s="707">
        <v>10</v>
      </c>
      <c r="AB41" s="3">
        <v>6.1</v>
      </c>
      <c r="AC41" s="3">
        <f t="shared" si="83"/>
        <v>6.1</v>
      </c>
      <c r="AD41" s="3">
        <v>19.829999999999998</v>
      </c>
      <c r="AE41" s="4">
        <v>277550</v>
      </c>
      <c r="AI41" s="3">
        <f t="shared" si="84"/>
        <v>0</v>
      </c>
      <c r="AL41" s="707"/>
      <c r="AO41" s="3">
        <f t="shared" si="85"/>
        <v>0</v>
      </c>
      <c r="AQ41" s="4"/>
      <c r="AU41" s="3">
        <f t="shared" si="86"/>
        <v>0</v>
      </c>
      <c r="AX41" s="707"/>
      <c r="BA41" s="3">
        <f t="shared" si="87"/>
        <v>0</v>
      </c>
      <c r="BC41" s="4"/>
      <c r="BD41" s="3">
        <v>11</v>
      </c>
      <c r="BF41" s="3">
        <v>3.52</v>
      </c>
      <c r="BG41" s="3">
        <f t="shared" si="88"/>
        <v>3.52</v>
      </c>
      <c r="BH41" s="3">
        <v>6.34</v>
      </c>
      <c r="BI41" s="3">
        <v>69696</v>
      </c>
      <c r="BJ41" s="707">
        <v>8</v>
      </c>
      <c r="BL41" s="3">
        <v>4.88</v>
      </c>
      <c r="BM41" s="3">
        <f t="shared" si="89"/>
        <v>4.88</v>
      </c>
      <c r="BN41" s="3">
        <v>18.45</v>
      </c>
      <c r="BO41" s="4">
        <v>316355.76</v>
      </c>
      <c r="BP41" s="707"/>
      <c r="BS41" s="3">
        <f t="shared" si="90"/>
        <v>0</v>
      </c>
      <c r="BU41" s="4"/>
      <c r="BV41" s="707">
        <v>27</v>
      </c>
      <c r="BW41" s="3">
        <v>54.4</v>
      </c>
      <c r="BY41" s="3">
        <f t="shared" si="91"/>
        <v>54.4</v>
      </c>
      <c r="BZ41" s="3">
        <v>294.5</v>
      </c>
      <c r="CA41" s="4">
        <v>2945000</v>
      </c>
      <c r="CB41" s="707"/>
      <c r="CE41" s="3">
        <f t="shared" si="92"/>
        <v>0</v>
      </c>
      <c r="CG41" s="4"/>
      <c r="CH41" s="707">
        <v>48</v>
      </c>
      <c r="CI41" s="3">
        <v>1.8</v>
      </c>
      <c r="CJ41" s="3">
        <v>56.7</v>
      </c>
      <c r="CK41" s="3">
        <f t="shared" si="93"/>
        <v>58.5</v>
      </c>
      <c r="CL41" s="3">
        <v>228.11</v>
      </c>
      <c r="CM41" s="4">
        <v>2429500</v>
      </c>
    </row>
    <row r="42" spans="1:91" x14ac:dyDescent="0.25">
      <c r="A42" s="719" t="s">
        <v>357</v>
      </c>
      <c r="C42" s="3">
        <v>74.7</v>
      </c>
      <c r="E42" s="3">
        <f t="shared" si="79"/>
        <v>74.7</v>
      </c>
      <c r="G42" s="3">
        <v>1045800</v>
      </c>
      <c r="H42" s="707"/>
      <c r="K42" s="3">
        <f t="shared" si="80"/>
        <v>0</v>
      </c>
      <c r="N42" s="707"/>
      <c r="Q42" s="3">
        <f t="shared" si="81"/>
        <v>0</v>
      </c>
      <c r="S42" s="4"/>
      <c r="T42" s="707"/>
      <c r="W42" s="3">
        <f t="shared" si="82"/>
        <v>0</v>
      </c>
      <c r="Y42" s="4"/>
      <c r="Z42" s="707"/>
      <c r="AC42" s="3">
        <f t="shared" si="83"/>
        <v>0</v>
      </c>
      <c r="AE42" s="4"/>
      <c r="AI42" s="3">
        <f t="shared" si="84"/>
        <v>0</v>
      </c>
      <c r="AL42" s="707"/>
      <c r="AO42" s="3">
        <f t="shared" si="85"/>
        <v>0</v>
      </c>
      <c r="AQ42" s="4"/>
      <c r="AU42" s="3">
        <f t="shared" si="86"/>
        <v>0</v>
      </c>
      <c r="AX42" s="707"/>
      <c r="BA42" s="3">
        <f t="shared" si="87"/>
        <v>0</v>
      </c>
      <c r="BC42" s="4"/>
      <c r="BD42" s="3">
        <v>47</v>
      </c>
      <c r="BE42" s="3">
        <v>42</v>
      </c>
      <c r="BG42" s="3">
        <f t="shared" si="88"/>
        <v>42</v>
      </c>
      <c r="BH42" s="3">
        <v>252</v>
      </c>
      <c r="BI42" s="3">
        <v>3225600</v>
      </c>
      <c r="BJ42" s="707"/>
      <c r="BM42" s="3">
        <f t="shared" si="89"/>
        <v>0</v>
      </c>
      <c r="BO42" s="4"/>
      <c r="BP42" s="707"/>
      <c r="BS42" s="3">
        <f t="shared" si="90"/>
        <v>0</v>
      </c>
      <c r="BU42" s="4"/>
      <c r="BV42" s="707">
        <v>12</v>
      </c>
      <c r="BW42" s="3">
        <v>12</v>
      </c>
      <c r="BY42" s="3">
        <f t="shared" si="91"/>
        <v>12</v>
      </c>
      <c r="BZ42" s="3">
        <v>67</v>
      </c>
      <c r="CA42" s="4">
        <v>804000</v>
      </c>
      <c r="CB42" s="707"/>
      <c r="CE42" s="3">
        <f t="shared" si="92"/>
        <v>0</v>
      </c>
      <c r="CG42" s="4"/>
      <c r="CH42" s="707">
        <v>93</v>
      </c>
      <c r="CI42" s="3">
        <v>134</v>
      </c>
      <c r="CK42" s="3">
        <f t="shared" si="93"/>
        <v>134</v>
      </c>
      <c r="CL42" s="3">
        <v>763</v>
      </c>
      <c r="CM42" s="4">
        <v>9156000</v>
      </c>
    </row>
    <row r="43" spans="1:91" x14ac:dyDescent="0.25">
      <c r="A43" s="719" t="s">
        <v>358</v>
      </c>
      <c r="C43" s="3">
        <v>30</v>
      </c>
      <c r="E43" s="3">
        <f t="shared" si="79"/>
        <v>30</v>
      </c>
      <c r="G43" s="3">
        <v>420000</v>
      </c>
      <c r="H43" s="707"/>
      <c r="K43" s="3">
        <f t="shared" si="80"/>
        <v>0</v>
      </c>
      <c r="N43" s="707"/>
      <c r="Q43" s="3">
        <f t="shared" si="81"/>
        <v>0</v>
      </c>
      <c r="S43" s="4"/>
      <c r="T43" s="707"/>
      <c r="W43" s="3">
        <f t="shared" si="82"/>
        <v>0</v>
      </c>
      <c r="Y43" s="4"/>
      <c r="Z43" s="707"/>
      <c r="AC43" s="3">
        <f t="shared" si="83"/>
        <v>0</v>
      </c>
      <c r="AE43" s="4"/>
      <c r="AI43" s="3">
        <f t="shared" si="84"/>
        <v>0</v>
      </c>
      <c r="AL43" s="707"/>
      <c r="AO43" s="3">
        <f t="shared" si="85"/>
        <v>0</v>
      </c>
      <c r="AQ43" s="4"/>
      <c r="AU43" s="3">
        <f t="shared" si="86"/>
        <v>0</v>
      </c>
      <c r="AX43" s="707"/>
      <c r="BA43" s="3">
        <f t="shared" si="87"/>
        <v>0</v>
      </c>
      <c r="BC43" s="4"/>
      <c r="BD43" s="3">
        <v>4</v>
      </c>
      <c r="BE43" s="3">
        <v>3.25</v>
      </c>
      <c r="BG43" s="3">
        <f t="shared" si="88"/>
        <v>3.25</v>
      </c>
      <c r="BH43" s="3">
        <v>28</v>
      </c>
      <c r="BI43" s="3">
        <v>336000</v>
      </c>
      <c r="BJ43" s="707">
        <v>8</v>
      </c>
      <c r="BL43" s="3">
        <v>4.75</v>
      </c>
      <c r="BM43" s="3">
        <f t="shared" si="89"/>
        <v>4.75</v>
      </c>
      <c r="BN43" s="3">
        <v>16.149999999999999</v>
      </c>
      <c r="BO43" s="4">
        <v>274550</v>
      </c>
      <c r="BP43" s="707"/>
      <c r="BS43" s="3">
        <f t="shared" si="90"/>
        <v>0</v>
      </c>
      <c r="BU43" s="4"/>
      <c r="BV43" s="707">
        <v>34</v>
      </c>
      <c r="BX43" s="3">
        <v>32</v>
      </c>
      <c r="BY43" s="3">
        <f t="shared" si="91"/>
        <v>32</v>
      </c>
      <c r="BZ43" s="3">
        <v>105.6</v>
      </c>
      <c r="CA43" s="4">
        <v>1372800</v>
      </c>
      <c r="CB43" s="707"/>
      <c r="CE43" s="3">
        <f t="shared" si="92"/>
        <v>0</v>
      </c>
      <c r="CG43" s="4"/>
      <c r="CH43" s="707"/>
      <c r="CK43" s="3">
        <f t="shared" si="93"/>
        <v>0</v>
      </c>
      <c r="CM43" s="4"/>
    </row>
    <row r="44" spans="1:91" x14ac:dyDescent="0.25">
      <c r="A44" s="719" t="s">
        <v>359</v>
      </c>
      <c r="C44" s="3">
        <v>2</v>
      </c>
      <c r="E44" s="3">
        <f t="shared" si="79"/>
        <v>2</v>
      </c>
      <c r="G44" s="3">
        <v>28000</v>
      </c>
      <c r="H44" s="707"/>
      <c r="K44" s="3">
        <f t="shared" si="80"/>
        <v>0</v>
      </c>
      <c r="N44" s="707"/>
      <c r="Q44" s="3">
        <f t="shared" si="81"/>
        <v>0</v>
      </c>
      <c r="S44" s="4"/>
      <c r="T44" s="707"/>
      <c r="W44" s="3">
        <f t="shared" si="82"/>
        <v>0</v>
      </c>
      <c r="Y44" s="4"/>
      <c r="Z44" s="707"/>
      <c r="AC44" s="3">
        <f t="shared" si="83"/>
        <v>0</v>
      </c>
      <c r="AE44" s="4"/>
      <c r="AI44" s="3">
        <f t="shared" si="84"/>
        <v>0</v>
      </c>
      <c r="AL44" s="707"/>
      <c r="AO44" s="3">
        <f t="shared" si="85"/>
        <v>0</v>
      </c>
      <c r="AQ44" s="4"/>
      <c r="AU44" s="3">
        <f t="shared" si="86"/>
        <v>0</v>
      </c>
      <c r="AX44" s="707"/>
      <c r="BA44" s="3">
        <f t="shared" si="87"/>
        <v>0</v>
      </c>
      <c r="BC44" s="4"/>
      <c r="BG44" s="3">
        <f t="shared" si="88"/>
        <v>0</v>
      </c>
      <c r="BJ44" s="707"/>
      <c r="BM44" s="3">
        <f t="shared" si="89"/>
        <v>0</v>
      </c>
      <c r="BO44" s="4"/>
      <c r="BP44" s="707"/>
      <c r="BS44" s="3">
        <f t="shared" si="90"/>
        <v>0</v>
      </c>
      <c r="BU44" s="4"/>
      <c r="BV44" s="707"/>
      <c r="BY44" s="3">
        <f t="shared" si="91"/>
        <v>0</v>
      </c>
      <c r="CA44" s="4"/>
      <c r="CB44" s="707"/>
      <c r="CE44" s="3">
        <f t="shared" si="92"/>
        <v>0</v>
      </c>
      <c r="CG44" s="4"/>
      <c r="CH44" s="707"/>
      <c r="CK44" s="3">
        <f t="shared" si="93"/>
        <v>0</v>
      </c>
      <c r="CM44" s="4"/>
    </row>
    <row r="45" spans="1:91" x14ac:dyDescent="0.25">
      <c r="A45" s="719" t="s">
        <v>360</v>
      </c>
      <c r="C45" s="3">
        <v>20</v>
      </c>
      <c r="E45" s="3">
        <f t="shared" si="79"/>
        <v>20</v>
      </c>
      <c r="G45" s="3">
        <v>280000</v>
      </c>
      <c r="H45" s="707"/>
      <c r="K45" s="3">
        <f t="shared" si="80"/>
        <v>0</v>
      </c>
      <c r="N45" s="707"/>
      <c r="Q45" s="3">
        <f t="shared" si="81"/>
        <v>0</v>
      </c>
      <c r="S45" s="4"/>
      <c r="T45" s="707"/>
      <c r="W45" s="3">
        <f t="shared" si="82"/>
        <v>0</v>
      </c>
      <c r="Y45" s="4"/>
      <c r="Z45" s="707"/>
      <c r="AC45" s="3">
        <f t="shared" si="83"/>
        <v>0</v>
      </c>
      <c r="AE45" s="4"/>
      <c r="AI45" s="3">
        <f t="shared" si="84"/>
        <v>0</v>
      </c>
      <c r="AL45" s="707"/>
      <c r="AO45" s="3">
        <f t="shared" si="85"/>
        <v>0</v>
      </c>
      <c r="AQ45" s="4"/>
      <c r="AU45" s="3">
        <f t="shared" si="86"/>
        <v>0</v>
      </c>
      <c r="AX45" s="707"/>
      <c r="BA45" s="3">
        <f t="shared" si="87"/>
        <v>0</v>
      </c>
      <c r="BC45" s="4"/>
      <c r="BD45" s="3">
        <v>10</v>
      </c>
      <c r="BF45" s="3">
        <v>6.9</v>
      </c>
      <c r="BG45" s="3">
        <f t="shared" si="88"/>
        <v>6.9</v>
      </c>
      <c r="BH45" s="3">
        <v>15.53</v>
      </c>
      <c r="BI45" s="3">
        <v>170775</v>
      </c>
      <c r="BJ45" s="707">
        <v>21</v>
      </c>
      <c r="BK45" s="3">
        <v>6.25</v>
      </c>
      <c r="BL45" s="3">
        <v>3.5</v>
      </c>
      <c r="BM45" s="3">
        <f t="shared" si="89"/>
        <v>9.75</v>
      </c>
      <c r="BN45" s="3">
        <v>55.05</v>
      </c>
      <c r="BO45" s="4">
        <v>935807.5</v>
      </c>
      <c r="BP45" s="707"/>
      <c r="BS45" s="3">
        <f t="shared" si="90"/>
        <v>0</v>
      </c>
      <c r="BU45" s="4"/>
      <c r="BV45" s="707">
        <v>1</v>
      </c>
      <c r="BW45" s="3">
        <v>0.5</v>
      </c>
      <c r="BY45" s="3">
        <f t="shared" si="91"/>
        <v>0.5</v>
      </c>
      <c r="CA45" s="4">
        <v>14150</v>
      </c>
      <c r="CB45" s="707"/>
      <c r="CE45" s="3">
        <f t="shared" si="92"/>
        <v>0</v>
      </c>
      <c r="CG45" s="4"/>
      <c r="CH45" s="707">
        <v>4</v>
      </c>
      <c r="CJ45" s="3">
        <v>1.75</v>
      </c>
      <c r="CK45" s="3">
        <f t="shared" si="93"/>
        <v>1.75</v>
      </c>
      <c r="CL45" s="3">
        <v>1.76</v>
      </c>
      <c r="CM45" s="4">
        <v>26890.67</v>
      </c>
    </row>
    <row r="46" spans="1:91" x14ac:dyDescent="0.25">
      <c r="A46" s="719" t="s">
        <v>361</v>
      </c>
      <c r="E46" s="3">
        <f t="shared" si="79"/>
        <v>0</v>
      </c>
      <c r="H46" s="707"/>
      <c r="K46" s="3">
        <f t="shared" si="80"/>
        <v>0</v>
      </c>
      <c r="N46" s="707"/>
      <c r="Q46" s="3">
        <f t="shared" si="81"/>
        <v>0</v>
      </c>
      <c r="S46" s="4"/>
      <c r="T46" s="707"/>
      <c r="W46" s="3">
        <f t="shared" si="82"/>
        <v>0</v>
      </c>
      <c r="Y46" s="4"/>
      <c r="Z46" s="707"/>
      <c r="AC46" s="3">
        <f t="shared" si="83"/>
        <v>0</v>
      </c>
      <c r="AE46" s="4"/>
      <c r="AI46" s="3">
        <f t="shared" si="84"/>
        <v>0</v>
      </c>
      <c r="AL46" s="707"/>
      <c r="AO46" s="3">
        <f t="shared" si="85"/>
        <v>0</v>
      </c>
      <c r="AQ46" s="4"/>
      <c r="AU46" s="3">
        <f t="shared" si="86"/>
        <v>0</v>
      </c>
      <c r="AX46" s="707">
        <v>7</v>
      </c>
      <c r="AZ46" s="3">
        <v>2.9</v>
      </c>
      <c r="BA46" s="3">
        <f t="shared" si="87"/>
        <v>2.9</v>
      </c>
      <c r="BB46" s="3">
        <v>10.15</v>
      </c>
      <c r="BC46" s="4">
        <v>203000</v>
      </c>
      <c r="BG46" s="3">
        <f t="shared" si="88"/>
        <v>0</v>
      </c>
      <c r="BJ46" s="707">
        <v>15</v>
      </c>
      <c r="BL46" s="3">
        <v>17.7</v>
      </c>
      <c r="BM46" s="3">
        <f t="shared" si="89"/>
        <v>17.7</v>
      </c>
      <c r="BN46" s="3">
        <v>79.650000000000006</v>
      </c>
      <c r="BO46" s="4">
        <v>1433700</v>
      </c>
      <c r="BP46" s="707"/>
      <c r="BS46" s="3">
        <f t="shared" si="90"/>
        <v>0</v>
      </c>
      <c r="BU46" s="4"/>
      <c r="BV46" s="707">
        <v>27</v>
      </c>
      <c r="BX46" s="3">
        <v>25</v>
      </c>
      <c r="BY46" s="3">
        <f t="shared" si="91"/>
        <v>25</v>
      </c>
      <c r="BZ46" s="3">
        <v>77.5</v>
      </c>
      <c r="CA46" s="4">
        <v>930000</v>
      </c>
      <c r="CB46" s="707"/>
      <c r="CE46" s="3">
        <f t="shared" si="92"/>
        <v>0</v>
      </c>
      <c r="CG46" s="4"/>
      <c r="CH46" s="707">
        <v>22</v>
      </c>
      <c r="CI46" s="3">
        <v>39</v>
      </c>
      <c r="CJ46" s="3">
        <v>5</v>
      </c>
      <c r="CK46" s="3">
        <f t="shared" si="93"/>
        <v>44</v>
      </c>
      <c r="CL46" s="3">
        <v>165</v>
      </c>
      <c r="CM46" s="4">
        <v>2050000</v>
      </c>
    </row>
    <row r="47" spans="1:91" x14ac:dyDescent="0.25">
      <c r="A47" s="719" t="s">
        <v>362</v>
      </c>
      <c r="C47" s="3">
        <v>35.5</v>
      </c>
      <c r="E47" s="3">
        <f t="shared" si="79"/>
        <v>35.5</v>
      </c>
      <c r="G47" s="3">
        <v>511000</v>
      </c>
      <c r="H47" s="707"/>
      <c r="J47" s="3">
        <v>504</v>
      </c>
      <c r="K47" s="3">
        <f t="shared" si="80"/>
        <v>504</v>
      </c>
      <c r="L47" s="3">
        <v>1037.74</v>
      </c>
      <c r="M47" s="3">
        <v>12452880</v>
      </c>
      <c r="N47" s="707"/>
      <c r="Q47" s="3">
        <f t="shared" si="81"/>
        <v>0</v>
      </c>
      <c r="S47" s="4"/>
      <c r="T47" s="707"/>
      <c r="W47" s="3">
        <f t="shared" si="82"/>
        <v>0</v>
      </c>
      <c r="Y47" s="4"/>
      <c r="Z47" s="707"/>
      <c r="AC47" s="3">
        <f t="shared" si="83"/>
        <v>0</v>
      </c>
      <c r="AE47" s="4"/>
      <c r="AI47" s="3">
        <f t="shared" si="84"/>
        <v>0</v>
      </c>
      <c r="AL47" s="707"/>
      <c r="AO47" s="3">
        <f t="shared" si="85"/>
        <v>0</v>
      </c>
      <c r="AQ47" s="4"/>
      <c r="AU47" s="3">
        <f t="shared" si="86"/>
        <v>0</v>
      </c>
      <c r="AX47" s="707">
        <v>9</v>
      </c>
      <c r="AY47" s="3">
        <v>5.5</v>
      </c>
      <c r="BA47" s="3">
        <f t="shared" si="87"/>
        <v>5.5</v>
      </c>
      <c r="BB47" s="3">
        <v>33</v>
      </c>
      <c r="BC47" s="4">
        <v>759000</v>
      </c>
      <c r="BD47" s="3">
        <v>9</v>
      </c>
      <c r="BF47" s="3">
        <v>6.3</v>
      </c>
      <c r="BG47" s="3">
        <f t="shared" si="88"/>
        <v>6.3</v>
      </c>
      <c r="BH47" s="3">
        <v>10.4</v>
      </c>
      <c r="BI47" s="3">
        <v>124740</v>
      </c>
      <c r="BJ47" s="707"/>
      <c r="BM47" s="3">
        <f t="shared" si="89"/>
        <v>0</v>
      </c>
      <c r="BO47" s="4"/>
      <c r="BP47" s="707"/>
      <c r="BS47" s="3">
        <f t="shared" si="90"/>
        <v>0</v>
      </c>
      <c r="BU47" s="4"/>
      <c r="BV47" s="707">
        <v>7</v>
      </c>
      <c r="BX47" s="3">
        <v>4</v>
      </c>
      <c r="BY47" s="3">
        <f t="shared" si="91"/>
        <v>4</v>
      </c>
      <c r="BZ47" s="3">
        <v>11</v>
      </c>
      <c r="CA47" s="4">
        <v>132000</v>
      </c>
      <c r="CB47" s="707"/>
      <c r="CE47" s="3">
        <f t="shared" si="92"/>
        <v>0</v>
      </c>
      <c r="CG47" s="4"/>
      <c r="CH47" s="707"/>
      <c r="CK47" s="3">
        <f t="shared" si="93"/>
        <v>0</v>
      </c>
      <c r="CM47" s="4"/>
    </row>
    <row r="48" spans="1:91" x14ac:dyDescent="0.25">
      <c r="A48" s="719" t="s">
        <v>363</v>
      </c>
      <c r="D48" s="3">
        <v>37.700000000000003</v>
      </c>
      <c r="E48" s="3">
        <f t="shared" si="79"/>
        <v>37.700000000000003</v>
      </c>
      <c r="G48" s="3">
        <v>105560</v>
      </c>
      <c r="H48" s="707"/>
      <c r="J48" s="3">
        <v>102.42</v>
      </c>
      <c r="K48" s="3">
        <f t="shared" si="80"/>
        <v>102.42</v>
      </c>
      <c r="L48" s="3">
        <v>204.84</v>
      </c>
      <c r="M48" s="3">
        <v>2458080</v>
      </c>
      <c r="N48" s="707"/>
      <c r="Q48" s="3">
        <f t="shared" si="81"/>
        <v>0</v>
      </c>
      <c r="S48" s="4"/>
      <c r="T48" s="707"/>
      <c r="W48" s="3">
        <f t="shared" si="82"/>
        <v>0</v>
      </c>
      <c r="Y48" s="4"/>
      <c r="Z48" s="707"/>
      <c r="AC48" s="3">
        <f t="shared" si="83"/>
        <v>0</v>
      </c>
      <c r="AE48" s="4"/>
      <c r="AI48" s="3">
        <f t="shared" si="84"/>
        <v>0</v>
      </c>
      <c r="AL48" s="707"/>
      <c r="AO48" s="3">
        <f t="shared" si="85"/>
        <v>0</v>
      </c>
      <c r="AQ48" s="4"/>
      <c r="AU48" s="3">
        <f t="shared" si="86"/>
        <v>0</v>
      </c>
      <c r="AX48" s="707"/>
      <c r="BA48" s="3">
        <f t="shared" si="87"/>
        <v>0</v>
      </c>
      <c r="BC48" s="4"/>
      <c r="BG48" s="3">
        <f t="shared" si="88"/>
        <v>0</v>
      </c>
      <c r="BJ48" s="707"/>
      <c r="BM48" s="3">
        <f t="shared" si="89"/>
        <v>0</v>
      </c>
      <c r="BO48" s="4"/>
      <c r="BP48" s="707"/>
      <c r="BS48" s="3">
        <f t="shared" si="90"/>
        <v>0</v>
      </c>
      <c r="BU48" s="4"/>
      <c r="BV48" s="707"/>
      <c r="BY48" s="3">
        <f t="shared" si="91"/>
        <v>0</v>
      </c>
      <c r="CA48" s="4"/>
      <c r="CB48" s="707"/>
      <c r="CE48" s="3">
        <f t="shared" si="92"/>
        <v>0</v>
      </c>
      <c r="CG48" s="4"/>
      <c r="CH48" s="707">
        <v>37</v>
      </c>
      <c r="CI48" s="3">
        <v>8.6999999999999993</v>
      </c>
      <c r="CJ48" s="3">
        <v>13.8</v>
      </c>
      <c r="CK48" s="3">
        <f t="shared" si="93"/>
        <v>22.5</v>
      </c>
      <c r="CM48" s="4">
        <v>35001.94</v>
      </c>
    </row>
    <row r="49" spans="1:91" x14ac:dyDescent="0.25">
      <c r="A49" s="719" t="s">
        <v>364</v>
      </c>
      <c r="C49" s="3">
        <v>579</v>
      </c>
      <c r="E49" s="3">
        <f t="shared" si="79"/>
        <v>579</v>
      </c>
      <c r="F49" s="3">
        <v>275</v>
      </c>
      <c r="G49" s="3">
        <v>13386000</v>
      </c>
      <c r="H49" s="707"/>
      <c r="K49" s="3">
        <f t="shared" si="80"/>
        <v>0</v>
      </c>
      <c r="N49" s="707">
        <v>196</v>
      </c>
      <c r="O49" s="3">
        <v>125</v>
      </c>
      <c r="P49" s="3">
        <v>109</v>
      </c>
      <c r="Q49" s="3">
        <f t="shared" si="81"/>
        <v>234</v>
      </c>
      <c r="R49" s="3">
        <v>927</v>
      </c>
      <c r="S49" s="4">
        <v>14801000</v>
      </c>
      <c r="T49" s="707"/>
      <c r="W49" s="3">
        <f t="shared" si="82"/>
        <v>0</v>
      </c>
      <c r="Y49" s="4"/>
      <c r="Z49" s="707"/>
      <c r="AC49" s="3">
        <f t="shared" si="83"/>
        <v>0</v>
      </c>
      <c r="AE49" s="4"/>
      <c r="AI49" s="3">
        <f t="shared" si="84"/>
        <v>0</v>
      </c>
      <c r="AL49" s="707"/>
      <c r="AO49" s="3">
        <f t="shared" si="85"/>
        <v>0</v>
      </c>
      <c r="AQ49" s="4"/>
      <c r="AU49" s="3">
        <f t="shared" si="86"/>
        <v>0</v>
      </c>
      <c r="AX49" s="707"/>
      <c r="BA49" s="3">
        <f t="shared" si="87"/>
        <v>0</v>
      </c>
      <c r="BC49" s="4"/>
      <c r="BG49" s="3">
        <f t="shared" si="88"/>
        <v>0</v>
      </c>
      <c r="BJ49" s="707">
        <v>6</v>
      </c>
      <c r="BK49" s="3">
        <v>5</v>
      </c>
      <c r="BL49" s="3">
        <v>8.1999999999999993</v>
      </c>
      <c r="BM49" s="3">
        <f t="shared" si="89"/>
        <v>13.2</v>
      </c>
      <c r="BN49" s="3">
        <v>70.19</v>
      </c>
      <c r="BO49" s="4">
        <v>1263456</v>
      </c>
      <c r="BP49" s="707"/>
      <c r="BS49" s="3">
        <f t="shared" si="90"/>
        <v>0</v>
      </c>
      <c r="BU49" s="4"/>
      <c r="BV49" s="707"/>
      <c r="BY49" s="3">
        <f t="shared" si="91"/>
        <v>0</v>
      </c>
      <c r="CA49" s="4"/>
      <c r="CB49" s="707"/>
      <c r="CE49" s="3">
        <f t="shared" si="92"/>
        <v>0</v>
      </c>
      <c r="CG49" s="4"/>
      <c r="CH49" s="707">
        <v>309</v>
      </c>
      <c r="CI49" s="3">
        <v>482.07</v>
      </c>
      <c r="CK49" s="3">
        <f t="shared" si="93"/>
        <v>482.07</v>
      </c>
      <c r="CM49" s="4">
        <v>510994.2</v>
      </c>
    </row>
    <row r="50" spans="1:91" x14ac:dyDescent="0.25">
      <c r="A50" s="719" t="s">
        <v>365</v>
      </c>
      <c r="E50" s="3">
        <f t="shared" si="79"/>
        <v>0</v>
      </c>
      <c r="H50" s="707"/>
      <c r="K50" s="3">
        <f t="shared" si="80"/>
        <v>0</v>
      </c>
      <c r="N50" s="707">
        <v>10</v>
      </c>
      <c r="O50" s="3">
        <v>4.1100000000000003</v>
      </c>
      <c r="Q50" s="3">
        <f t="shared" si="81"/>
        <v>4.1100000000000003</v>
      </c>
      <c r="R50" s="3">
        <v>18.5</v>
      </c>
      <c r="S50" s="4">
        <v>268177.5</v>
      </c>
      <c r="T50" s="707"/>
      <c r="W50" s="3">
        <f t="shared" si="82"/>
        <v>0</v>
      </c>
      <c r="Y50" s="4"/>
      <c r="Z50" s="707">
        <v>105</v>
      </c>
      <c r="AB50" s="3">
        <v>99</v>
      </c>
      <c r="AC50" s="3">
        <f t="shared" si="83"/>
        <v>99</v>
      </c>
      <c r="AD50" s="3">
        <v>297</v>
      </c>
      <c r="AE50" s="4">
        <v>4455000</v>
      </c>
      <c r="AI50" s="3">
        <f t="shared" si="84"/>
        <v>0</v>
      </c>
      <c r="AL50" s="707"/>
      <c r="AO50" s="3">
        <f t="shared" si="85"/>
        <v>0</v>
      </c>
      <c r="AQ50" s="4"/>
      <c r="AU50" s="3">
        <f t="shared" si="86"/>
        <v>0</v>
      </c>
      <c r="AX50" s="707">
        <v>225</v>
      </c>
      <c r="AZ50" s="3">
        <v>246.7</v>
      </c>
      <c r="BA50" s="3">
        <f t="shared" si="87"/>
        <v>246.7</v>
      </c>
      <c r="BB50" s="3">
        <v>488.47</v>
      </c>
      <c r="BC50" s="4">
        <v>11234718</v>
      </c>
      <c r="BG50" s="3">
        <f t="shared" si="88"/>
        <v>0</v>
      </c>
      <c r="BJ50" s="707"/>
      <c r="BM50" s="3">
        <f t="shared" si="89"/>
        <v>0</v>
      </c>
      <c r="BO50" s="4"/>
      <c r="BP50" s="707"/>
      <c r="BS50" s="3">
        <f t="shared" si="90"/>
        <v>0</v>
      </c>
      <c r="BU50" s="4"/>
      <c r="BV50" s="707">
        <v>646</v>
      </c>
      <c r="BX50" s="3">
        <v>931.7</v>
      </c>
      <c r="BY50" s="3">
        <f t="shared" si="91"/>
        <v>931.7</v>
      </c>
      <c r="BZ50" s="3">
        <v>953.08</v>
      </c>
      <c r="CA50" s="4">
        <v>11436964.560000001</v>
      </c>
      <c r="CB50" s="707"/>
      <c r="CE50" s="3">
        <f t="shared" si="92"/>
        <v>0</v>
      </c>
      <c r="CG50" s="4"/>
      <c r="CH50" s="707">
        <v>333</v>
      </c>
      <c r="CJ50" s="3">
        <v>449.4</v>
      </c>
      <c r="CK50" s="3">
        <f t="shared" si="93"/>
        <v>449.4</v>
      </c>
      <c r="CL50" s="3">
        <v>416.59</v>
      </c>
      <c r="CM50" s="4">
        <v>5415683</v>
      </c>
    </row>
    <row r="51" spans="1:91" s="704" customFormat="1" x14ac:dyDescent="0.25">
      <c r="A51" s="722" t="s">
        <v>366</v>
      </c>
      <c r="B51" s="723">
        <f>SUM(B52:B72)</f>
        <v>0</v>
      </c>
      <c r="C51" s="724">
        <f>SUM(C52:C72)</f>
        <v>0</v>
      </c>
      <c r="D51" s="724">
        <f t="shared" ref="D51:F51" si="94">SUM(D52:D72)</f>
        <v>0</v>
      </c>
      <c r="E51" s="724">
        <f t="shared" si="94"/>
        <v>0</v>
      </c>
      <c r="F51" s="724">
        <f t="shared" si="94"/>
        <v>0</v>
      </c>
      <c r="G51" s="725">
        <f>SUM(G52:G72)</f>
        <v>0</v>
      </c>
      <c r="H51" s="723">
        <f>SUM(H52:H72)</f>
        <v>186</v>
      </c>
      <c r="I51" s="724">
        <f>SUM(I52:I72)</f>
        <v>1</v>
      </c>
      <c r="J51" s="724">
        <f t="shared" ref="J51:L51" si="95">SUM(J52:J72)</f>
        <v>164.3</v>
      </c>
      <c r="K51" s="724">
        <f t="shared" si="95"/>
        <v>165.3</v>
      </c>
      <c r="L51" s="724">
        <f t="shared" si="95"/>
        <v>390.23</v>
      </c>
      <c r="M51" s="725">
        <f>SUM(M52:M72)</f>
        <v>6597672.5</v>
      </c>
      <c r="N51" s="723">
        <f>SUM(N52:N72)</f>
        <v>417</v>
      </c>
      <c r="O51" s="724">
        <f>SUM(O52:O72)</f>
        <v>390</v>
      </c>
      <c r="P51" s="724">
        <f t="shared" ref="P51:R51" si="96">SUM(P52:P72)</f>
        <v>68.349999999999994</v>
      </c>
      <c r="Q51" s="724">
        <f t="shared" si="96"/>
        <v>458.35</v>
      </c>
      <c r="R51" s="724">
        <f t="shared" si="96"/>
        <v>1539.1599999999999</v>
      </c>
      <c r="S51" s="731">
        <f>SUM(S52:S72)</f>
        <v>28523600</v>
      </c>
      <c r="T51" s="723">
        <f>SUM(T52:T72)</f>
        <v>156</v>
      </c>
      <c r="U51" s="724">
        <f>SUM(U52:U72)</f>
        <v>31.13</v>
      </c>
      <c r="V51" s="724">
        <f t="shared" ref="V51:X51" si="97">SUM(V52:V72)</f>
        <v>99.57</v>
      </c>
      <c r="W51" s="724">
        <f t="shared" si="97"/>
        <v>130.69999999999999</v>
      </c>
      <c r="X51" s="724">
        <f t="shared" si="97"/>
        <v>300.17</v>
      </c>
      <c r="Y51" s="731">
        <f>SUM(Y52:Y72)</f>
        <v>4778640</v>
      </c>
      <c r="Z51" s="723">
        <f>SUM(Z52:Z72)</f>
        <v>250</v>
      </c>
      <c r="AA51" s="724">
        <f>SUM(AA52:AA72)</f>
        <v>54.8</v>
      </c>
      <c r="AB51" s="724">
        <f t="shared" ref="AB51:AD51" si="98">SUM(AB52:AB72)</f>
        <v>175.08</v>
      </c>
      <c r="AC51" s="724">
        <f t="shared" si="98"/>
        <v>229.88</v>
      </c>
      <c r="AD51" s="724">
        <f t="shared" si="98"/>
        <v>567.86</v>
      </c>
      <c r="AE51" s="731">
        <f>SUM(AE52:AE72)</f>
        <v>9520909.5</v>
      </c>
      <c r="AF51" s="730">
        <f>SUM(AF52:AF72)</f>
        <v>0</v>
      </c>
      <c r="AG51" s="724">
        <f>SUM(AG52:AG72)</f>
        <v>0</v>
      </c>
      <c r="AH51" s="724">
        <f t="shared" ref="AH51" si="99">SUM(AH52:AH72)</f>
        <v>0</v>
      </c>
      <c r="AI51" s="724">
        <f t="shared" ref="AI51" si="100">SUM(AI52:AI72)</f>
        <v>0</v>
      </c>
      <c r="AJ51" s="724">
        <f t="shared" ref="AJ51" si="101">SUM(AJ52:AJ72)</f>
        <v>0</v>
      </c>
      <c r="AK51" s="725">
        <f>SUM(AK52:AK72)</f>
        <v>0</v>
      </c>
      <c r="AL51" s="723">
        <f>SUM(AL52:AL72)</f>
        <v>0</v>
      </c>
      <c r="AM51" s="724">
        <f>SUM(AM52:AM72)</f>
        <v>0</v>
      </c>
      <c r="AN51" s="724">
        <f t="shared" ref="AN51:AP51" si="102">SUM(AN52:AN72)</f>
        <v>0</v>
      </c>
      <c r="AO51" s="724">
        <f t="shared" si="102"/>
        <v>0</v>
      </c>
      <c r="AP51" s="724">
        <f t="shared" si="102"/>
        <v>0</v>
      </c>
      <c r="AQ51" s="731">
        <f>SUM(AQ52:AQ72)</f>
        <v>0</v>
      </c>
      <c r="AR51" s="730">
        <f>SUM(AR52:AR72)</f>
        <v>221</v>
      </c>
      <c r="AS51" s="724">
        <f>SUM(AS52:AS72)</f>
        <v>61.6</v>
      </c>
      <c r="AT51" s="724">
        <f t="shared" ref="AT51" si="103">SUM(AT52:AT72)</f>
        <v>195.31</v>
      </c>
      <c r="AU51" s="724">
        <f t="shared" ref="AU51" si="104">SUM(AU52:AU72)</f>
        <v>256.90999999999997</v>
      </c>
      <c r="AV51" s="724">
        <f t="shared" ref="AV51" si="105">SUM(AV52:AV72)</f>
        <v>451.14</v>
      </c>
      <c r="AW51" s="725">
        <f>SUM(AW52:AW72)</f>
        <v>7348269.75</v>
      </c>
      <c r="AX51" s="723">
        <f>SUM(AX52:AX72)</f>
        <v>20</v>
      </c>
      <c r="AY51" s="724">
        <f>SUM(AY52:AY72)</f>
        <v>0</v>
      </c>
      <c r="AZ51" s="724">
        <f t="shared" ref="AZ51" si="106">SUM(AZ52:AZ72)</f>
        <v>16.100000000000001</v>
      </c>
      <c r="BA51" s="724">
        <f t="shared" ref="BA51" si="107">SUM(BA52:BA72)</f>
        <v>16.100000000000001</v>
      </c>
      <c r="BB51" s="724">
        <f t="shared" ref="BB51" si="108">SUM(BB52:BB72)</f>
        <v>48.910000000000004</v>
      </c>
      <c r="BC51" s="731">
        <f>SUM(BC52:BC72)</f>
        <v>764235</v>
      </c>
      <c r="BD51" s="730">
        <f>SUM(BD52:BD72)</f>
        <v>101</v>
      </c>
      <c r="BE51" s="724">
        <f>SUM(BE52:BE72)</f>
        <v>17.95</v>
      </c>
      <c r="BF51" s="724">
        <f t="shared" ref="BF51" si="109">SUM(BF52:BF72)</f>
        <v>82.460000000000008</v>
      </c>
      <c r="BG51" s="724">
        <f t="shared" ref="BG51" si="110">SUM(BG52:BG72)</f>
        <v>100.41</v>
      </c>
      <c r="BH51" s="724">
        <f t="shared" ref="BH51" si="111">SUM(BH52:BH72)</f>
        <v>149.72</v>
      </c>
      <c r="BI51" s="725">
        <f>SUM(BI52:BI72)</f>
        <v>2433688</v>
      </c>
      <c r="BJ51" s="723">
        <f>SUM(BJ52:BJ72)</f>
        <v>0</v>
      </c>
      <c r="BK51" s="724">
        <f>SUM(BK52:BK72)</f>
        <v>0</v>
      </c>
      <c r="BL51" s="724">
        <f t="shared" ref="BL51" si="112">SUM(BL52:BL72)</f>
        <v>0</v>
      </c>
      <c r="BM51" s="724">
        <f t="shared" ref="BM51" si="113">SUM(BM52:BM72)</f>
        <v>0</v>
      </c>
      <c r="BN51" s="724">
        <f t="shared" ref="BN51" si="114">SUM(BN52:BN72)</f>
        <v>0</v>
      </c>
      <c r="BO51" s="731">
        <f>SUM(BO52:BO72)</f>
        <v>0</v>
      </c>
      <c r="BP51" s="723">
        <f>SUM(BP52:BP72)</f>
        <v>8</v>
      </c>
      <c r="BQ51" s="724">
        <f>SUM(BQ52:BQ72)</f>
        <v>0</v>
      </c>
      <c r="BR51" s="724">
        <f t="shared" ref="BR51" si="115">SUM(BR52:BR72)</f>
        <v>9</v>
      </c>
      <c r="BS51" s="724">
        <f t="shared" ref="BS51" si="116">SUM(BS52:BS72)</f>
        <v>9</v>
      </c>
      <c r="BT51" s="724">
        <f t="shared" ref="BT51" si="117">SUM(BT52:BT72)</f>
        <v>8.69</v>
      </c>
      <c r="BU51" s="731">
        <f>SUM(BU52:BU72)</f>
        <v>132857.67000000001</v>
      </c>
      <c r="BV51" s="723">
        <f>SUM(BV52:BV72)</f>
        <v>306</v>
      </c>
      <c r="BW51" s="724">
        <f>SUM(BW52:BW72)</f>
        <v>83.54</v>
      </c>
      <c r="BX51" s="724">
        <f t="shared" ref="BX51" si="118">SUM(BX52:BX72)</f>
        <v>219.45</v>
      </c>
      <c r="BY51" s="724">
        <f t="shared" ref="BY51" si="119">SUM(BY52:BY72)</f>
        <v>302.99</v>
      </c>
      <c r="BZ51" s="724">
        <f t="shared" ref="BZ51" si="120">SUM(BZ52:BZ72)</f>
        <v>620.48</v>
      </c>
      <c r="CA51" s="731">
        <f>SUM(CA52:CA72)</f>
        <v>8297208.9000000004</v>
      </c>
      <c r="CB51" s="723">
        <f>SUM(CB52:CB72)</f>
        <v>606</v>
      </c>
      <c r="CC51" s="724">
        <f>SUM(CC52:CC72)</f>
        <v>115.3</v>
      </c>
      <c r="CD51" s="724">
        <f t="shared" ref="CD51" si="121">SUM(CD52:CD72)</f>
        <v>505.42</v>
      </c>
      <c r="CE51" s="724">
        <f t="shared" ref="CE51" si="122">SUM(CE52:CE72)</f>
        <v>620.72</v>
      </c>
      <c r="CF51" s="724">
        <f t="shared" ref="CF51" si="123">SUM(CF52:CF72)</f>
        <v>1294.69</v>
      </c>
      <c r="CG51" s="731">
        <f>SUM(CG52:CG72)</f>
        <v>19141380.620000001</v>
      </c>
      <c r="CH51" s="723">
        <f>SUM(CH52:CH72)</f>
        <v>202</v>
      </c>
      <c r="CI51" s="724">
        <f>SUM(CI52:CI72)</f>
        <v>80.150000000000006</v>
      </c>
      <c r="CJ51" s="724">
        <f t="shared" ref="CJ51" si="124">SUM(CJ52:CJ72)</f>
        <v>122.57000000000001</v>
      </c>
      <c r="CK51" s="724">
        <f t="shared" ref="CK51" si="125">SUM(CK52:CK72)</f>
        <v>202.72</v>
      </c>
      <c r="CL51" s="724">
        <f t="shared" ref="CL51" si="126">SUM(CL52:CL72)</f>
        <v>450.9</v>
      </c>
      <c r="CM51" s="731">
        <f>SUM(CM52:CM72)</f>
        <v>6221981</v>
      </c>
    </row>
    <row r="52" spans="1:91" x14ac:dyDescent="0.25">
      <c r="A52" s="719" t="s">
        <v>367</v>
      </c>
      <c r="E52" s="3">
        <f t="shared" ref="E52:E72" si="127">SUM(C52:D52)</f>
        <v>0</v>
      </c>
      <c r="H52" s="707">
        <v>9</v>
      </c>
      <c r="J52" s="3">
        <v>5.8</v>
      </c>
      <c r="K52" s="3">
        <f t="shared" ref="K52:K72" si="128">SUM(I52:J52)</f>
        <v>5.8</v>
      </c>
      <c r="L52" s="3">
        <v>8.58</v>
      </c>
      <c r="M52" s="3">
        <v>128760</v>
      </c>
      <c r="N52" s="707"/>
      <c r="Q52" s="3">
        <f t="shared" ref="Q52:Q72" si="129">SUM(O52:P52)</f>
        <v>0</v>
      </c>
      <c r="S52" s="4"/>
      <c r="T52" s="707"/>
      <c r="W52" s="3">
        <f t="shared" ref="W52:W72" si="130">SUM(U52:V52)</f>
        <v>0</v>
      </c>
      <c r="Y52" s="4"/>
      <c r="Z52" s="707">
        <v>30</v>
      </c>
      <c r="AB52" s="3">
        <v>8.5299999999999994</v>
      </c>
      <c r="AC52" s="3">
        <f t="shared" si="83"/>
        <v>8.5299999999999994</v>
      </c>
      <c r="AD52" s="3">
        <v>18</v>
      </c>
      <c r="AE52" s="4">
        <v>305974.5</v>
      </c>
      <c r="AI52" s="3">
        <f t="shared" ref="AI52:AI72" si="131">SUM(AG52:AH52)</f>
        <v>0</v>
      </c>
      <c r="AL52" s="707"/>
      <c r="AO52" s="3">
        <f t="shared" ref="AO52:AO72" si="132">SUM(AM52:AN52)</f>
        <v>0</v>
      </c>
      <c r="AQ52" s="4"/>
      <c r="AU52" s="3">
        <f t="shared" ref="AU52:AU72" si="133">SUM(AS52:AT52)</f>
        <v>0</v>
      </c>
      <c r="AX52" s="707"/>
      <c r="BA52" s="3">
        <f t="shared" ref="BA52:BA72" si="134">SUM(AY52:AZ52)</f>
        <v>0</v>
      </c>
      <c r="BC52" s="4"/>
      <c r="BG52" s="3">
        <f t="shared" ref="BG52:BG72" si="135">SUM(BE52:BF52)</f>
        <v>0</v>
      </c>
      <c r="BJ52" s="707"/>
      <c r="BM52" s="3">
        <f t="shared" ref="BM52:BM72" si="136">SUM(BK52:BL52)</f>
        <v>0</v>
      </c>
      <c r="BO52" s="4"/>
      <c r="BP52" s="707"/>
      <c r="BS52" s="3">
        <f t="shared" ref="BS52:BS72" si="137">SUM(BQ52:BR52)</f>
        <v>0</v>
      </c>
      <c r="BU52" s="4"/>
      <c r="BV52" s="707"/>
      <c r="BY52" s="3">
        <f t="shared" ref="BY52:BY72" si="138">SUM(BW52:BX52)</f>
        <v>0</v>
      </c>
      <c r="CA52" s="4"/>
      <c r="CB52" s="707">
        <v>19</v>
      </c>
      <c r="CC52" s="3">
        <v>12.9</v>
      </c>
      <c r="CE52" s="3">
        <f t="shared" ref="CE52:CE72" si="139">SUM(CC52:CD52)</f>
        <v>12.9</v>
      </c>
      <c r="CF52" s="3">
        <v>54.75</v>
      </c>
      <c r="CG52" s="4">
        <v>985500</v>
      </c>
      <c r="CH52" s="707">
        <v>41</v>
      </c>
      <c r="CJ52" s="3">
        <v>29.17</v>
      </c>
      <c r="CK52" s="3">
        <f t="shared" ref="CK52:CK72" si="140">SUM(CI52:CJ52)</f>
        <v>29.17</v>
      </c>
      <c r="CL52" s="3">
        <v>61.99</v>
      </c>
      <c r="CM52" s="4">
        <v>1115901</v>
      </c>
    </row>
    <row r="53" spans="1:91" x14ac:dyDescent="0.25">
      <c r="A53" s="719" t="s">
        <v>368</v>
      </c>
      <c r="E53" s="3">
        <f t="shared" si="127"/>
        <v>0</v>
      </c>
      <c r="H53" s="707">
        <v>33</v>
      </c>
      <c r="J53" s="3">
        <v>20.5</v>
      </c>
      <c r="K53" s="3">
        <f t="shared" si="128"/>
        <v>20.5</v>
      </c>
      <c r="L53" s="3">
        <v>58.43</v>
      </c>
      <c r="M53" s="3">
        <v>876375</v>
      </c>
      <c r="N53" s="707">
        <v>25</v>
      </c>
      <c r="P53" s="3">
        <v>30</v>
      </c>
      <c r="Q53" s="3">
        <f t="shared" si="129"/>
        <v>30</v>
      </c>
      <c r="S53" s="4">
        <v>1080000</v>
      </c>
      <c r="T53" s="707">
        <v>4</v>
      </c>
      <c r="U53" s="3">
        <v>0.5</v>
      </c>
      <c r="V53" s="3">
        <v>1.5</v>
      </c>
      <c r="W53" s="3">
        <f t="shared" si="130"/>
        <v>2</v>
      </c>
      <c r="Y53" s="4">
        <v>18000</v>
      </c>
      <c r="Z53" s="707">
        <v>60</v>
      </c>
      <c r="AB53" s="3">
        <v>60</v>
      </c>
      <c r="AC53" s="3">
        <f t="shared" si="83"/>
        <v>60</v>
      </c>
      <c r="AD53" s="3">
        <v>144</v>
      </c>
      <c r="AE53" s="4">
        <v>2304000</v>
      </c>
      <c r="AI53" s="3">
        <f t="shared" si="131"/>
        <v>0</v>
      </c>
      <c r="AL53" s="707"/>
      <c r="AO53" s="3">
        <f t="shared" si="132"/>
        <v>0</v>
      </c>
      <c r="AQ53" s="4"/>
      <c r="AU53" s="3">
        <f t="shared" si="133"/>
        <v>0</v>
      </c>
      <c r="AX53" s="707"/>
      <c r="BA53" s="3">
        <f t="shared" si="134"/>
        <v>0</v>
      </c>
      <c r="BC53" s="4"/>
      <c r="BD53" s="3">
        <v>3</v>
      </c>
      <c r="BE53" s="3">
        <v>2.95</v>
      </c>
      <c r="BG53" s="3">
        <f t="shared" si="135"/>
        <v>2.95</v>
      </c>
      <c r="BH53" s="3">
        <v>14.75</v>
      </c>
      <c r="BI53" s="3">
        <v>132750</v>
      </c>
      <c r="BJ53" s="707"/>
      <c r="BM53" s="3">
        <f t="shared" si="136"/>
        <v>0</v>
      </c>
      <c r="BO53" s="4"/>
      <c r="BP53" s="707"/>
      <c r="BS53" s="3">
        <f t="shared" si="137"/>
        <v>0</v>
      </c>
      <c r="BU53" s="4"/>
      <c r="BV53" s="707">
        <v>38</v>
      </c>
      <c r="BW53" s="3">
        <v>18.149999999999999</v>
      </c>
      <c r="BY53" s="3">
        <f t="shared" si="138"/>
        <v>18.149999999999999</v>
      </c>
      <c r="BZ53" s="3">
        <v>81.680000000000007</v>
      </c>
      <c r="CA53" s="4">
        <v>980100</v>
      </c>
      <c r="CB53" s="707">
        <v>15</v>
      </c>
      <c r="CC53" s="3">
        <v>0.25</v>
      </c>
      <c r="CD53" s="3">
        <v>7.5</v>
      </c>
      <c r="CE53" s="3">
        <f t="shared" si="139"/>
        <v>7.75</v>
      </c>
      <c r="CF53" s="3">
        <v>27.26</v>
      </c>
      <c r="CG53" s="4">
        <v>327120</v>
      </c>
      <c r="CH53" s="707">
        <v>17</v>
      </c>
      <c r="CI53" s="3">
        <v>8.5</v>
      </c>
      <c r="CJ53" s="3">
        <v>3.35</v>
      </c>
      <c r="CK53" s="3">
        <f t="shared" si="140"/>
        <v>11.85</v>
      </c>
      <c r="CL53" s="3">
        <v>11.44</v>
      </c>
      <c r="CM53" s="4">
        <v>220760</v>
      </c>
    </row>
    <row r="54" spans="1:91" x14ac:dyDescent="0.25">
      <c r="A54" s="719" t="s">
        <v>369</v>
      </c>
      <c r="E54" s="3">
        <f t="shared" si="127"/>
        <v>0</v>
      </c>
      <c r="H54" s="707"/>
      <c r="K54" s="3">
        <f t="shared" si="128"/>
        <v>0</v>
      </c>
      <c r="N54" s="707">
        <v>150</v>
      </c>
      <c r="O54" s="3">
        <v>154</v>
      </c>
      <c r="Q54" s="3">
        <f t="shared" si="129"/>
        <v>154</v>
      </c>
      <c r="R54" s="3">
        <v>693</v>
      </c>
      <c r="S54" s="4">
        <v>11088000</v>
      </c>
      <c r="T54" s="707"/>
      <c r="W54" s="3">
        <f t="shared" si="130"/>
        <v>0</v>
      </c>
      <c r="Y54" s="4"/>
      <c r="Z54" s="707">
        <v>81</v>
      </c>
      <c r="AB54" s="3">
        <v>73</v>
      </c>
      <c r="AC54" s="3">
        <f t="shared" si="83"/>
        <v>73</v>
      </c>
      <c r="AD54" s="3">
        <v>167.9</v>
      </c>
      <c r="AE54" s="4">
        <v>2854300</v>
      </c>
      <c r="AI54" s="3">
        <f t="shared" si="131"/>
        <v>0</v>
      </c>
      <c r="AL54" s="707"/>
      <c r="AO54" s="3">
        <f t="shared" si="132"/>
        <v>0</v>
      </c>
      <c r="AQ54" s="4"/>
      <c r="AU54" s="3">
        <f t="shared" si="133"/>
        <v>0</v>
      </c>
      <c r="AX54" s="707"/>
      <c r="BA54" s="3">
        <f t="shared" si="134"/>
        <v>0</v>
      </c>
      <c r="BC54" s="4"/>
      <c r="BG54" s="3">
        <f t="shared" si="135"/>
        <v>0</v>
      </c>
      <c r="BJ54" s="707"/>
      <c r="BM54" s="3">
        <f t="shared" si="136"/>
        <v>0</v>
      </c>
      <c r="BO54" s="4"/>
      <c r="BP54" s="707"/>
      <c r="BS54" s="3">
        <f t="shared" si="137"/>
        <v>0</v>
      </c>
      <c r="BU54" s="4"/>
      <c r="BV54" s="707"/>
      <c r="BY54" s="3">
        <f t="shared" si="138"/>
        <v>0</v>
      </c>
      <c r="CA54" s="4"/>
      <c r="CB54" s="707">
        <v>209</v>
      </c>
      <c r="CD54" s="3">
        <v>173</v>
      </c>
      <c r="CE54" s="3">
        <f t="shared" si="139"/>
        <v>173</v>
      </c>
      <c r="CF54" s="3">
        <v>373.65</v>
      </c>
      <c r="CG54" s="4">
        <v>4643800</v>
      </c>
      <c r="CH54" s="707">
        <v>25</v>
      </c>
      <c r="CJ54" s="3">
        <v>18</v>
      </c>
      <c r="CK54" s="3">
        <f t="shared" si="140"/>
        <v>18</v>
      </c>
      <c r="CL54" s="3">
        <v>26</v>
      </c>
      <c r="CM54" s="4">
        <v>327000</v>
      </c>
    </row>
    <row r="55" spans="1:91" x14ac:dyDescent="0.25">
      <c r="A55" s="719" t="s">
        <v>370</v>
      </c>
      <c r="E55" s="3">
        <f t="shared" si="127"/>
        <v>0</v>
      </c>
      <c r="H55" s="707"/>
      <c r="K55" s="3">
        <f t="shared" si="128"/>
        <v>0</v>
      </c>
      <c r="N55" s="707">
        <v>95</v>
      </c>
      <c r="O55" s="3">
        <v>124</v>
      </c>
      <c r="P55" s="3">
        <v>17.5</v>
      </c>
      <c r="Q55" s="3">
        <f t="shared" si="129"/>
        <v>141.5</v>
      </c>
      <c r="R55" s="3">
        <v>311</v>
      </c>
      <c r="S55" s="4">
        <v>7763000</v>
      </c>
      <c r="T55" s="707">
        <v>42</v>
      </c>
      <c r="V55" s="3">
        <v>27</v>
      </c>
      <c r="W55" s="3">
        <f t="shared" si="130"/>
        <v>27</v>
      </c>
      <c r="X55" s="3">
        <v>47.88</v>
      </c>
      <c r="Y55" s="4">
        <v>790750</v>
      </c>
      <c r="Z55" s="707">
        <v>38</v>
      </c>
      <c r="AA55" s="3">
        <v>54.8</v>
      </c>
      <c r="AB55" s="3">
        <v>8.3000000000000007</v>
      </c>
      <c r="AC55" s="3">
        <f t="shared" si="83"/>
        <v>63.099999999999994</v>
      </c>
      <c r="AD55" s="3">
        <v>165.5</v>
      </c>
      <c r="AE55" s="4">
        <v>2812900</v>
      </c>
      <c r="AI55" s="3">
        <f t="shared" si="131"/>
        <v>0</v>
      </c>
      <c r="AL55" s="707"/>
      <c r="AO55" s="3">
        <f t="shared" si="132"/>
        <v>0</v>
      </c>
      <c r="AQ55" s="4"/>
      <c r="AR55" s="3">
        <v>210</v>
      </c>
      <c r="AS55" s="3">
        <v>61.6</v>
      </c>
      <c r="AT55" s="3">
        <v>182.81</v>
      </c>
      <c r="AU55" s="3">
        <f t="shared" si="133"/>
        <v>244.41</v>
      </c>
      <c r="AV55" s="3">
        <v>430.71</v>
      </c>
      <c r="AW55" s="3">
        <v>6888569.75</v>
      </c>
      <c r="AX55" s="707">
        <v>15</v>
      </c>
      <c r="AZ55" s="3">
        <v>11.35</v>
      </c>
      <c r="BA55" s="3">
        <f t="shared" si="134"/>
        <v>11.35</v>
      </c>
      <c r="BB55" s="3">
        <v>36.99</v>
      </c>
      <c r="BC55" s="4">
        <v>514020</v>
      </c>
      <c r="BD55" s="3">
        <v>34</v>
      </c>
      <c r="BF55" s="3">
        <v>39.4</v>
      </c>
      <c r="BG55" s="3">
        <f t="shared" si="135"/>
        <v>39.4</v>
      </c>
      <c r="BH55" s="3">
        <v>34.65</v>
      </c>
      <c r="BI55" s="3">
        <v>631800</v>
      </c>
      <c r="BJ55" s="707"/>
      <c r="BM55" s="3">
        <f t="shared" si="136"/>
        <v>0</v>
      </c>
      <c r="BO55" s="4"/>
      <c r="BP55" s="707"/>
      <c r="BS55" s="3">
        <f t="shared" si="137"/>
        <v>0</v>
      </c>
      <c r="BU55" s="4"/>
      <c r="BV55" s="707">
        <v>83</v>
      </c>
      <c r="BW55" s="3">
        <v>53</v>
      </c>
      <c r="BX55" s="3">
        <v>54.41</v>
      </c>
      <c r="BY55" s="3">
        <f t="shared" si="138"/>
        <v>107.41</v>
      </c>
      <c r="BZ55" s="3">
        <v>122.26</v>
      </c>
      <c r="CA55" s="4">
        <v>1967200</v>
      </c>
      <c r="CB55" s="707">
        <v>76</v>
      </c>
      <c r="CC55" s="3">
        <v>41.65</v>
      </c>
      <c r="CD55" s="3">
        <v>30.44</v>
      </c>
      <c r="CE55" s="3">
        <f t="shared" si="139"/>
        <v>72.09</v>
      </c>
      <c r="CF55" s="3">
        <v>60.04</v>
      </c>
      <c r="CG55" s="4">
        <v>1290028</v>
      </c>
      <c r="CH55" s="707">
        <v>27</v>
      </c>
      <c r="CI55" s="3">
        <v>14.9</v>
      </c>
      <c r="CJ55" s="3">
        <v>14.8</v>
      </c>
      <c r="CK55" s="3">
        <f t="shared" si="140"/>
        <v>29.700000000000003</v>
      </c>
      <c r="CL55" s="3">
        <v>18</v>
      </c>
      <c r="CM55" s="4">
        <v>475600</v>
      </c>
    </row>
    <row r="56" spans="1:91" x14ac:dyDescent="0.25">
      <c r="A56" s="719" t="s">
        <v>371</v>
      </c>
      <c r="E56" s="3">
        <f t="shared" si="127"/>
        <v>0</v>
      </c>
      <c r="H56" s="707"/>
      <c r="K56" s="3">
        <f t="shared" si="128"/>
        <v>0</v>
      </c>
      <c r="N56" s="707"/>
      <c r="Q56" s="3">
        <f t="shared" si="129"/>
        <v>0</v>
      </c>
      <c r="S56" s="4"/>
      <c r="T56" s="707"/>
      <c r="W56" s="3">
        <f t="shared" si="130"/>
        <v>0</v>
      </c>
      <c r="Y56" s="4"/>
      <c r="Z56" s="707"/>
      <c r="AC56" s="3">
        <f t="shared" si="83"/>
        <v>0</v>
      </c>
      <c r="AE56" s="4"/>
      <c r="AI56" s="3">
        <f t="shared" si="131"/>
        <v>0</v>
      </c>
      <c r="AL56" s="707"/>
      <c r="AO56" s="3">
        <f t="shared" si="132"/>
        <v>0</v>
      </c>
      <c r="AQ56" s="4"/>
      <c r="AU56" s="3">
        <f t="shared" si="133"/>
        <v>0</v>
      </c>
      <c r="AX56" s="707"/>
      <c r="BA56" s="3">
        <f t="shared" si="134"/>
        <v>0</v>
      </c>
      <c r="BC56" s="4"/>
      <c r="BG56" s="3">
        <f t="shared" si="135"/>
        <v>0</v>
      </c>
      <c r="BJ56" s="707"/>
      <c r="BM56" s="3">
        <f t="shared" si="136"/>
        <v>0</v>
      </c>
      <c r="BO56" s="4"/>
      <c r="BP56" s="707"/>
      <c r="BS56" s="3">
        <f t="shared" si="137"/>
        <v>0</v>
      </c>
      <c r="BU56" s="4"/>
      <c r="BV56" s="707"/>
      <c r="BY56" s="3">
        <f t="shared" si="138"/>
        <v>0</v>
      </c>
      <c r="CA56" s="4"/>
      <c r="CB56" s="707"/>
      <c r="CE56" s="3">
        <f t="shared" si="139"/>
        <v>0</v>
      </c>
      <c r="CG56" s="4"/>
      <c r="CH56" s="707"/>
      <c r="CK56" s="3">
        <f t="shared" si="140"/>
        <v>0</v>
      </c>
      <c r="CM56" s="4"/>
    </row>
    <row r="57" spans="1:91" x14ac:dyDescent="0.25">
      <c r="A57" s="719" t="s">
        <v>372</v>
      </c>
      <c r="E57" s="3">
        <f t="shared" si="127"/>
        <v>0</v>
      </c>
      <c r="H57" s="707"/>
      <c r="K57" s="3">
        <f t="shared" si="128"/>
        <v>0</v>
      </c>
      <c r="N57" s="707"/>
      <c r="Q57" s="3">
        <f t="shared" si="129"/>
        <v>0</v>
      </c>
      <c r="S57" s="4"/>
      <c r="T57" s="707"/>
      <c r="W57" s="3">
        <f t="shared" si="130"/>
        <v>0</v>
      </c>
      <c r="Y57" s="4"/>
      <c r="Z57" s="707"/>
      <c r="AC57" s="3">
        <f t="shared" si="83"/>
        <v>0</v>
      </c>
      <c r="AE57" s="4"/>
      <c r="AI57" s="3">
        <f t="shared" si="131"/>
        <v>0</v>
      </c>
      <c r="AL57" s="707"/>
      <c r="AO57" s="3">
        <f t="shared" si="132"/>
        <v>0</v>
      </c>
      <c r="AQ57" s="4"/>
      <c r="AU57" s="3">
        <f t="shared" si="133"/>
        <v>0</v>
      </c>
      <c r="AX57" s="707"/>
      <c r="BA57" s="3">
        <f t="shared" si="134"/>
        <v>0</v>
      </c>
      <c r="BC57" s="4"/>
      <c r="BG57" s="3">
        <f t="shared" si="135"/>
        <v>0</v>
      </c>
      <c r="BJ57" s="707"/>
      <c r="BM57" s="3">
        <f t="shared" si="136"/>
        <v>0</v>
      </c>
      <c r="BO57" s="4"/>
      <c r="BP57" s="707"/>
      <c r="BS57" s="3">
        <f t="shared" si="137"/>
        <v>0</v>
      </c>
      <c r="BU57" s="4"/>
      <c r="BV57" s="707"/>
      <c r="BY57" s="3">
        <f t="shared" si="138"/>
        <v>0</v>
      </c>
      <c r="CA57" s="4"/>
      <c r="CB57" s="707"/>
      <c r="CE57" s="3">
        <f t="shared" si="139"/>
        <v>0</v>
      </c>
      <c r="CG57" s="4"/>
      <c r="CH57" s="707"/>
      <c r="CK57" s="3">
        <f t="shared" si="140"/>
        <v>0</v>
      </c>
      <c r="CM57" s="4"/>
    </row>
    <row r="58" spans="1:91" x14ac:dyDescent="0.25">
      <c r="A58" s="719" t="s">
        <v>373</v>
      </c>
      <c r="E58" s="3">
        <f t="shared" si="127"/>
        <v>0</v>
      </c>
      <c r="H58" s="707"/>
      <c r="K58" s="3">
        <f t="shared" si="128"/>
        <v>0</v>
      </c>
      <c r="N58" s="707"/>
      <c r="Q58" s="3">
        <f t="shared" si="129"/>
        <v>0</v>
      </c>
      <c r="S58" s="4"/>
      <c r="T58" s="707"/>
      <c r="W58" s="3">
        <f t="shared" si="130"/>
        <v>0</v>
      </c>
      <c r="Y58" s="4"/>
      <c r="Z58" s="707"/>
      <c r="AC58" s="3">
        <f t="shared" si="83"/>
        <v>0</v>
      </c>
      <c r="AE58" s="4"/>
      <c r="AI58" s="3">
        <f t="shared" si="131"/>
        <v>0</v>
      </c>
      <c r="AL58" s="707"/>
      <c r="AO58" s="3">
        <f t="shared" si="132"/>
        <v>0</v>
      </c>
      <c r="AQ58" s="4"/>
      <c r="AU58" s="3">
        <f t="shared" si="133"/>
        <v>0</v>
      </c>
      <c r="AX58" s="707"/>
      <c r="BA58" s="3">
        <f t="shared" si="134"/>
        <v>0</v>
      </c>
      <c r="BC58" s="4"/>
      <c r="BG58" s="3">
        <f t="shared" si="135"/>
        <v>0</v>
      </c>
      <c r="BJ58" s="707"/>
      <c r="BM58" s="3">
        <f t="shared" si="136"/>
        <v>0</v>
      </c>
      <c r="BO58" s="4"/>
      <c r="BP58" s="707"/>
      <c r="BS58" s="3">
        <f t="shared" si="137"/>
        <v>0</v>
      </c>
      <c r="BU58" s="4"/>
      <c r="BV58" s="707"/>
      <c r="BY58" s="3">
        <f t="shared" si="138"/>
        <v>0</v>
      </c>
      <c r="CA58" s="4"/>
      <c r="CB58" s="707"/>
      <c r="CE58" s="3">
        <f t="shared" si="139"/>
        <v>0</v>
      </c>
      <c r="CG58" s="4"/>
      <c r="CH58" s="707"/>
      <c r="CK58" s="3">
        <f t="shared" si="140"/>
        <v>0</v>
      </c>
      <c r="CM58" s="4"/>
    </row>
    <row r="59" spans="1:91" x14ac:dyDescent="0.25">
      <c r="A59" s="719" t="s">
        <v>374</v>
      </c>
      <c r="E59" s="3">
        <f t="shared" si="127"/>
        <v>0</v>
      </c>
      <c r="H59" s="707"/>
      <c r="K59" s="3">
        <f t="shared" si="128"/>
        <v>0</v>
      </c>
      <c r="N59" s="707"/>
      <c r="Q59" s="3">
        <f t="shared" si="129"/>
        <v>0</v>
      </c>
      <c r="S59" s="4"/>
      <c r="T59" s="707"/>
      <c r="W59" s="3">
        <f t="shared" si="130"/>
        <v>0</v>
      </c>
      <c r="Y59" s="4"/>
      <c r="Z59" s="707"/>
      <c r="AC59" s="3">
        <f t="shared" si="83"/>
        <v>0</v>
      </c>
      <c r="AE59" s="4"/>
      <c r="AI59" s="3">
        <f t="shared" si="131"/>
        <v>0</v>
      </c>
      <c r="AL59" s="707"/>
      <c r="AO59" s="3">
        <f t="shared" si="132"/>
        <v>0</v>
      </c>
      <c r="AQ59" s="4"/>
      <c r="AU59" s="3">
        <f t="shared" si="133"/>
        <v>0</v>
      </c>
      <c r="AX59" s="707"/>
      <c r="BA59" s="3">
        <f t="shared" si="134"/>
        <v>0</v>
      </c>
      <c r="BC59" s="4"/>
      <c r="BG59" s="3">
        <f t="shared" si="135"/>
        <v>0</v>
      </c>
      <c r="BJ59" s="707"/>
      <c r="BM59" s="3">
        <f t="shared" si="136"/>
        <v>0</v>
      </c>
      <c r="BO59" s="4"/>
      <c r="BP59" s="707"/>
      <c r="BS59" s="3">
        <f t="shared" si="137"/>
        <v>0</v>
      </c>
      <c r="BU59" s="4"/>
      <c r="BV59" s="707"/>
      <c r="BY59" s="3">
        <f t="shared" si="138"/>
        <v>0</v>
      </c>
      <c r="CA59" s="4"/>
      <c r="CB59" s="707"/>
      <c r="CE59" s="3">
        <f t="shared" si="139"/>
        <v>0</v>
      </c>
      <c r="CG59" s="4"/>
      <c r="CH59" s="707"/>
      <c r="CK59" s="3">
        <f t="shared" si="140"/>
        <v>0</v>
      </c>
      <c r="CM59" s="4"/>
    </row>
    <row r="60" spans="1:91" x14ac:dyDescent="0.25">
      <c r="A60" s="719" t="s">
        <v>375</v>
      </c>
      <c r="E60" s="3">
        <f t="shared" si="127"/>
        <v>0</v>
      </c>
      <c r="H60" s="707"/>
      <c r="K60" s="3">
        <f t="shared" si="128"/>
        <v>0</v>
      </c>
      <c r="N60" s="707"/>
      <c r="Q60" s="3">
        <f t="shared" si="129"/>
        <v>0</v>
      </c>
      <c r="S60" s="4"/>
      <c r="T60" s="707">
        <v>4</v>
      </c>
      <c r="U60" s="3">
        <v>0.88</v>
      </c>
      <c r="V60" s="3">
        <v>1.32</v>
      </c>
      <c r="W60" s="3">
        <f t="shared" si="130"/>
        <v>2.2000000000000002</v>
      </c>
      <c r="Y60" s="4">
        <v>22880</v>
      </c>
      <c r="Z60" s="707"/>
      <c r="AC60" s="3">
        <f t="shared" si="83"/>
        <v>0</v>
      </c>
      <c r="AE60" s="4"/>
      <c r="AI60" s="3">
        <f t="shared" si="131"/>
        <v>0</v>
      </c>
      <c r="AL60" s="707"/>
      <c r="AO60" s="3">
        <f t="shared" si="132"/>
        <v>0</v>
      </c>
      <c r="AQ60" s="4"/>
      <c r="AU60" s="3">
        <f t="shared" si="133"/>
        <v>0</v>
      </c>
      <c r="AX60" s="707"/>
      <c r="BA60" s="3">
        <f t="shared" si="134"/>
        <v>0</v>
      </c>
      <c r="BC60" s="4"/>
      <c r="BD60" s="3">
        <v>2</v>
      </c>
      <c r="BF60" s="3">
        <v>0.71</v>
      </c>
      <c r="BG60" s="3">
        <f t="shared" si="135"/>
        <v>0.71</v>
      </c>
      <c r="BH60" s="3">
        <v>1.74</v>
      </c>
      <c r="BI60" s="3">
        <v>24418</v>
      </c>
      <c r="BJ60" s="707"/>
      <c r="BM60" s="3">
        <f t="shared" si="136"/>
        <v>0</v>
      </c>
      <c r="BO60" s="4"/>
      <c r="BP60" s="707"/>
      <c r="BS60" s="3">
        <f t="shared" si="137"/>
        <v>0</v>
      </c>
      <c r="BU60" s="4"/>
      <c r="BV60" s="707">
        <v>9</v>
      </c>
      <c r="BX60" s="3">
        <v>4.07</v>
      </c>
      <c r="BY60" s="3">
        <f t="shared" si="138"/>
        <v>4.07</v>
      </c>
      <c r="BZ60" s="3">
        <v>3.58</v>
      </c>
      <c r="CA60" s="4">
        <v>50142.400000000001</v>
      </c>
      <c r="CB60" s="707">
        <v>26</v>
      </c>
      <c r="CD60" s="3">
        <v>9.48</v>
      </c>
      <c r="CE60" s="3">
        <f t="shared" si="139"/>
        <v>9.48</v>
      </c>
      <c r="CF60" s="3">
        <v>25.08</v>
      </c>
      <c r="CG60" s="4">
        <v>351177.12</v>
      </c>
      <c r="CH60" s="707"/>
      <c r="CK60" s="3">
        <f t="shared" si="140"/>
        <v>0</v>
      </c>
      <c r="CM60" s="4"/>
    </row>
    <row r="61" spans="1:91" x14ac:dyDescent="0.25">
      <c r="A61" s="719" t="s">
        <v>376</v>
      </c>
      <c r="E61" s="3">
        <f t="shared" si="127"/>
        <v>0</v>
      </c>
      <c r="H61" s="707"/>
      <c r="K61" s="3">
        <f t="shared" si="128"/>
        <v>0</v>
      </c>
      <c r="N61" s="707"/>
      <c r="Q61" s="3">
        <f t="shared" si="129"/>
        <v>0</v>
      </c>
      <c r="S61" s="4"/>
      <c r="T61" s="707"/>
      <c r="W61" s="3">
        <f t="shared" si="130"/>
        <v>0</v>
      </c>
      <c r="Y61" s="4"/>
      <c r="Z61" s="707"/>
      <c r="AC61" s="3">
        <f t="shared" si="83"/>
        <v>0</v>
      </c>
      <c r="AE61" s="4"/>
      <c r="AI61" s="3">
        <f t="shared" si="131"/>
        <v>0</v>
      </c>
      <c r="AL61" s="707"/>
      <c r="AO61" s="3">
        <f t="shared" si="132"/>
        <v>0</v>
      </c>
      <c r="AQ61" s="4"/>
      <c r="AU61" s="3">
        <f t="shared" si="133"/>
        <v>0</v>
      </c>
      <c r="AX61" s="707"/>
      <c r="BA61" s="3">
        <f t="shared" si="134"/>
        <v>0</v>
      </c>
      <c r="BC61" s="4"/>
      <c r="BG61" s="3">
        <f t="shared" si="135"/>
        <v>0</v>
      </c>
      <c r="BJ61" s="707"/>
      <c r="BM61" s="3">
        <f t="shared" si="136"/>
        <v>0</v>
      </c>
      <c r="BO61" s="4"/>
      <c r="BP61" s="707"/>
      <c r="BS61" s="3">
        <f t="shared" si="137"/>
        <v>0</v>
      </c>
      <c r="BU61" s="4"/>
      <c r="BV61" s="707"/>
      <c r="BY61" s="3">
        <f t="shared" si="138"/>
        <v>0</v>
      </c>
      <c r="CA61" s="4"/>
      <c r="CB61" s="707"/>
      <c r="CE61" s="3">
        <f t="shared" si="139"/>
        <v>0</v>
      </c>
      <c r="CG61" s="4"/>
      <c r="CH61" s="707"/>
      <c r="CK61" s="3">
        <f t="shared" si="140"/>
        <v>0</v>
      </c>
      <c r="CM61" s="4"/>
    </row>
    <row r="62" spans="1:91" x14ac:dyDescent="0.25">
      <c r="A62" s="719" t="s">
        <v>377</v>
      </c>
      <c r="E62" s="3">
        <f t="shared" si="127"/>
        <v>0</v>
      </c>
      <c r="H62" s="707"/>
      <c r="K62" s="3">
        <f t="shared" si="128"/>
        <v>0</v>
      </c>
      <c r="N62" s="707"/>
      <c r="Q62" s="3">
        <f t="shared" si="129"/>
        <v>0</v>
      </c>
      <c r="S62" s="4"/>
      <c r="T62" s="707"/>
      <c r="W62" s="3">
        <f t="shared" si="130"/>
        <v>0</v>
      </c>
      <c r="Y62" s="4"/>
      <c r="Z62" s="707"/>
      <c r="AC62" s="3">
        <f t="shared" si="83"/>
        <v>0</v>
      </c>
      <c r="AE62" s="4"/>
      <c r="AI62" s="3">
        <f t="shared" si="131"/>
        <v>0</v>
      </c>
      <c r="AL62" s="707"/>
      <c r="AO62" s="3">
        <f t="shared" si="132"/>
        <v>0</v>
      </c>
      <c r="AQ62" s="4"/>
      <c r="AU62" s="3">
        <f t="shared" si="133"/>
        <v>0</v>
      </c>
      <c r="AX62" s="707"/>
      <c r="BA62" s="3">
        <f t="shared" si="134"/>
        <v>0</v>
      </c>
      <c r="BC62" s="4"/>
      <c r="BG62" s="3">
        <f t="shared" si="135"/>
        <v>0</v>
      </c>
      <c r="BJ62" s="707"/>
      <c r="BM62" s="3">
        <f t="shared" si="136"/>
        <v>0</v>
      </c>
      <c r="BO62" s="4"/>
      <c r="BP62" s="707"/>
      <c r="BS62" s="3">
        <f t="shared" si="137"/>
        <v>0</v>
      </c>
      <c r="BU62" s="4"/>
      <c r="BV62" s="707">
        <v>4</v>
      </c>
      <c r="BW62" s="3">
        <v>0.13</v>
      </c>
      <c r="BY62" s="3">
        <f t="shared" si="138"/>
        <v>0.13</v>
      </c>
      <c r="BZ62" s="3">
        <v>0.55000000000000004</v>
      </c>
      <c r="CA62" s="4">
        <v>11000</v>
      </c>
      <c r="CB62" s="707"/>
      <c r="CE62" s="3">
        <f t="shared" si="139"/>
        <v>0</v>
      </c>
      <c r="CG62" s="4"/>
      <c r="CH62" s="707"/>
      <c r="CK62" s="3">
        <f t="shared" si="140"/>
        <v>0</v>
      </c>
      <c r="CM62" s="4"/>
    </row>
    <row r="63" spans="1:91" x14ac:dyDescent="0.25">
      <c r="A63" s="719" t="s">
        <v>378</v>
      </c>
      <c r="E63" s="3">
        <f t="shared" si="127"/>
        <v>0</v>
      </c>
      <c r="H63" s="707"/>
      <c r="K63" s="3">
        <f t="shared" si="128"/>
        <v>0</v>
      </c>
      <c r="N63" s="707"/>
      <c r="Q63" s="3">
        <f t="shared" si="129"/>
        <v>0</v>
      </c>
      <c r="S63" s="4"/>
      <c r="T63" s="707"/>
      <c r="W63" s="3">
        <f t="shared" si="130"/>
        <v>0</v>
      </c>
      <c r="Y63" s="4"/>
      <c r="Z63" s="707"/>
      <c r="AC63" s="3">
        <f t="shared" si="83"/>
        <v>0</v>
      </c>
      <c r="AE63" s="4"/>
      <c r="AI63" s="3">
        <f t="shared" si="131"/>
        <v>0</v>
      </c>
      <c r="AL63" s="707"/>
      <c r="AO63" s="3">
        <f t="shared" si="132"/>
        <v>0</v>
      </c>
      <c r="AQ63" s="4"/>
      <c r="AU63" s="3">
        <f t="shared" si="133"/>
        <v>0</v>
      </c>
      <c r="AX63" s="707"/>
      <c r="BA63" s="3">
        <f t="shared" si="134"/>
        <v>0</v>
      </c>
      <c r="BC63" s="4"/>
      <c r="BG63" s="3">
        <f t="shared" si="135"/>
        <v>0</v>
      </c>
      <c r="BJ63" s="707"/>
      <c r="BM63" s="3">
        <f t="shared" si="136"/>
        <v>0</v>
      </c>
      <c r="BO63" s="4"/>
      <c r="BP63" s="707"/>
      <c r="BS63" s="3">
        <f t="shared" si="137"/>
        <v>0</v>
      </c>
      <c r="BU63" s="4"/>
      <c r="BV63" s="707"/>
      <c r="BY63" s="3">
        <f t="shared" si="138"/>
        <v>0</v>
      </c>
      <c r="CA63" s="4"/>
      <c r="CB63" s="707"/>
      <c r="CE63" s="3">
        <f t="shared" si="139"/>
        <v>0</v>
      </c>
      <c r="CG63" s="4"/>
      <c r="CH63" s="707"/>
      <c r="CK63" s="3">
        <f t="shared" si="140"/>
        <v>0</v>
      </c>
      <c r="CM63" s="4"/>
    </row>
    <row r="64" spans="1:91" x14ac:dyDescent="0.25">
      <c r="A64" s="719" t="s">
        <v>379</v>
      </c>
      <c r="E64" s="3">
        <f t="shared" si="127"/>
        <v>0</v>
      </c>
      <c r="H64" s="707"/>
      <c r="K64" s="3">
        <f t="shared" si="128"/>
        <v>0</v>
      </c>
      <c r="N64" s="707"/>
      <c r="Q64" s="3">
        <f t="shared" si="129"/>
        <v>0</v>
      </c>
      <c r="S64" s="4"/>
      <c r="T64" s="707"/>
      <c r="W64" s="3">
        <f t="shared" si="130"/>
        <v>0</v>
      </c>
      <c r="Y64" s="4"/>
      <c r="Z64" s="707"/>
      <c r="AC64" s="3">
        <f t="shared" si="83"/>
        <v>0</v>
      </c>
      <c r="AE64" s="4"/>
      <c r="AI64" s="3">
        <f t="shared" si="131"/>
        <v>0</v>
      </c>
      <c r="AL64" s="707"/>
      <c r="AO64" s="3">
        <f t="shared" si="132"/>
        <v>0</v>
      </c>
      <c r="AQ64" s="4"/>
      <c r="AU64" s="3">
        <f t="shared" si="133"/>
        <v>0</v>
      </c>
      <c r="AX64" s="707"/>
      <c r="BA64" s="3">
        <f t="shared" si="134"/>
        <v>0</v>
      </c>
      <c r="BC64" s="4"/>
      <c r="BG64" s="3">
        <f t="shared" si="135"/>
        <v>0</v>
      </c>
      <c r="BJ64" s="707"/>
      <c r="BM64" s="3">
        <f t="shared" si="136"/>
        <v>0</v>
      </c>
      <c r="BO64" s="4"/>
      <c r="BP64" s="707"/>
      <c r="BS64" s="3">
        <f t="shared" si="137"/>
        <v>0</v>
      </c>
      <c r="BU64" s="4"/>
      <c r="BV64" s="707"/>
      <c r="BY64" s="3">
        <f t="shared" si="138"/>
        <v>0</v>
      </c>
      <c r="CA64" s="4"/>
      <c r="CB64" s="707"/>
      <c r="CE64" s="3">
        <f t="shared" si="139"/>
        <v>0</v>
      </c>
      <c r="CG64" s="4"/>
      <c r="CH64" s="707"/>
      <c r="CK64" s="3">
        <f t="shared" si="140"/>
        <v>0</v>
      </c>
      <c r="CM64" s="4"/>
    </row>
    <row r="65" spans="1:91" x14ac:dyDescent="0.25">
      <c r="A65" s="719" t="s">
        <v>380</v>
      </c>
      <c r="E65" s="3">
        <f t="shared" si="127"/>
        <v>0</v>
      </c>
      <c r="H65" s="707"/>
      <c r="K65" s="3">
        <f t="shared" si="128"/>
        <v>0</v>
      </c>
      <c r="N65" s="707"/>
      <c r="Q65" s="3">
        <f t="shared" si="129"/>
        <v>0</v>
      </c>
      <c r="S65" s="4"/>
      <c r="T65" s="707"/>
      <c r="W65" s="3">
        <f t="shared" si="130"/>
        <v>0</v>
      </c>
      <c r="Y65" s="4"/>
      <c r="Z65" s="707"/>
      <c r="AC65" s="3">
        <f t="shared" si="83"/>
        <v>0</v>
      </c>
      <c r="AE65" s="4"/>
      <c r="AI65" s="3">
        <f t="shared" si="131"/>
        <v>0</v>
      </c>
      <c r="AL65" s="707"/>
      <c r="AO65" s="3">
        <f t="shared" si="132"/>
        <v>0</v>
      </c>
      <c r="AQ65" s="4"/>
      <c r="AU65" s="3">
        <f t="shared" si="133"/>
        <v>0</v>
      </c>
      <c r="AX65" s="707"/>
      <c r="BA65" s="3">
        <f t="shared" si="134"/>
        <v>0</v>
      </c>
      <c r="BC65" s="4"/>
      <c r="BD65" s="3">
        <v>5</v>
      </c>
      <c r="BE65" s="3">
        <v>3</v>
      </c>
      <c r="BG65" s="3">
        <f t="shared" si="135"/>
        <v>3</v>
      </c>
      <c r="BH65" s="3">
        <v>12</v>
      </c>
      <c r="BI65" s="3">
        <v>168000</v>
      </c>
      <c r="BJ65" s="707"/>
      <c r="BM65" s="3">
        <f t="shared" si="136"/>
        <v>0</v>
      </c>
      <c r="BO65" s="4"/>
      <c r="BP65" s="707"/>
      <c r="BS65" s="3">
        <f t="shared" si="137"/>
        <v>0</v>
      </c>
      <c r="BU65" s="4"/>
      <c r="BV65" s="707"/>
      <c r="BY65" s="3">
        <f t="shared" si="138"/>
        <v>0</v>
      </c>
      <c r="CA65" s="4"/>
      <c r="CB65" s="707">
        <v>10</v>
      </c>
      <c r="CD65" s="3">
        <v>5.8</v>
      </c>
      <c r="CE65" s="3">
        <f t="shared" si="139"/>
        <v>5.8</v>
      </c>
      <c r="CF65" s="3">
        <v>16.239999999999998</v>
      </c>
      <c r="CG65" s="4">
        <v>194880</v>
      </c>
      <c r="CH65" s="707"/>
      <c r="CK65" s="3">
        <f t="shared" si="140"/>
        <v>0</v>
      </c>
      <c r="CM65" s="4"/>
    </row>
    <row r="66" spans="1:91" x14ac:dyDescent="0.25">
      <c r="A66" s="719" t="s">
        <v>381</v>
      </c>
      <c r="E66" s="3">
        <f t="shared" si="127"/>
        <v>0</v>
      </c>
      <c r="H66" s="707"/>
      <c r="K66" s="3">
        <f t="shared" si="128"/>
        <v>0</v>
      </c>
      <c r="N66" s="707"/>
      <c r="Q66" s="3">
        <f t="shared" si="129"/>
        <v>0</v>
      </c>
      <c r="S66" s="4"/>
      <c r="T66" s="707"/>
      <c r="W66" s="3">
        <f t="shared" si="130"/>
        <v>0</v>
      </c>
      <c r="Y66" s="4"/>
      <c r="Z66" s="707"/>
      <c r="AC66" s="3">
        <f t="shared" si="83"/>
        <v>0</v>
      </c>
      <c r="AE66" s="4"/>
      <c r="AI66" s="3">
        <f t="shared" si="131"/>
        <v>0</v>
      </c>
      <c r="AL66" s="707"/>
      <c r="AO66" s="3">
        <f t="shared" si="132"/>
        <v>0</v>
      </c>
      <c r="AQ66" s="4"/>
      <c r="AU66" s="3">
        <f t="shared" si="133"/>
        <v>0</v>
      </c>
      <c r="AX66" s="707"/>
      <c r="BA66" s="3">
        <f t="shared" si="134"/>
        <v>0</v>
      </c>
      <c r="BC66" s="4"/>
      <c r="BG66" s="3">
        <f t="shared" si="135"/>
        <v>0</v>
      </c>
      <c r="BJ66" s="707"/>
      <c r="BM66" s="3">
        <f t="shared" si="136"/>
        <v>0</v>
      </c>
      <c r="BO66" s="4"/>
      <c r="BP66" s="707"/>
      <c r="BS66" s="3">
        <f t="shared" si="137"/>
        <v>0</v>
      </c>
      <c r="BU66" s="4"/>
      <c r="BV66" s="707"/>
      <c r="BY66" s="3">
        <f t="shared" si="138"/>
        <v>0</v>
      </c>
      <c r="CA66" s="4"/>
      <c r="CB66" s="707"/>
      <c r="CE66" s="3">
        <f t="shared" si="139"/>
        <v>0</v>
      </c>
      <c r="CG66" s="4"/>
      <c r="CH66" s="707"/>
      <c r="CK66" s="3">
        <f t="shared" si="140"/>
        <v>0</v>
      </c>
      <c r="CM66" s="4"/>
    </row>
    <row r="67" spans="1:91" x14ac:dyDescent="0.25">
      <c r="A67" s="719" t="s">
        <v>382</v>
      </c>
      <c r="E67" s="3">
        <f t="shared" si="127"/>
        <v>0</v>
      </c>
      <c r="H67" s="707"/>
      <c r="K67" s="3">
        <f t="shared" si="128"/>
        <v>0</v>
      </c>
      <c r="N67" s="707"/>
      <c r="Q67" s="3">
        <f t="shared" si="129"/>
        <v>0</v>
      </c>
      <c r="S67" s="4"/>
      <c r="T67" s="707"/>
      <c r="W67" s="3">
        <f t="shared" si="130"/>
        <v>0</v>
      </c>
      <c r="Y67" s="4"/>
      <c r="Z67" s="707"/>
      <c r="AC67" s="3">
        <f t="shared" si="83"/>
        <v>0</v>
      </c>
      <c r="AE67" s="4"/>
      <c r="AI67" s="3">
        <f t="shared" si="131"/>
        <v>0</v>
      </c>
      <c r="AL67" s="707"/>
      <c r="AO67" s="3">
        <f t="shared" si="132"/>
        <v>0</v>
      </c>
      <c r="AQ67" s="4"/>
      <c r="AU67" s="3">
        <f t="shared" si="133"/>
        <v>0</v>
      </c>
      <c r="AX67" s="707"/>
      <c r="BA67" s="3">
        <f t="shared" si="134"/>
        <v>0</v>
      </c>
      <c r="BC67" s="4"/>
      <c r="BD67" s="3">
        <v>5</v>
      </c>
      <c r="BE67" s="3">
        <v>6</v>
      </c>
      <c r="BG67" s="3">
        <f t="shared" si="135"/>
        <v>6</v>
      </c>
      <c r="BH67" s="3">
        <v>3.52</v>
      </c>
      <c r="BI67" s="3">
        <v>77280</v>
      </c>
      <c r="BJ67" s="707"/>
      <c r="BM67" s="3">
        <f t="shared" si="136"/>
        <v>0</v>
      </c>
      <c r="BO67" s="4"/>
      <c r="BP67" s="707"/>
      <c r="BS67" s="3">
        <f t="shared" si="137"/>
        <v>0</v>
      </c>
      <c r="BU67" s="4"/>
      <c r="BV67" s="707">
        <v>4</v>
      </c>
      <c r="BX67" s="3">
        <v>3.9</v>
      </c>
      <c r="BY67" s="3">
        <f t="shared" si="138"/>
        <v>3.9</v>
      </c>
      <c r="BZ67" s="3">
        <v>62.79</v>
      </c>
      <c r="CA67" s="4">
        <v>753480</v>
      </c>
      <c r="CB67" s="707">
        <v>3</v>
      </c>
      <c r="CD67" s="3">
        <v>3.9</v>
      </c>
      <c r="CE67" s="3">
        <f t="shared" si="139"/>
        <v>3.9</v>
      </c>
      <c r="CF67" s="3">
        <v>15.6</v>
      </c>
      <c r="CG67" s="4">
        <v>187200</v>
      </c>
      <c r="CH67" s="707"/>
      <c r="CK67" s="3">
        <f t="shared" si="140"/>
        <v>0</v>
      </c>
      <c r="CM67" s="4"/>
    </row>
    <row r="68" spans="1:91" x14ac:dyDescent="0.25">
      <c r="A68" s="719" t="s">
        <v>383</v>
      </c>
      <c r="E68" s="3">
        <f t="shared" si="127"/>
        <v>0</v>
      </c>
      <c r="H68" s="707">
        <v>18</v>
      </c>
      <c r="J68" s="3">
        <v>5.5</v>
      </c>
      <c r="K68" s="3">
        <f t="shared" si="128"/>
        <v>5.5</v>
      </c>
      <c r="L68" s="3">
        <v>11</v>
      </c>
      <c r="M68" s="3">
        <v>165000</v>
      </c>
      <c r="N68" s="707"/>
      <c r="Q68" s="3">
        <f t="shared" si="129"/>
        <v>0</v>
      </c>
      <c r="S68" s="4"/>
      <c r="T68" s="707">
        <v>3</v>
      </c>
      <c r="U68" s="3">
        <v>0.5</v>
      </c>
      <c r="V68" s="3">
        <v>0.75</v>
      </c>
      <c r="W68" s="3">
        <f t="shared" si="130"/>
        <v>1.25</v>
      </c>
      <c r="X68" s="3">
        <v>0.65</v>
      </c>
      <c r="Y68" s="4">
        <v>20965</v>
      </c>
      <c r="Z68" s="707">
        <v>20</v>
      </c>
      <c r="AB68" s="3">
        <v>17.75</v>
      </c>
      <c r="AC68" s="3">
        <f t="shared" si="83"/>
        <v>17.75</v>
      </c>
      <c r="AD68" s="3">
        <v>57.62</v>
      </c>
      <c r="AE68" s="4">
        <v>991540</v>
      </c>
      <c r="AI68" s="3">
        <f t="shared" si="131"/>
        <v>0</v>
      </c>
      <c r="AL68" s="707"/>
      <c r="AO68" s="3">
        <f t="shared" si="132"/>
        <v>0</v>
      </c>
      <c r="AQ68" s="4"/>
      <c r="AU68" s="3">
        <f t="shared" si="133"/>
        <v>0</v>
      </c>
      <c r="AX68" s="707"/>
      <c r="BA68" s="3">
        <f t="shared" si="134"/>
        <v>0</v>
      </c>
      <c r="BC68" s="4"/>
      <c r="BD68" s="3">
        <v>26</v>
      </c>
      <c r="BE68" s="3">
        <v>1</v>
      </c>
      <c r="BF68" s="3">
        <v>22.35</v>
      </c>
      <c r="BG68" s="3">
        <f t="shared" si="135"/>
        <v>23.35</v>
      </c>
      <c r="BH68" s="3">
        <v>25.32</v>
      </c>
      <c r="BI68" s="3">
        <v>561080</v>
      </c>
      <c r="BJ68" s="707"/>
      <c r="BM68" s="3">
        <f t="shared" si="136"/>
        <v>0</v>
      </c>
      <c r="BO68" s="4"/>
      <c r="BP68" s="707"/>
      <c r="BS68" s="3">
        <f t="shared" si="137"/>
        <v>0</v>
      </c>
      <c r="BU68" s="4"/>
      <c r="BV68" s="707">
        <v>82</v>
      </c>
      <c r="BW68" s="3">
        <v>10.26</v>
      </c>
      <c r="BX68" s="3">
        <v>54.9</v>
      </c>
      <c r="BY68" s="3">
        <f t="shared" si="138"/>
        <v>65.16</v>
      </c>
      <c r="BZ68" s="3">
        <v>160.5</v>
      </c>
      <c r="CA68" s="4">
        <v>1908511</v>
      </c>
      <c r="CB68" s="707"/>
      <c r="CE68" s="3">
        <f t="shared" si="139"/>
        <v>0</v>
      </c>
      <c r="CG68" s="4"/>
      <c r="CH68" s="707"/>
      <c r="CK68" s="3">
        <f t="shared" si="140"/>
        <v>0</v>
      </c>
      <c r="CM68" s="4"/>
    </row>
    <row r="69" spans="1:91" x14ac:dyDescent="0.25">
      <c r="A69" s="719" t="s">
        <v>107</v>
      </c>
      <c r="E69" s="3">
        <f t="shared" si="127"/>
        <v>0</v>
      </c>
      <c r="H69" s="707">
        <v>93</v>
      </c>
      <c r="J69" s="3">
        <v>96.25</v>
      </c>
      <c r="K69" s="3">
        <f t="shared" si="128"/>
        <v>96.25</v>
      </c>
      <c r="L69" s="3">
        <v>205.68</v>
      </c>
      <c r="M69" s="3">
        <v>3811400</v>
      </c>
      <c r="N69" s="707">
        <v>59</v>
      </c>
      <c r="O69" s="3">
        <v>55</v>
      </c>
      <c r="Q69" s="3">
        <f t="shared" si="129"/>
        <v>55</v>
      </c>
      <c r="R69" s="3">
        <v>247.5</v>
      </c>
      <c r="S69" s="4">
        <v>3960000</v>
      </c>
      <c r="T69" s="707">
        <v>19</v>
      </c>
      <c r="U69" s="3">
        <v>6</v>
      </c>
      <c r="V69" s="3">
        <v>13.75</v>
      </c>
      <c r="W69" s="3">
        <f t="shared" si="130"/>
        <v>19.75</v>
      </c>
      <c r="X69" s="3">
        <v>37.71</v>
      </c>
      <c r="Y69" s="4">
        <v>641070</v>
      </c>
      <c r="Z69" s="707"/>
      <c r="AC69" s="3">
        <f t="shared" si="83"/>
        <v>0</v>
      </c>
      <c r="AE69" s="4"/>
      <c r="AI69" s="3">
        <f t="shared" si="131"/>
        <v>0</v>
      </c>
      <c r="AL69" s="707"/>
      <c r="AO69" s="3">
        <f t="shared" si="132"/>
        <v>0</v>
      </c>
      <c r="AQ69" s="4"/>
      <c r="AU69" s="3">
        <f t="shared" si="133"/>
        <v>0</v>
      </c>
      <c r="AX69" s="707"/>
      <c r="BA69" s="3">
        <f t="shared" si="134"/>
        <v>0</v>
      </c>
      <c r="BC69" s="4"/>
      <c r="BD69" s="3">
        <v>3</v>
      </c>
      <c r="BE69" s="3">
        <v>3.5</v>
      </c>
      <c r="BF69" s="3">
        <v>1.25</v>
      </c>
      <c r="BG69" s="3">
        <f t="shared" si="135"/>
        <v>4.75</v>
      </c>
      <c r="BH69" s="3">
        <v>19.18</v>
      </c>
      <c r="BI69" s="3">
        <v>268520</v>
      </c>
      <c r="BJ69" s="707"/>
      <c r="BM69" s="3">
        <f t="shared" si="136"/>
        <v>0</v>
      </c>
      <c r="BO69" s="4"/>
      <c r="BP69" s="707"/>
      <c r="BS69" s="3">
        <f t="shared" si="137"/>
        <v>0</v>
      </c>
      <c r="BU69" s="4"/>
      <c r="BV69" s="707">
        <v>19</v>
      </c>
      <c r="BX69" s="3">
        <v>20.97</v>
      </c>
      <c r="BY69" s="3">
        <f t="shared" si="138"/>
        <v>20.97</v>
      </c>
      <c r="BZ69" s="3">
        <v>58.44</v>
      </c>
      <c r="CA69" s="4">
        <v>701268</v>
      </c>
      <c r="CB69" s="707">
        <v>12</v>
      </c>
      <c r="CD69" s="3">
        <v>25.8</v>
      </c>
      <c r="CE69" s="3">
        <f t="shared" si="139"/>
        <v>25.8</v>
      </c>
      <c r="CF69" s="3">
        <v>36.68</v>
      </c>
      <c r="CG69" s="4">
        <v>470208</v>
      </c>
      <c r="CH69" s="707">
        <v>14</v>
      </c>
      <c r="CJ69" s="3">
        <v>12.5</v>
      </c>
      <c r="CK69" s="3">
        <f t="shared" si="140"/>
        <v>12.5</v>
      </c>
      <c r="CL69" s="3">
        <v>22.75</v>
      </c>
      <c r="CM69" s="4">
        <v>272970</v>
      </c>
    </row>
    <row r="70" spans="1:91" x14ac:dyDescent="0.25">
      <c r="A70" s="719" t="s">
        <v>384</v>
      </c>
      <c r="E70" s="3">
        <f t="shared" si="127"/>
        <v>0</v>
      </c>
      <c r="H70" s="707">
        <v>33</v>
      </c>
      <c r="I70" s="3">
        <v>1</v>
      </c>
      <c r="J70" s="3">
        <v>36.25</v>
      </c>
      <c r="K70" s="3">
        <f t="shared" si="128"/>
        <v>37.25</v>
      </c>
      <c r="L70" s="3">
        <v>106.54</v>
      </c>
      <c r="M70" s="3">
        <v>1616137.5</v>
      </c>
      <c r="N70" s="707">
        <v>20</v>
      </c>
      <c r="O70" s="3">
        <v>1.5</v>
      </c>
      <c r="P70" s="3">
        <v>15.25</v>
      </c>
      <c r="Q70" s="3">
        <f t="shared" si="129"/>
        <v>16.75</v>
      </c>
      <c r="R70" s="3">
        <v>34.31</v>
      </c>
      <c r="S70" s="4">
        <v>564000</v>
      </c>
      <c r="T70" s="707">
        <v>30</v>
      </c>
      <c r="U70" s="3">
        <v>22.25</v>
      </c>
      <c r="W70" s="3">
        <f t="shared" si="130"/>
        <v>22.25</v>
      </c>
      <c r="X70" s="3">
        <v>95.68</v>
      </c>
      <c r="Y70" s="4">
        <v>1626475</v>
      </c>
      <c r="Z70" s="707">
        <v>21</v>
      </c>
      <c r="AB70" s="3">
        <v>7.5</v>
      </c>
      <c r="AC70" s="3">
        <f t="shared" si="83"/>
        <v>7.5</v>
      </c>
      <c r="AD70" s="3">
        <v>14.84</v>
      </c>
      <c r="AE70" s="4">
        <v>252195</v>
      </c>
      <c r="AI70" s="3">
        <f t="shared" si="131"/>
        <v>0</v>
      </c>
      <c r="AL70" s="707"/>
      <c r="AO70" s="3">
        <f t="shared" si="132"/>
        <v>0</v>
      </c>
      <c r="AQ70" s="4"/>
      <c r="AR70" s="3">
        <v>11</v>
      </c>
      <c r="AT70" s="3">
        <v>12.5</v>
      </c>
      <c r="AU70" s="3">
        <f t="shared" si="133"/>
        <v>12.5</v>
      </c>
      <c r="AV70" s="3">
        <v>20.43</v>
      </c>
      <c r="AW70" s="3">
        <v>459700</v>
      </c>
      <c r="AX70" s="707">
        <v>5</v>
      </c>
      <c r="AZ70" s="3">
        <v>4.75</v>
      </c>
      <c r="BA70" s="3">
        <f t="shared" si="134"/>
        <v>4.75</v>
      </c>
      <c r="BB70" s="3">
        <v>11.92</v>
      </c>
      <c r="BC70" s="4">
        <v>250215</v>
      </c>
      <c r="BD70" s="3">
        <v>22</v>
      </c>
      <c r="BF70" s="3">
        <v>18.75</v>
      </c>
      <c r="BG70" s="3">
        <f t="shared" si="135"/>
        <v>18.75</v>
      </c>
      <c r="BH70" s="3">
        <v>38.56</v>
      </c>
      <c r="BI70" s="3">
        <v>539840</v>
      </c>
      <c r="BJ70" s="707"/>
      <c r="BM70" s="3">
        <f t="shared" si="136"/>
        <v>0</v>
      </c>
      <c r="BO70" s="4"/>
      <c r="BP70" s="707">
        <v>8</v>
      </c>
      <c r="BR70" s="3">
        <v>9</v>
      </c>
      <c r="BS70" s="3">
        <f t="shared" si="137"/>
        <v>9</v>
      </c>
      <c r="BT70" s="3">
        <v>8.69</v>
      </c>
      <c r="BU70" s="4">
        <v>132857.67000000001</v>
      </c>
      <c r="BV70" s="707">
        <v>33</v>
      </c>
      <c r="BW70" s="3">
        <v>1</v>
      </c>
      <c r="BX70" s="3">
        <v>32.5</v>
      </c>
      <c r="BY70" s="3">
        <f t="shared" si="138"/>
        <v>33.5</v>
      </c>
      <c r="BZ70" s="3">
        <v>62.19</v>
      </c>
      <c r="CA70" s="4">
        <v>888195</v>
      </c>
      <c r="CB70" s="707">
        <v>26</v>
      </c>
      <c r="CC70" s="3">
        <v>4</v>
      </c>
      <c r="CD70" s="3">
        <v>20.25</v>
      </c>
      <c r="CE70" s="3">
        <f t="shared" si="139"/>
        <v>24.25</v>
      </c>
      <c r="CF70" s="3">
        <v>32.9</v>
      </c>
      <c r="CG70" s="4">
        <v>485530</v>
      </c>
      <c r="CH70" s="707">
        <v>17</v>
      </c>
      <c r="CI70" s="3">
        <v>10.75</v>
      </c>
      <c r="CJ70" s="3">
        <v>7.75</v>
      </c>
      <c r="CK70" s="3">
        <f t="shared" si="140"/>
        <v>18.5</v>
      </c>
      <c r="CL70" s="3">
        <v>46.23</v>
      </c>
      <c r="CM70" s="4">
        <v>685900</v>
      </c>
    </row>
    <row r="71" spans="1:91" x14ac:dyDescent="0.25">
      <c r="A71" s="719" t="s">
        <v>385</v>
      </c>
      <c r="E71" s="3">
        <f t="shared" si="127"/>
        <v>0</v>
      </c>
      <c r="H71" s="707"/>
      <c r="K71" s="3">
        <f t="shared" si="128"/>
        <v>0</v>
      </c>
      <c r="N71" s="707">
        <v>68</v>
      </c>
      <c r="O71" s="3">
        <v>55.5</v>
      </c>
      <c r="P71" s="3">
        <v>5.6</v>
      </c>
      <c r="Q71" s="3">
        <f t="shared" si="129"/>
        <v>61.1</v>
      </c>
      <c r="R71" s="3">
        <v>253.35</v>
      </c>
      <c r="S71" s="4">
        <v>4068600</v>
      </c>
      <c r="T71" s="707">
        <v>54</v>
      </c>
      <c r="U71" s="3">
        <v>1</v>
      </c>
      <c r="V71" s="3">
        <v>55.25</v>
      </c>
      <c r="W71" s="3">
        <f t="shared" si="130"/>
        <v>56.25</v>
      </c>
      <c r="X71" s="3">
        <v>118.25</v>
      </c>
      <c r="Y71" s="4">
        <v>1658500</v>
      </c>
      <c r="Z71" s="707"/>
      <c r="AC71" s="3">
        <f t="shared" si="83"/>
        <v>0</v>
      </c>
      <c r="AE71" s="4"/>
      <c r="AI71" s="3">
        <f t="shared" si="131"/>
        <v>0</v>
      </c>
      <c r="AL71" s="707"/>
      <c r="AO71" s="3">
        <f t="shared" si="132"/>
        <v>0</v>
      </c>
      <c r="AQ71" s="4"/>
      <c r="AU71" s="3">
        <f t="shared" si="133"/>
        <v>0</v>
      </c>
      <c r="AX71" s="707"/>
      <c r="BA71" s="3">
        <f t="shared" si="134"/>
        <v>0</v>
      </c>
      <c r="BC71" s="4"/>
      <c r="BD71" s="3">
        <v>1</v>
      </c>
      <c r="BE71" s="3">
        <v>1.5</v>
      </c>
      <c r="BG71" s="3">
        <f t="shared" si="135"/>
        <v>1.5</v>
      </c>
      <c r="BI71" s="3">
        <v>30000</v>
      </c>
      <c r="BJ71" s="707"/>
      <c r="BM71" s="3">
        <f t="shared" si="136"/>
        <v>0</v>
      </c>
      <c r="BO71" s="4"/>
      <c r="BP71" s="707"/>
      <c r="BS71" s="3">
        <f t="shared" si="137"/>
        <v>0</v>
      </c>
      <c r="BU71" s="4"/>
      <c r="BV71" s="707">
        <v>34</v>
      </c>
      <c r="BW71" s="3">
        <v>1</v>
      </c>
      <c r="BX71" s="3">
        <v>48.7</v>
      </c>
      <c r="BY71" s="3">
        <f t="shared" si="138"/>
        <v>49.7</v>
      </c>
      <c r="BZ71" s="3">
        <v>68.489999999999995</v>
      </c>
      <c r="CA71" s="4">
        <v>1037312.5</v>
      </c>
      <c r="CB71" s="707">
        <v>210</v>
      </c>
      <c r="CC71" s="3">
        <v>56.5</v>
      </c>
      <c r="CD71" s="3">
        <v>229.25</v>
      </c>
      <c r="CE71" s="3">
        <f t="shared" si="139"/>
        <v>285.75</v>
      </c>
      <c r="CF71" s="3">
        <v>652.49</v>
      </c>
      <c r="CG71" s="4">
        <v>10205937.5</v>
      </c>
      <c r="CH71" s="707">
        <v>61</v>
      </c>
      <c r="CI71" s="3">
        <v>46</v>
      </c>
      <c r="CJ71" s="3">
        <v>37</v>
      </c>
      <c r="CK71" s="3">
        <f t="shared" si="140"/>
        <v>83</v>
      </c>
      <c r="CL71" s="3">
        <v>264.49</v>
      </c>
      <c r="CM71" s="4">
        <v>3123850</v>
      </c>
    </row>
    <row r="72" spans="1:91" x14ac:dyDescent="0.25">
      <c r="A72" s="719" t="s">
        <v>386</v>
      </c>
      <c r="E72" s="3">
        <f t="shared" si="127"/>
        <v>0</v>
      </c>
      <c r="H72" s="707"/>
      <c r="K72" s="3">
        <f t="shared" si="128"/>
        <v>0</v>
      </c>
      <c r="N72" s="707"/>
      <c r="Q72" s="3">
        <f t="shared" si="129"/>
        <v>0</v>
      </c>
      <c r="S72" s="4"/>
      <c r="T72" s="707"/>
      <c r="W72" s="3">
        <f t="shared" si="130"/>
        <v>0</v>
      </c>
      <c r="Y72" s="4"/>
      <c r="Z72" s="707"/>
      <c r="AC72" s="3">
        <f t="shared" si="83"/>
        <v>0</v>
      </c>
      <c r="AE72" s="4"/>
      <c r="AI72" s="3">
        <f t="shared" si="131"/>
        <v>0</v>
      </c>
      <c r="AL72" s="707"/>
      <c r="AO72" s="3">
        <f t="shared" si="132"/>
        <v>0</v>
      </c>
      <c r="AQ72" s="4"/>
      <c r="AU72" s="3">
        <f t="shared" si="133"/>
        <v>0</v>
      </c>
      <c r="AX72" s="707"/>
      <c r="BA72" s="3">
        <f t="shared" si="134"/>
        <v>0</v>
      </c>
      <c r="BC72" s="4"/>
      <c r="BG72" s="3">
        <f t="shared" si="135"/>
        <v>0</v>
      </c>
      <c r="BJ72" s="707"/>
      <c r="BM72" s="3">
        <f t="shared" si="136"/>
        <v>0</v>
      </c>
      <c r="BO72" s="4"/>
      <c r="BP72" s="707"/>
      <c r="BS72" s="3">
        <f t="shared" si="137"/>
        <v>0</v>
      </c>
      <c r="BU72" s="4"/>
      <c r="BV72" s="707"/>
      <c r="BY72" s="3">
        <f t="shared" si="138"/>
        <v>0</v>
      </c>
      <c r="CA72" s="4"/>
      <c r="CB72" s="707"/>
      <c r="CE72" s="3">
        <f t="shared" si="139"/>
        <v>0</v>
      </c>
      <c r="CG72" s="4"/>
      <c r="CH72" s="707"/>
      <c r="CK72" s="3">
        <f t="shared" si="140"/>
        <v>0</v>
      </c>
      <c r="CM72" s="4"/>
    </row>
    <row r="73" spans="1:91" s="704" customFormat="1" x14ac:dyDescent="0.25">
      <c r="A73" s="722" t="s">
        <v>387</v>
      </c>
      <c r="B73" s="723">
        <f>SUM(B74:B87)</f>
        <v>0</v>
      </c>
      <c r="C73" s="724">
        <f>SUM(C74:C87)</f>
        <v>0</v>
      </c>
      <c r="D73" s="724">
        <f t="shared" ref="D73:F73" si="141">SUM(D74:D87)</f>
        <v>0</v>
      </c>
      <c r="E73" s="724">
        <f t="shared" si="141"/>
        <v>0</v>
      </c>
      <c r="F73" s="724">
        <f t="shared" si="141"/>
        <v>0</v>
      </c>
      <c r="G73" s="725">
        <f>SUM(G74:G87)</f>
        <v>0</v>
      </c>
      <c r="H73" s="723">
        <f>SUM(H74:H87)</f>
        <v>1087</v>
      </c>
      <c r="I73" s="724">
        <f>SUM(I74:I87)</f>
        <v>50.12</v>
      </c>
      <c r="J73" s="724">
        <f t="shared" ref="J73:L73" si="142">SUM(J74:J87)</f>
        <v>995.03</v>
      </c>
      <c r="K73" s="724">
        <f t="shared" si="142"/>
        <v>1045.1499999999999</v>
      </c>
      <c r="L73" s="724">
        <f t="shared" si="142"/>
        <v>3133.44</v>
      </c>
      <c r="M73" s="725">
        <f>SUM(M74:M87)</f>
        <v>53017883</v>
      </c>
      <c r="N73" s="723">
        <f>SUM(N74:N87)</f>
        <v>34</v>
      </c>
      <c r="O73" s="724">
        <f>SUM(O74:O87)</f>
        <v>33</v>
      </c>
      <c r="P73" s="724">
        <f t="shared" ref="P73:R73" si="143">SUM(P74:P87)</f>
        <v>0</v>
      </c>
      <c r="Q73" s="724">
        <f t="shared" si="143"/>
        <v>33</v>
      </c>
      <c r="R73" s="724">
        <f t="shared" si="143"/>
        <v>142.6</v>
      </c>
      <c r="S73" s="731">
        <f>SUM(S74:S87)</f>
        <v>3010350</v>
      </c>
      <c r="T73" s="723">
        <f>SUM(T74:T87)</f>
        <v>0</v>
      </c>
      <c r="U73" s="724">
        <f>SUM(U74:U87)</f>
        <v>0</v>
      </c>
      <c r="V73" s="724">
        <f t="shared" ref="V73:X73" si="144">SUM(V74:V87)</f>
        <v>0</v>
      </c>
      <c r="W73" s="724">
        <f t="shared" si="144"/>
        <v>0</v>
      </c>
      <c r="X73" s="724">
        <f t="shared" si="144"/>
        <v>0</v>
      </c>
      <c r="Y73" s="731">
        <f>SUM(Y74:Y87)</f>
        <v>0</v>
      </c>
      <c r="Z73" s="723">
        <f>SUM(Z74:Z87)</f>
        <v>156</v>
      </c>
      <c r="AA73" s="724">
        <f>SUM(AA74:AA87)</f>
        <v>6.12</v>
      </c>
      <c r="AB73" s="724">
        <f t="shared" ref="AB73:AD73" si="145">SUM(AB74:AB87)</f>
        <v>133.65</v>
      </c>
      <c r="AC73" s="724">
        <f t="shared" si="145"/>
        <v>139.76999999999998</v>
      </c>
      <c r="AD73" s="724">
        <f t="shared" si="145"/>
        <v>192.01</v>
      </c>
      <c r="AE73" s="731">
        <f>SUM(AE74:AE87)</f>
        <v>2952594</v>
      </c>
      <c r="AF73" s="730">
        <f>SUM(AF74:AF87)</f>
        <v>0</v>
      </c>
      <c r="AG73" s="724">
        <f>SUM(AG74:AG87)</f>
        <v>0</v>
      </c>
      <c r="AH73" s="724">
        <f t="shared" ref="AH73:AJ73" si="146">SUM(AH74:AH87)</f>
        <v>0</v>
      </c>
      <c r="AI73" s="724">
        <f t="shared" si="146"/>
        <v>0</v>
      </c>
      <c r="AJ73" s="724">
        <f t="shared" si="146"/>
        <v>0</v>
      </c>
      <c r="AK73" s="725">
        <f>SUM(AK74:AK87)</f>
        <v>0</v>
      </c>
      <c r="AL73" s="723">
        <f>SUM(AL74:AL87)</f>
        <v>0</v>
      </c>
      <c r="AM73" s="724">
        <f>SUM(AM74:AM87)</f>
        <v>0</v>
      </c>
      <c r="AN73" s="724">
        <f t="shared" ref="AN73:AP73" si="147">SUM(AN74:AN87)</f>
        <v>0</v>
      </c>
      <c r="AO73" s="724">
        <f t="shared" si="147"/>
        <v>0</v>
      </c>
      <c r="AP73" s="724">
        <f t="shared" si="147"/>
        <v>0</v>
      </c>
      <c r="AQ73" s="731">
        <f>SUM(AQ74:AQ87)</f>
        <v>0</v>
      </c>
      <c r="AR73" s="730">
        <f>SUM(AR74:AR87)</f>
        <v>23</v>
      </c>
      <c r="AS73" s="724">
        <f>SUM(AS74:AS87)</f>
        <v>9.1999999999999993</v>
      </c>
      <c r="AT73" s="724">
        <f t="shared" ref="AT73:AV73" si="148">SUM(AT74:AT87)</f>
        <v>0</v>
      </c>
      <c r="AU73" s="724">
        <f t="shared" si="148"/>
        <v>9.1999999999999993</v>
      </c>
      <c r="AV73" s="724">
        <f t="shared" si="148"/>
        <v>27.7</v>
      </c>
      <c r="AW73" s="731">
        <f>SUM(AW74:AW87)</f>
        <v>470100</v>
      </c>
      <c r="AX73" s="723">
        <f>SUM(AX74:AX87)</f>
        <v>53</v>
      </c>
      <c r="AY73" s="724">
        <f>SUM(AY74:AY87)</f>
        <v>39.200000000000003</v>
      </c>
      <c r="AZ73" s="724">
        <f t="shared" ref="AZ73:BB73" si="149">SUM(AZ74:AZ87)</f>
        <v>2.66</v>
      </c>
      <c r="BA73" s="724">
        <f t="shared" si="149"/>
        <v>41.86</v>
      </c>
      <c r="BB73" s="724">
        <f t="shared" si="149"/>
        <v>103.28</v>
      </c>
      <c r="BC73" s="731">
        <f>SUM(BC74:BC87)</f>
        <v>2295570</v>
      </c>
      <c r="BD73" s="723">
        <f>SUM(BD74:BD87)</f>
        <v>61</v>
      </c>
      <c r="BE73" s="724">
        <f>SUM(BE74:BE87)</f>
        <v>0</v>
      </c>
      <c r="BF73" s="724">
        <f t="shared" ref="BF73:BH73" si="150">SUM(BF74:BF87)</f>
        <v>32.520000000000003</v>
      </c>
      <c r="BG73" s="724">
        <f t="shared" si="150"/>
        <v>32.520000000000003</v>
      </c>
      <c r="BH73" s="724">
        <f t="shared" si="150"/>
        <v>32.72</v>
      </c>
      <c r="BI73" s="731">
        <f>SUM(BI74:BI87)</f>
        <v>392647.56</v>
      </c>
      <c r="BJ73" s="723">
        <f>SUM(BJ74:BJ87)</f>
        <v>0</v>
      </c>
      <c r="BK73" s="724">
        <f>SUM(BK74:BK87)</f>
        <v>0</v>
      </c>
      <c r="BL73" s="724">
        <f t="shared" ref="BL73:BN73" si="151">SUM(BL74:BL87)</f>
        <v>0</v>
      </c>
      <c r="BM73" s="724">
        <f t="shared" si="151"/>
        <v>0</v>
      </c>
      <c r="BN73" s="724">
        <f t="shared" si="151"/>
        <v>0</v>
      </c>
      <c r="BO73" s="731">
        <f>SUM(BO74:BO87)</f>
        <v>0</v>
      </c>
      <c r="BP73" s="723">
        <f>SUM(BP74:BP87)</f>
        <v>13</v>
      </c>
      <c r="BQ73" s="724">
        <f>SUM(BQ74:BQ87)</f>
        <v>0</v>
      </c>
      <c r="BR73" s="724">
        <f t="shared" ref="BR73" si="152">SUM(BR74:BR87)</f>
        <v>2.9</v>
      </c>
      <c r="BS73" s="724">
        <f t="shared" ref="BS73" si="153">SUM(BS74:BS87)</f>
        <v>2.9</v>
      </c>
      <c r="BT73" s="724">
        <f t="shared" ref="BT73" si="154">SUM(BT74:BT87)</f>
        <v>6.66</v>
      </c>
      <c r="BU73" s="731">
        <f>SUM(BU74:BU87)</f>
        <v>123478</v>
      </c>
      <c r="BV73" s="723">
        <f>SUM(BV74:BV87)</f>
        <v>202</v>
      </c>
      <c r="BW73" s="724">
        <f>SUM(BW74:BW87)</f>
        <v>48.14</v>
      </c>
      <c r="BX73" s="724">
        <f t="shared" ref="BX73" si="155">SUM(BX74:BX87)</f>
        <v>121.08</v>
      </c>
      <c r="BY73" s="724">
        <f t="shared" ref="BY73" si="156">SUM(BY74:BY87)</f>
        <v>169.22</v>
      </c>
      <c r="BZ73" s="724">
        <f t="shared" ref="BZ73" si="157">SUM(BZ74:BZ87)</f>
        <v>600.44000000000005</v>
      </c>
      <c r="CA73" s="731">
        <f>SUM(CA74:CA87)</f>
        <v>8502122.1999999993</v>
      </c>
      <c r="CB73" s="723">
        <f t="shared" ref="CB73" si="158">SUM(CB74:CB78)</f>
        <v>104</v>
      </c>
      <c r="CC73" s="724">
        <f>SUM(CC74:CC87)</f>
        <v>43.71</v>
      </c>
      <c r="CD73" s="724">
        <f t="shared" ref="CD73" si="159">SUM(CD74:CD87)</f>
        <v>180.85</v>
      </c>
      <c r="CE73" s="724">
        <f t="shared" ref="CE73" si="160">SUM(CE74:CE87)</f>
        <v>224.56</v>
      </c>
      <c r="CF73" s="724">
        <f t="shared" ref="CF73" si="161">SUM(CF74:CF87)</f>
        <v>729.11</v>
      </c>
      <c r="CG73" s="731">
        <f>SUM(CG74:CG87)</f>
        <v>10198029.75</v>
      </c>
      <c r="CH73" s="723">
        <f t="shared" ref="CH73" si="162">SUM(CH74:CH78)</f>
        <v>294</v>
      </c>
      <c r="CI73" s="724">
        <f>SUM(CI74:CI87)</f>
        <v>1209.8499999999999</v>
      </c>
      <c r="CJ73" s="724">
        <f t="shared" ref="CJ73" si="163">SUM(CJ74:CJ87)</f>
        <v>272.07</v>
      </c>
      <c r="CK73" s="724">
        <f t="shared" ref="CK73" si="164">SUM(CK74:CK87)</f>
        <v>1481.92</v>
      </c>
      <c r="CL73" s="724">
        <f t="shared" ref="CL73" si="165">SUM(CL74:CL87)</f>
        <v>6752.4800000000005</v>
      </c>
      <c r="CM73" s="731">
        <f>SUM(CM74:CM87)</f>
        <v>85201137.900000006</v>
      </c>
    </row>
    <row r="74" spans="1:91" x14ac:dyDescent="0.25">
      <c r="A74" s="719" t="s">
        <v>388</v>
      </c>
      <c r="E74" s="3">
        <f t="shared" ref="E74:E87" si="166">SUM(C74:D74)</f>
        <v>0</v>
      </c>
      <c r="H74" s="707"/>
      <c r="K74" s="3">
        <f t="shared" ref="K74:K87" si="167">SUM(I74:J74)</f>
        <v>0</v>
      </c>
      <c r="N74" s="707"/>
      <c r="Q74" s="3">
        <f t="shared" ref="Q74:Q87" si="168">SUM(O74:P74)</f>
        <v>0</v>
      </c>
      <c r="S74" s="4"/>
      <c r="T74" s="707"/>
      <c r="W74" s="3">
        <f t="shared" ref="W74:W87" si="169">SUM(U74:V74)</f>
        <v>0</v>
      </c>
      <c r="Y74" s="4"/>
      <c r="Z74" s="707"/>
      <c r="AC74" s="3">
        <f t="shared" si="83"/>
        <v>0</v>
      </c>
      <c r="AE74" s="4"/>
      <c r="AI74" s="3">
        <f t="shared" ref="AI74:AI87" si="170">SUM(AG74:AH74)</f>
        <v>0</v>
      </c>
      <c r="AL74" s="707"/>
      <c r="AO74" s="3">
        <f t="shared" ref="AO74:AO87" si="171">SUM(AM74:AN74)</f>
        <v>0</v>
      </c>
      <c r="AQ74" s="4"/>
      <c r="AU74" s="3">
        <f t="shared" ref="AU74:AU87" si="172">SUM(AS74:AT74)</f>
        <v>0</v>
      </c>
      <c r="AX74" s="707"/>
      <c r="BA74" s="3">
        <f t="shared" ref="BA74:BA87" si="173">SUM(AY74:AZ74)</f>
        <v>0</v>
      </c>
      <c r="BC74" s="4"/>
      <c r="BG74" s="3">
        <f t="shared" ref="BG74:BG87" si="174">SUM(BE74:BF74)</f>
        <v>0</v>
      </c>
      <c r="BJ74" s="707"/>
      <c r="BM74" s="3">
        <f t="shared" ref="BM74:BM87" si="175">SUM(BK74:BL74)</f>
        <v>0</v>
      </c>
      <c r="BO74" s="4"/>
      <c r="BP74" s="707"/>
      <c r="BS74" s="3">
        <f t="shared" ref="BS74:BS87" si="176">SUM(BQ74:BR74)</f>
        <v>0</v>
      </c>
      <c r="BU74" s="4"/>
      <c r="BV74" s="707"/>
      <c r="BY74" s="3">
        <f t="shared" ref="BY74:BY87" si="177">SUM(BW74:BX74)</f>
        <v>0</v>
      </c>
      <c r="CA74" s="4"/>
      <c r="CB74" s="707"/>
      <c r="CE74" s="3">
        <f t="shared" ref="CE74:CE87" si="178">SUM(CC74:CD74)</f>
        <v>0</v>
      </c>
      <c r="CG74" s="4"/>
      <c r="CH74" s="707"/>
      <c r="CK74" s="3">
        <f t="shared" ref="CK74:CK87" si="179">SUM(CI74:CJ74)</f>
        <v>0</v>
      </c>
      <c r="CM74" s="4"/>
    </row>
    <row r="75" spans="1:91" x14ac:dyDescent="0.25">
      <c r="A75" s="719" t="s">
        <v>389</v>
      </c>
      <c r="E75" s="3">
        <f t="shared" si="166"/>
        <v>0</v>
      </c>
      <c r="H75" s="707">
        <v>78</v>
      </c>
      <c r="J75" s="3">
        <v>89.75</v>
      </c>
      <c r="K75" s="3">
        <f t="shared" si="167"/>
        <v>89.75</v>
      </c>
      <c r="L75" s="3">
        <v>124.77</v>
      </c>
      <c r="M75" s="3">
        <v>2141137.5</v>
      </c>
      <c r="N75" s="707"/>
      <c r="Q75" s="3">
        <f t="shared" si="168"/>
        <v>0</v>
      </c>
      <c r="S75" s="4"/>
      <c r="T75" s="707"/>
      <c r="W75" s="3">
        <f t="shared" si="169"/>
        <v>0</v>
      </c>
      <c r="Y75" s="4"/>
      <c r="Z75" s="707"/>
      <c r="AC75" s="3">
        <f t="shared" si="83"/>
        <v>0</v>
      </c>
      <c r="AE75" s="4"/>
      <c r="AI75" s="3">
        <f t="shared" si="170"/>
        <v>0</v>
      </c>
      <c r="AL75" s="707"/>
      <c r="AO75" s="3">
        <f t="shared" si="171"/>
        <v>0</v>
      </c>
      <c r="AQ75" s="4"/>
      <c r="AU75" s="3">
        <f t="shared" si="172"/>
        <v>0</v>
      </c>
      <c r="AX75" s="707"/>
      <c r="BA75" s="3">
        <f t="shared" si="173"/>
        <v>0</v>
      </c>
      <c r="BC75" s="4"/>
      <c r="BD75" s="3">
        <v>9</v>
      </c>
      <c r="BF75" s="3">
        <v>12.4</v>
      </c>
      <c r="BG75" s="3">
        <f t="shared" si="174"/>
        <v>12.4</v>
      </c>
      <c r="BH75" s="3">
        <v>5.84</v>
      </c>
      <c r="BI75" s="3">
        <v>70128</v>
      </c>
      <c r="BJ75" s="707"/>
      <c r="BM75" s="3">
        <f t="shared" si="175"/>
        <v>0</v>
      </c>
      <c r="BO75" s="4"/>
      <c r="BP75" s="707"/>
      <c r="BS75" s="3">
        <f t="shared" si="176"/>
        <v>0</v>
      </c>
      <c r="BU75" s="4"/>
      <c r="BV75" s="707">
        <v>79</v>
      </c>
      <c r="BX75" s="3">
        <v>82.5</v>
      </c>
      <c r="BY75" s="3">
        <f t="shared" si="177"/>
        <v>82.5</v>
      </c>
      <c r="BZ75" s="3">
        <v>306.89999999999998</v>
      </c>
      <c r="CA75" s="4">
        <v>3682800</v>
      </c>
      <c r="CB75" s="707">
        <v>64</v>
      </c>
      <c r="CD75" s="3">
        <v>69.5</v>
      </c>
      <c r="CE75" s="3">
        <f t="shared" si="178"/>
        <v>69.5</v>
      </c>
      <c r="CF75" s="3">
        <v>222.4</v>
      </c>
      <c r="CG75" s="4">
        <v>2668800</v>
      </c>
      <c r="CH75" s="707">
        <v>195</v>
      </c>
      <c r="CI75" s="3">
        <v>57</v>
      </c>
      <c r="CJ75" s="3">
        <v>155.5</v>
      </c>
      <c r="CK75" s="3">
        <f t="shared" si="179"/>
        <v>212.5</v>
      </c>
      <c r="CL75" s="3">
        <v>619.5</v>
      </c>
      <c r="CM75" s="4">
        <v>6901250</v>
      </c>
    </row>
    <row r="76" spans="1:91" x14ac:dyDescent="0.25">
      <c r="A76" s="719" t="s">
        <v>390</v>
      </c>
      <c r="E76" s="3">
        <f t="shared" si="166"/>
        <v>0</v>
      </c>
      <c r="H76" s="707">
        <v>8</v>
      </c>
      <c r="J76" s="3">
        <v>11</v>
      </c>
      <c r="K76" s="3">
        <f t="shared" si="167"/>
        <v>11</v>
      </c>
      <c r="L76" s="3">
        <v>13.75</v>
      </c>
      <c r="M76" s="3">
        <v>233750</v>
      </c>
      <c r="N76" s="707"/>
      <c r="Q76" s="3">
        <f t="shared" si="168"/>
        <v>0</v>
      </c>
      <c r="S76" s="4"/>
      <c r="T76" s="707"/>
      <c r="W76" s="3">
        <f t="shared" si="169"/>
        <v>0</v>
      </c>
      <c r="Y76" s="4"/>
      <c r="Z76" s="707"/>
      <c r="AC76" s="3">
        <f t="shared" si="83"/>
        <v>0</v>
      </c>
      <c r="AE76" s="4"/>
      <c r="AI76" s="3">
        <f t="shared" si="170"/>
        <v>0</v>
      </c>
      <c r="AL76" s="707"/>
      <c r="AO76" s="3">
        <f t="shared" si="171"/>
        <v>0</v>
      </c>
      <c r="AQ76" s="4"/>
      <c r="AU76" s="3">
        <f t="shared" si="172"/>
        <v>0</v>
      </c>
      <c r="AX76" s="707"/>
      <c r="BA76" s="3">
        <f t="shared" si="173"/>
        <v>0</v>
      </c>
      <c r="BC76" s="4"/>
      <c r="BG76" s="3">
        <f t="shared" si="174"/>
        <v>0</v>
      </c>
      <c r="BJ76" s="707"/>
      <c r="BM76" s="3">
        <f t="shared" si="175"/>
        <v>0</v>
      </c>
      <c r="BO76" s="4"/>
      <c r="BP76" s="707"/>
      <c r="BS76" s="3">
        <f t="shared" si="176"/>
        <v>0</v>
      </c>
      <c r="BU76" s="4"/>
      <c r="BV76" s="707"/>
      <c r="BY76" s="3">
        <f t="shared" si="177"/>
        <v>0</v>
      </c>
      <c r="CA76" s="4"/>
      <c r="CB76" s="707">
        <v>39</v>
      </c>
      <c r="CD76" s="3">
        <v>20</v>
      </c>
      <c r="CE76" s="3">
        <f t="shared" si="178"/>
        <v>20</v>
      </c>
      <c r="CF76" s="3">
        <v>56</v>
      </c>
      <c r="CG76" s="4">
        <v>728000</v>
      </c>
      <c r="CH76" s="707">
        <v>70</v>
      </c>
      <c r="CJ76" s="3">
        <v>39.82</v>
      </c>
      <c r="CK76" s="3">
        <f t="shared" si="179"/>
        <v>39.82</v>
      </c>
      <c r="CL76" s="3">
        <v>166.45</v>
      </c>
      <c r="CM76" s="4">
        <v>1997371.2</v>
      </c>
    </row>
    <row r="77" spans="1:91" x14ac:dyDescent="0.25">
      <c r="A77" s="719" t="s">
        <v>391</v>
      </c>
      <c r="E77" s="3">
        <f t="shared" si="166"/>
        <v>0</v>
      </c>
      <c r="H77" s="707">
        <v>57</v>
      </c>
      <c r="I77" s="3">
        <v>40.619999999999997</v>
      </c>
      <c r="J77" s="3">
        <v>13.53</v>
      </c>
      <c r="K77" s="3">
        <f t="shared" si="167"/>
        <v>54.15</v>
      </c>
      <c r="L77" s="3">
        <v>207.16</v>
      </c>
      <c r="M77" s="3">
        <v>3521703</v>
      </c>
      <c r="N77" s="707"/>
      <c r="Q77" s="3">
        <f t="shared" si="168"/>
        <v>0</v>
      </c>
      <c r="S77" s="4"/>
      <c r="T77" s="707"/>
      <c r="W77" s="3">
        <f t="shared" si="169"/>
        <v>0</v>
      </c>
      <c r="Y77" s="4"/>
      <c r="Z77" s="707">
        <v>8</v>
      </c>
      <c r="AA77" s="3">
        <v>1</v>
      </c>
      <c r="AB77" s="3">
        <v>4.1500000000000004</v>
      </c>
      <c r="AC77" s="3">
        <f t="shared" si="83"/>
        <v>5.15</v>
      </c>
      <c r="AD77" s="3">
        <v>12.3</v>
      </c>
      <c r="AE77" s="4">
        <v>184500</v>
      </c>
      <c r="AI77" s="3">
        <f t="shared" si="170"/>
        <v>0</v>
      </c>
      <c r="AL77" s="707"/>
      <c r="AO77" s="3">
        <f t="shared" si="171"/>
        <v>0</v>
      </c>
      <c r="AQ77" s="4"/>
      <c r="AR77" s="3">
        <v>16</v>
      </c>
      <c r="AS77" s="3">
        <v>3.5</v>
      </c>
      <c r="AU77" s="3">
        <f t="shared" si="172"/>
        <v>3.5</v>
      </c>
      <c r="AV77" s="3">
        <v>17.5</v>
      </c>
      <c r="AW77" s="3">
        <v>297500</v>
      </c>
      <c r="AX77" s="707">
        <v>1</v>
      </c>
      <c r="AY77" s="3">
        <v>0.5</v>
      </c>
      <c r="BA77" s="3">
        <f t="shared" si="173"/>
        <v>0.5</v>
      </c>
      <c r="BC77" s="4">
        <v>5000</v>
      </c>
      <c r="BG77" s="3">
        <f t="shared" si="174"/>
        <v>0</v>
      </c>
      <c r="BJ77" s="707"/>
      <c r="BM77" s="3">
        <f t="shared" si="175"/>
        <v>0</v>
      </c>
      <c r="BO77" s="4"/>
      <c r="BP77" s="707">
        <v>1</v>
      </c>
      <c r="BR77" s="3">
        <v>0.5</v>
      </c>
      <c r="BS77" s="3">
        <f t="shared" si="176"/>
        <v>0.5</v>
      </c>
      <c r="BT77" s="3">
        <v>1.55</v>
      </c>
      <c r="BU77" s="4">
        <v>26350</v>
      </c>
      <c r="BV77" s="707">
        <v>21</v>
      </c>
      <c r="BW77" s="3">
        <v>28</v>
      </c>
      <c r="BY77" s="3">
        <f t="shared" si="177"/>
        <v>28</v>
      </c>
      <c r="BZ77" s="3">
        <v>140</v>
      </c>
      <c r="CA77" s="4">
        <v>2380000</v>
      </c>
      <c r="CB77" s="707">
        <v>1</v>
      </c>
      <c r="CC77" s="3">
        <v>1</v>
      </c>
      <c r="CE77" s="3">
        <f t="shared" si="178"/>
        <v>1</v>
      </c>
      <c r="CF77" s="3">
        <v>5</v>
      </c>
      <c r="CG77" s="4">
        <v>85000</v>
      </c>
      <c r="CH77" s="707">
        <v>29</v>
      </c>
      <c r="CJ77" s="3">
        <v>19.3</v>
      </c>
      <c r="CK77" s="3">
        <f t="shared" si="179"/>
        <v>19.3</v>
      </c>
      <c r="CL77" s="3">
        <v>66.010000000000005</v>
      </c>
      <c r="CM77" s="4">
        <v>1188108</v>
      </c>
    </row>
    <row r="78" spans="1:91" x14ac:dyDescent="0.25">
      <c r="A78" s="719" t="s">
        <v>392</v>
      </c>
      <c r="E78" s="3">
        <f t="shared" si="166"/>
        <v>0</v>
      </c>
      <c r="H78" s="707"/>
      <c r="K78" s="3">
        <f t="shared" si="167"/>
        <v>0</v>
      </c>
      <c r="N78" s="707"/>
      <c r="Q78" s="3">
        <f t="shared" si="168"/>
        <v>0</v>
      </c>
      <c r="S78" s="4"/>
      <c r="T78" s="707"/>
      <c r="W78" s="3">
        <f t="shared" si="169"/>
        <v>0</v>
      </c>
      <c r="Y78" s="4"/>
      <c r="Z78" s="707"/>
      <c r="AC78" s="3">
        <f t="shared" si="83"/>
        <v>0</v>
      </c>
      <c r="AE78" s="4"/>
      <c r="AI78" s="3">
        <f t="shared" si="170"/>
        <v>0</v>
      </c>
      <c r="AL78" s="707"/>
      <c r="AO78" s="3">
        <f t="shared" si="171"/>
        <v>0</v>
      </c>
      <c r="AQ78" s="4"/>
      <c r="AU78" s="3">
        <f t="shared" si="172"/>
        <v>0</v>
      </c>
      <c r="AX78" s="707"/>
      <c r="BA78" s="3">
        <f t="shared" si="173"/>
        <v>0</v>
      </c>
      <c r="BC78" s="4"/>
      <c r="BG78" s="3">
        <f t="shared" si="174"/>
        <v>0</v>
      </c>
      <c r="BJ78" s="707"/>
      <c r="BM78" s="3">
        <f t="shared" si="175"/>
        <v>0</v>
      </c>
      <c r="BO78" s="4"/>
      <c r="BP78" s="707"/>
      <c r="BS78" s="3">
        <f t="shared" si="176"/>
        <v>0</v>
      </c>
      <c r="BU78" s="4"/>
      <c r="BV78" s="707"/>
      <c r="BY78" s="3">
        <f t="shared" si="177"/>
        <v>0</v>
      </c>
      <c r="CA78" s="4"/>
      <c r="CB78" s="707"/>
      <c r="CE78" s="3">
        <f t="shared" si="178"/>
        <v>0</v>
      </c>
      <c r="CG78" s="4"/>
      <c r="CH78" s="707"/>
      <c r="CK78" s="3">
        <f t="shared" si="179"/>
        <v>0</v>
      </c>
      <c r="CM78" s="4"/>
    </row>
    <row r="79" spans="1:91" x14ac:dyDescent="0.25">
      <c r="A79" s="719" t="s">
        <v>393</v>
      </c>
      <c r="E79" s="3">
        <f t="shared" si="166"/>
        <v>0</v>
      </c>
      <c r="H79" s="707"/>
      <c r="J79" s="3">
        <v>40</v>
      </c>
      <c r="K79" s="3">
        <f t="shared" si="167"/>
        <v>40</v>
      </c>
      <c r="L79" s="3">
        <v>94.5</v>
      </c>
      <c r="M79" s="3">
        <v>1606500</v>
      </c>
      <c r="N79" s="707"/>
      <c r="Q79" s="3">
        <f t="shared" si="168"/>
        <v>0</v>
      </c>
      <c r="S79" s="4"/>
      <c r="T79" s="707"/>
      <c r="W79" s="3">
        <f t="shared" si="169"/>
        <v>0</v>
      </c>
      <c r="Y79" s="4"/>
      <c r="Z79" s="707">
        <v>4</v>
      </c>
      <c r="AB79" s="3">
        <v>3</v>
      </c>
      <c r="AC79" s="3">
        <f t="shared" si="83"/>
        <v>3</v>
      </c>
      <c r="AD79" s="3">
        <v>5.25</v>
      </c>
      <c r="AE79" s="4">
        <v>94500</v>
      </c>
      <c r="AI79" s="3">
        <f t="shared" si="170"/>
        <v>0</v>
      </c>
      <c r="AL79" s="707"/>
      <c r="AO79" s="3">
        <f t="shared" si="171"/>
        <v>0</v>
      </c>
      <c r="AQ79" s="4"/>
      <c r="AR79" s="3">
        <v>4</v>
      </c>
      <c r="AS79" s="3">
        <v>4</v>
      </c>
      <c r="AU79" s="3">
        <f t="shared" si="172"/>
        <v>4</v>
      </c>
      <c r="AW79" s="3">
        <v>5200</v>
      </c>
      <c r="AX79" s="707"/>
      <c r="BA79" s="3">
        <f t="shared" si="173"/>
        <v>0</v>
      </c>
      <c r="BC79" s="4"/>
      <c r="BD79" s="3">
        <v>1</v>
      </c>
      <c r="BF79" s="3">
        <v>1</v>
      </c>
      <c r="BG79" s="3">
        <f t="shared" si="174"/>
        <v>1</v>
      </c>
      <c r="BH79" s="3">
        <v>0.5</v>
      </c>
      <c r="BI79" s="3">
        <v>6000</v>
      </c>
      <c r="BJ79" s="707"/>
      <c r="BM79" s="3">
        <f t="shared" si="175"/>
        <v>0</v>
      </c>
      <c r="BO79" s="4"/>
      <c r="BP79" s="707"/>
      <c r="BS79" s="3">
        <f t="shared" si="176"/>
        <v>0</v>
      </c>
      <c r="BU79" s="4"/>
      <c r="BV79" s="707">
        <v>15</v>
      </c>
      <c r="BW79" s="3">
        <v>6</v>
      </c>
      <c r="BY79" s="3">
        <f t="shared" si="177"/>
        <v>6</v>
      </c>
      <c r="CA79" s="4">
        <v>60000</v>
      </c>
      <c r="CB79" s="707">
        <v>51</v>
      </c>
      <c r="CD79" s="3">
        <v>51</v>
      </c>
      <c r="CE79" s="3">
        <f t="shared" si="178"/>
        <v>51</v>
      </c>
      <c r="CF79" s="3">
        <v>168.3</v>
      </c>
      <c r="CG79" s="4">
        <v>2524500</v>
      </c>
      <c r="CH79" s="707">
        <v>51</v>
      </c>
      <c r="CI79" s="3">
        <v>51</v>
      </c>
      <c r="CK79" s="3">
        <f t="shared" si="179"/>
        <v>51</v>
      </c>
      <c r="CL79" s="3">
        <v>255</v>
      </c>
      <c r="CM79" s="4">
        <v>3825000</v>
      </c>
    </row>
    <row r="80" spans="1:91" x14ac:dyDescent="0.25">
      <c r="A80" s="719" t="s">
        <v>394</v>
      </c>
      <c r="E80" s="3">
        <f t="shared" si="166"/>
        <v>0</v>
      </c>
      <c r="H80" s="707">
        <v>9</v>
      </c>
      <c r="J80" s="3">
        <v>15.2</v>
      </c>
      <c r="K80" s="3">
        <f t="shared" si="167"/>
        <v>15.2</v>
      </c>
      <c r="L80" s="3">
        <v>56.7</v>
      </c>
      <c r="M80" s="3">
        <v>963900</v>
      </c>
      <c r="N80" s="707"/>
      <c r="Q80" s="3">
        <f t="shared" si="168"/>
        <v>0</v>
      </c>
      <c r="S80" s="4"/>
      <c r="T80" s="707"/>
      <c r="W80" s="3">
        <f t="shared" si="169"/>
        <v>0</v>
      </c>
      <c r="Y80" s="4"/>
      <c r="Z80" s="707"/>
      <c r="AC80" s="3">
        <f t="shared" si="83"/>
        <v>0</v>
      </c>
      <c r="AE80" s="4"/>
      <c r="AI80" s="3">
        <f t="shared" si="170"/>
        <v>0</v>
      </c>
      <c r="AL80" s="707"/>
      <c r="AO80" s="3">
        <f t="shared" si="171"/>
        <v>0</v>
      </c>
      <c r="AQ80" s="4"/>
      <c r="AU80" s="3">
        <f t="shared" si="172"/>
        <v>0</v>
      </c>
      <c r="AX80" s="707"/>
      <c r="BA80" s="3">
        <f t="shared" si="173"/>
        <v>0</v>
      </c>
      <c r="BC80" s="4"/>
      <c r="BG80" s="3">
        <f t="shared" si="174"/>
        <v>0</v>
      </c>
      <c r="BJ80" s="707"/>
      <c r="BM80" s="3">
        <f t="shared" si="175"/>
        <v>0</v>
      </c>
      <c r="BO80" s="4"/>
      <c r="BP80" s="707"/>
      <c r="BS80" s="3">
        <f t="shared" si="176"/>
        <v>0</v>
      </c>
      <c r="BU80" s="4"/>
      <c r="BV80" s="707">
        <v>15</v>
      </c>
      <c r="BX80" s="3">
        <v>22</v>
      </c>
      <c r="BY80" s="3">
        <f t="shared" si="177"/>
        <v>22</v>
      </c>
      <c r="BZ80" s="3">
        <v>31.46</v>
      </c>
      <c r="CA80" s="4">
        <v>503360</v>
      </c>
      <c r="CB80" s="707"/>
      <c r="CE80" s="3">
        <f t="shared" si="178"/>
        <v>0</v>
      </c>
      <c r="CG80" s="4"/>
      <c r="CH80" s="707">
        <v>13</v>
      </c>
      <c r="CI80" s="3">
        <v>12.7</v>
      </c>
      <c r="CJ80" s="3">
        <v>16.8</v>
      </c>
      <c r="CK80" s="3">
        <f t="shared" si="179"/>
        <v>29.5</v>
      </c>
      <c r="CL80" s="3">
        <v>97.9</v>
      </c>
      <c r="CM80" s="4">
        <v>1617700</v>
      </c>
    </row>
    <row r="81" spans="1:91" x14ac:dyDescent="0.25">
      <c r="A81" s="719" t="s">
        <v>395</v>
      </c>
      <c r="E81" s="3">
        <f t="shared" si="166"/>
        <v>0</v>
      </c>
      <c r="H81" s="707">
        <v>66</v>
      </c>
      <c r="J81" s="3">
        <v>34.1</v>
      </c>
      <c r="K81" s="3">
        <f t="shared" si="167"/>
        <v>34.1</v>
      </c>
      <c r="L81" s="3">
        <v>136.4</v>
      </c>
      <c r="M81" s="3">
        <v>2046000</v>
      </c>
      <c r="N81" s="707"/>
      <c r="Q81" s="3">
        <f t="shared" si="168"/>
        <v>0</v>
      </c>
      <c r="S81" s="4"/>
      <c r="T81" s="707"/>
      <c r="W81" s="3">
        <f t="shared" si="169"/>
        <v>0</v>
      </c>
      <c r="Y81" s="4"/>
      <c r="Z81" s="707">
        <v>9</v>
      </c>
      <c r="AB81" s="3">
        <v>9</v>
      </c>
      <c r="AC81" s="3">
        <f t="shared" si="83"/>
        <v>9</v>
      </c>
      <c r="AD81" s="3">
        <v>13.5</v>
      </c>
      <c r="AE81" s="4">
        <v>202500</v>
      </c>
      <c r="AI81" s="3">
        <f t="shared" si="170"/>
        <v>0</v>
      </c>
      <c r="AL81" s="707"/>
      <c r="AO81" s="3">
        <f t="shared" si="171"/>
        <v>0</v>
      </c>
      <c r="AQ81" s="4"/>
      <c r="AR81" s="3">
        <v>2</v>
      </c>
      <c r="AS81" s="3">
        <v>0.7</v>
      </c>
      <c r="AU81" s="3">
        <f t="shared" si="172"/>
        <v>0.7</v>
      </c>
      <c r="AV81" s="3">
        <v>4.2</v>
      </c>
      <c r="AW81" s="3">
        <v>71400</v>
      </c>
      <c r="AX81" s="707">
        <v>2</v>
      </c>
      <c r="AZ81" s="3">
        <v>2.16</v>
      </c>
      <c r="BA81" s="3">
        <f t="shared" si="173"/>
        <v>2.16</v>
      </c>
      <c r="BC81" s="4">
        <v>25920</v>
      </c>
      <c r="BD81" s="3">
        <v>39</v>
      </c>
      <c r="BF81" s="3">
        <v>7.42</v>
      </c>
      <c r="BG81" s="3">
        <f t="shared" si="174"/>
        <v>7.42</v>
      </c>
      <c r="BH81" s="3">
        <v>11.99</v>
      </c>
      <c r="BI81" s="3">
        <v>143827.56</v>
      </c>
      <c r="BJ81" s="707"/>
      <c r="BM81" s="3">
        <f t="shared" si="175"/>
        <v>0</v>
      </c>
      <c r="BO81" s="4"/>
      <c r="BP81" s="707"/>
      <c r="BS81" s="3">
        <f t="shared" si="176"/>
        <v>0</v>
      </c>
      <c r="BU81" s="4"/>
      <c r="BV81" s="707">
        <v>19</v>
      </c>
      <c r="BW81" s="3">
        <v>6.94</v>
      </c>
      <c r="BY81" s="3">
        <f t="shared" si="177"/>
        <v>6.94</v>
      </c>
      <c r="BZ81" s="3">
        <v>35.81</v>
      </c>
      <c r="CA81" s="4">
        <v>501345.6</v>
      </c>
      <c r="CB81" s="707">
        <v>30</v>
      </c>
      <c r="CC81" s="3">
        <v>12.31</v>
      </c>
      <c r="CE81" s="3">
        <f t="shared" si="178"/>
        <v>12.31</v>
      </c>
      <c r="CF81" s="3">
        <v>68.709999999999994</v>
      </c>
      <c r="CG81" s="4">
        <v>824436</v>
      </c>
      <c r="CH81" s="707">
        <v>723</v>
      </c>
      <c r="CI81" s="3">
        <v>607.04999999999995</v>
      </c>
      <c r="CK81" s="3">
        <f t="shared" si="179"/>
        <v>607.04999999999995</v>
      </c>
      <c r="CL81" s="3">
        <v>3210.48</v>
      </c>
      <c r="CM81" s="4">
        <v>38794154</v>
      </c>
    </row>
    <row r="82" spans="1:91" x14ac:dyDescent="0.25">
      <c r="A82" s="719" t="s">
        <v>396</v>
      </c>
      <c r="E82" s="3">
        <f t="shared" si="166"/>
        <v>0</v>
      </c>
      <c r="H82" s="707">
        <v>364</v>
      </c>
      <c r="J82" s="3">
        <v>385.15</v>
      </c>
      <c r="K82" s="3">
        <f t="shared" si="167"/>
        <v>385.15</v>
      </c>
      <c r="L82" s="3">
        <v>1906.49</v>
      </c>
      <c r="M82" s="3">
        <v>32410372.5</v>
      </c>
      <c r="N82" s="707">
        <v>31</v>
      </c>
      <c r="O82" s="3">
        <v>29.5</v>
      </c>
      <c r="Q82" s="3">
        <f t="shared" si="168"/>
        <v>29.5</v>
      </c>
      <c r="R82" s="3">
        <v>126.85</v>
      </c>
      <c r="S82" s="4">
        <v>2663850</v>
      </c>
      <c r="T82" s="707"/>
      <c r="W82" s="3">
        <f t="shared" si="169"/>
        <v>0</v>
      </c>
      <c r="Y82" s="4"/>
      <c r="Z82" s="707">
        <v>19</v>
      </c>
      <c r="AB82" s="3">
        <v>12</v>
      </c>
      <c r="AC82" s="3">
        <f t="shared" si="83"/>
        <v>12</v>
      </c>
      <c r="AD82" s="3">
        <v>30</v>
      </c>
      <c r="AE82" s="4">
        <v>390000</v>
      </c>
      <c r="AI82" s="3">
        <f t="shared" si="170"/>
        <v>0</v>
      </c>
      <c r="AL82" s="707"/>
      <c r="AO82" s="3">
        <f t="shared" si="171"/>
        <v>0</v>
      </c>
      <c r="AQ82" s="4"/>
      <c r="AR82" s="3">
        <v>1</v>
      </c>
      <c r="AS82" s="3">
        <v>1</v>
      </c>
      <c r="AU82" s="3">
        <f t="shared" si="172"/>
        <v>1</v>
      </c>
      <c r="AV82" s="3">
        <v>6</v>
      </c>
      <c r="AW82" s="3">
        <v>96000</v>
      </c>
      <c r="AX82" s="707">
        <v>28</v>
      </c>
      <c r="AY82" s="3">
        <v>19.5</v>
      </c>
      <c r="BA82" s="3">
        <f t="shared" si="173"/>
        <v>19.5</v>
      </c>
      <c r="BB82" s="3">
        <v>97.5</v>
      </c>
      <c r="BC82" s="4">
        <v>1950000</v>
      </c>
      <c r="BG82" s="3">
        <f t="shared" si="174"/>
        <v>0</v>
      </c>
      <c r="BJ82" s="707"/>
      <c r="BM82" s="3">
        <f t="shared" si="175"/>
        <v>0</v>
      </c>
      <c r="BO82" s="4"/>
      <c r="BP82" s="707"/>
      <c r="BS82" s="3">
        <f t="shared" si="176"/>
        <v>0</v>
      </c>
      <c r="BU82" s="4"/>
      <c r="BV82" s="707"/>
      <c r="BY82" s="3">
        <f t="shared" si="177"/>
        <v>0</v>
      </c>
      <c r="CA82" s="4"/>
      <c r="CB82" s="707"/>
      <c r="CE82" s="3">
        <f t="shared" si="178"/>
        <v>0</v>
      </c>
      <c r="CG82" s="4"/>
      <c r="CH82" s="707">
        <v>380</v>
      </c>
      <c r="CI82" s="3">
        <v>349.6</v>
      </c>
      <c r="CK82" s="3">
        <f t="shared" si="179"/>
        <v>349.6</v>
      </c>
      <c r="CL82" s="3">
        <v>1573.2</v>
      </c>
      <c r="CM82" s="4">
        <v>18878400</v>
      </c>
    </row>
    <row r="83" spans="1:91" x14ac:dyDescent="0.25">
      <c r="A83" s="719" t="s">
        <v>397</v>
      </c>
      <c r="E83" s="3">
        <f t="shared" si="166"/>
        <v>0</v>
      </c>
      <c r="H83" s="707">
        <v>32</v>
      </c>
      <c r="J83" s="3">
        <v>25</v>
      </c>
      <c r="K83" s="3">
        <f t="shared" si="167"/>
        <v>25</v>
      </c>
      <c r="L83" s="3">
        <v>68.75</v>
      </c>
      <c r="M83" s="3">
        <v>1168750</v>
      </c>
      <c r="N83" s="707"/>
      <c r="Q83" s="3">
        <f t="shared" si="168"/>
        <v>0</v>
      </c>
      <c r="S83" s="4"/>
      <c r="T83" s="707"/>
      <c r="W83" s="3">
        <f t="shared" si="169"/>
        <v>0</v>
      </c>
      <c r="Y83" s="4"/>
      <c r="Z83" s="707"/>
      <c r="AC83" s="3">
        <f t="shared" si="83"/>
        <v>0</v>
      </c>
      <c r="AE83" s="4"/>
      <c r="AI83" s="3">
        <f t="shared" si="170"/>
        <v>0</v>
      </c>
      <c r="AL83" s="707"/>
      <c r="AO83" s="3">
        <f t="shared" si="171"/>
        <v>0</v>
      </c>
      <c r="AQ83" s="4"/>
      <c r="AU83" s="3">
        <f t="shared" si="172"/>
        <v>0</v>
      </c>
      <c r="AX83" s="707">
        <v>4</v>
      </c>
      <c r="AY83" s="3">
        <v>0.5</v>
      </c>
      <c r="BA83" s="3">
        <f t="shared" si="173"/>
        <v>0.5</v>
      </c>
      <c r="BB83" s="3">
        <v>0.93</v>
      </c>
      <c r="BC83" s="4">
        <v>18500</v>
      </c>
      <c r="BD83" s="3">
        <v>10</v>
      </c>
      <c r="BF83" s="3">
        <v>10</v>
      </c>
      <c r="BG83" s="3">
        <f t="shared" si="174"/>
        <v>10</v>
      </c>
      <c r="BH83" s="3">
        <v>6.75</v>
      </c>
      <c r="BI83" s="3">
        <v>81000</v>
      </c>
      <c r="BJ83" s="707"/>
      <c r="BM83" s="3">
        <f t="shared" si="175"/>
        <v>0</v>
      </c>
      <c r="BO83" s="4"/>
      <c r="BP83" s="707"/>
      <c r="BS83" s="3">
        <f t="shared" si="176"/>
        <v>0</v>
      </c>
      <c r="BU83" s="4"/>
      <c r="BV83" s="707">
        <v>14</v>
      </c>
      <c r="BX83" s="3">
        <v>12</v>
      </c>
      <c r="BY83" s="3">
        <f t="shared" si="177"/>
        <v>12</v>
      </c>
      <c r="BZ83" s="3">
        <v>39.83</v>
      </c>
      <c r="CA83" s="4">
        <v>716850</v>
      </c>
      <c r="CB83" s="707">
        <v>5</v>
      </c>
      <c r="CC83" s="3">
        <v>1.5</v>
      </c>
      <c r="CE83" s="3">
        <f t="shared" si="178"/>
        <v>1.5</v>
      </c>
      <c r="CF83" s="3">
        <v>6.75</v>
      </c>
      <c r="CG83" s="4">
        <v>121500</v>
      </c>
      <c r="CH83" s="707">
        <v>18</v>
      </c>
      <c r="CI83" s="3">
        <v>20</v>
      </c>
      <c r="CK83" s="3">
        <f t="shared" si="179"/>
        <v>20</v>
      </c>
      <c r="CL83" s="3">
        <v>100</v>
      </c>
      <c r="CM83" s="4">
        <v>1700000</v>
      </c>
    </row>
    <row r="84" spans="1:91" x14ac:dyDescent="0.25">
      <c r="A84" s="719" t="s">
        <v>398</v>
      </c>
      <c r="E84" s="3">
        <f t="shared" si="166"/>
        <v>0</v>
      </c>
      <c r="H84" s="707">
        <v>12</v>
      </c>
      <c r="I84" s="3">
        <v>9</v>
      </c>
      <c r="K84" s="3">
        <f t="shared" si="167"/>
        <v>9</v>
      </c>
      <c r="L84" s="3">
        <v>45</v>
      </c>
      <c r="M84" s="3">
        <v>765000</v>
      </c>
      <c r="N84" s="707">
        <v>3</v>
      </c>
      <c r="O84" s="3">
        <v>3.5</v>
      </c>
      <c r="Q84" s="3">
        <f t="shared" si="168"/>
        <v>3.5</v>
      </c>
      <c r="R84" s="3">
        <v>15.75</v>
      </c>
      <c r="S84" s="4">
        <v>346500</v>
      </c>
      <c r="T84" s="707"/>
      <c r="W84" s="3">
        <f t="shared" si="169"/>
        <v>0</v>
      </c>
      <c r="Y84" s="4"/>
      <c r="Z84" s="707"/>
      <c r="AC84" s="3">
        <f t="shared" si="83"/>
        <v>0</v>
      </c>
      <c r="AE84" s="4"/>
      <c r="AI84" s="3">
        <f t="shared" si="170"/>
        <v>0</v>
      </c>
      <c r="AL84" s="707"/>
      <c r="AO84" s="3">
        <f t="shared" si="171"/>
        <v>0</v>
      </c>
      <c r="AQ84" s="4"/>
      <c r="AU84" s="3">
        <f t="shared" si="172"/>
        <v>0</v>
      </c>
      <c r="AX84" s="707">
        <v>15</v>
      </c>
      <c r="AY84" s="3">
        <v>17.5</v>
      </c>
      <c r="BA84" s="3">
        <f t="shared" si="173"/>
        <v>17.5</v>
      </c>
      <c r="BC84" s="4">
        <v>202500</v>
      </c>
      <c r="BG84" s="3">
        <f t="shared" si="174"/>
        <v>0</v>
      </c>
      <c r="BJ84" s="707"/>
      <c r="BM84" s="3">
        <f t="shared" si="175"/>
        <v>0</v>
      </c>
      <c r="BO84" s="4"/>
      <c r="BP84" s="707"/>
      <c r="BS84" s="3">
        <f t="shared" si="176"/>
        <v>0</v>
      </c>
      <c r="BU84" s="4"/>
      <c r="BV84" s="707"/>
      <c r="BY84" s="3">
        <f t="shared" si="177"/>
        <v>0</v>
      </c>
      <c r="CA84" s="4"/>
      <c r="CB84" s="707">
        <v>17</v>
      </c>
      <c r="CD84" s="3">
        <v>15</v>
      </c>
      <c r="CE84" s="3">
        <f t="shared" si="178"/>
        <v>15</v>
      </c>
      <c r="CF84" s="3">
        <v>37.5</v>
      </c>
      <c r="CG84" s="4">
        <v>712500</v>
      </c>
      <c r="CH84" s="707">
        <v>37</v>
      </c>
      <c r="CI84" s="3">
        <v>42.5</v>
      </c>
      <c r="CK84" s="3">
        <f t="shared" si="179"/>
        <v>42.5</v>
      </c>
      <c r="CL84" s="3">
        <v>170</v>
      </c>
      <c r="CM84" s="4">
        <v>3230000</v>
      </c>
    </row>
    <row r="85" spans="1:91" x14ac:dyDescent="0.25">
      <c r="A85" s="719" t="s">
        <v>399</v>
      </c>
      <c r="E85" s="3">
        <f t="shared" si="166"/>
        <v>0</v>
      </c>
      <c r="H85" s="707">
        <v>48</v>
      </c>
      <c r="I85" s="3">
        <v>0.5</v>
      </c>
      <c r="J85" s="3">
        <v>45.3</v>
      </c>
      <c r="K85" s="3">
        <f t="shared" si="167"/>
        <v>45.8</v>
      </c>
      <c r="L85" s="3">
        <v>184.54</v>
      </c>
      <c r="M85" s="3">
        <v>3139395</v>
      </c>
      <c r="N85" s="707"/>
      <c r="Q85" s="3">
        <f t="shared" si="168"/>
        <v>0</v>
      </c>
      <c r="S85" s="4"/>
      <c r="T85" s="707"/>
      <c r="W85" s="3">
        <f t="shared" si="169"/>
        <v>0</v>
      </c>
      <c r="Y85" s="4"/>
      <c r="Z85" s="707">
        <v>4</v>
      </c>
      <c r="AA85" s="3">
        <v>5.12</v>
      </c>
      <c r="AC85" s="3">
        <f t="shared" si="83"/>
        <v>5.12</v>
      </c>
      <c r="AD85" s="3">
        <v>23.35</v>
      </c>
      <c r="AE85" s="4">
        <v>466944</v>
      </c>
      <c r="AI85" s="3">
        <f t="shared" si="170"/>
        <v>0</v>
      </c>
      <c r="AL85" s="707"/>
      <c r="AO85" s="3">
        <f t="shared" si="171"/>
        <v>0</v>
      </c>
      <c r="AQ85" s="4"/>
      <c r="AU85" s="3">
        <f t="shared" si="172"/>
        <v>0</v>
      </c>
      <c r="AX85" s="707">
        <v>2</v>
      </c>
      <c r="AY85" s="3">
        <v>0.5</v>
      </c>
      <c r="AZ85" s="3">
        <v>0.5</v>
      </c>
      <c r="BA85" s="3">
        <f t="shared" si="173"/>
        <v>1</v>
      </c>
      <c r="BB85" s="3">
        <v>1.35</v>
      </c>
      <c r="BC85" s="4">
        <v>30650</v>
      </c>
      <c r="BD85" s="3">
        <v>2</v>
      </c>
      <c r="BF85" s="3">
        <v>1.7</v>
      </c>
      <c r="BG85" s="3">
        <f t="shared" si="174"/>
        <v>1.7</v>
      </c>
      <c r="BH85" s="3">
        <v>7.64</v>
      </c>
      <c r="BI85" s="3">
        <v>91692</v>
      </c>
      <c r="BJ85" s="707"/>
      <c r="BM85" s="3">
        <f t="shared" si="175"/>
        <v>0</v>
      </c>
      <c r="BO85" s="4"/>
      <c r="BP85" s="707"/>
      <c r="BS85" s="3">
        <f t="shared" si="176"/>
        <v>0</v>
      </c>
      <c r="BU85" s="4"/>
      <c r="BV85" s="707">
        <v>18</v>
      </c>
      <c r="BW85" s="3">
        <v>6.5</v>
      </c>
      <c r="BY85" s="3">
        <f t="shared" si="177"/>
        <v>6.5</v>
      </c>
      <c r="BZ85" s="3">
        <v>33.479999999999997</v>
      </c>
      <c r="CA85" s="4">
        <v>401700</v>
      </c>
      <c r="CB85" s="707">
        <v>38</v>
      </c>
      <c r="CC85" s="3">
        <v>28.9</v>
      </c>
      <c r="CE85" s="3">
        <f t="shared" si="178"/>
        <v>28.9</v>
      </c>
      <c r="CF85" s="3">
        <v>84.47</v>
      </c>
      <c r="CG85" s="4">
        <v>1013688</v>
      </c>
      <c r="CH85" s="707">
        <v>85</v>
      </c>
      <c r="CI85" s="3">
        <v>65</v>
      </c>
      <c r="CK85" s="3">
        <f t="shared" si="179"/>
        <v>65</v>
      </c>
      <c r="CL85" s="3">
        <v>323.38</v>
      </c>
      <c r="CM85" s="4">
        <v>3880500</v>
      </c>
    </row>
    <row r="86" spans="1:91" x14ac:dyDescent="0.25">
      <c r="A86" s="719" t="s">
        <v>400</v>
      </c>
      <c r="E86" s="3">
        <f t="shared" si="166"/>
        <v>0</v>
      </c>
      <c r="H86" s="707"/>
      <c r="K86" s="3">
        <f t="shared" si="167"/>
        <v>0</v>
      </c>
      <c r="N86" s="707"/>
      <c r="Q86" s="3">
        <f t="shared" si="168"/>
        <v>0</v>
      </c>
      <c r="S86" s="4"/>
      <c r="T86" s="707"/>
      <c r="W86" s="3">
        <f t="shared" si="169"/>
        <v>0</v>
      </c>
      <c r="Y86" s="4"/>
      <c r="Z86" s="707"/>
      <c r="AC86" s="3">
        <f t="shared" si="83"/>
        <v>0</v>
      </c>
      <c r="AE86" s="4"/>
      <c r="AI86" s="3">
        <f t="shared" si="170"/>
        <v>0</v>
      </c>
      <c r="AL86" s="707"/>
      <c r="AO86" s="3">
        <f t="shared" si="171"/>
        <v>0</v>
      </c>
      <c r="AQ86" s="4"/>
      <c r="AU86" s="3">
        <f t="shared" si="172"/>
        <v>0</v>
      </c>
      <c r="AX86" s="707"/>
      <c r="BA86" s="3">
        <f t="shared" si="173"/>
        <v>0</v>
      </c>
      <c r="BC86" s="4"/>
      <c r="BG86" s="3">
        <f t="shared" si="174"/>
        <v>0</v>
      </c>
      <c r="BJ86" s="707"/>
      <c r="BM86" s="3">
        <f t="shared" si="175"/>
        <v>0</v>
      </c>
      <c r="BO86" s="4"/>
      <c r="BP86" s="707"/>
      <c r="BS86" s="3">
        <f t="shared" si="176"/>
        <v>0</v>
      </c>
      <c r="BU86" s="4"/>
      <c r="BV86" s="707">
        <v>3</v>
      </c>
      <c r="BW86" s="3">
        <v>0.7</v>
      </c>
      <c r="BY86" s="3">
        <f t="shared" si="177"/>
        <v>0.7</v>
      </c>
      <c r="CA86" s="4">
        <v>9800</v>
      </c>
      <c r="CB86" s="707"/>
      <c r="CE86" s="3">
        <f t="shared" si="178"/>
        <v>0</v>
      </c>
      <c r="CG86" s="4"/>
      <c r="CH86" s="707">
        <v>3</v>
      </c>
      <c r="CI86" s="3">
        <v>5</v>
      </c>
      <c r="CJ86" s="3">
        <v>0.5</v>
      </c>
      <c r="CK86" s="3">
        <f t="shared" si="179"/>
        <v>5.5</v>
      </c>
      <c r="CL86" s="3">
        <v>3.5</v>
      </c>
      <c r="CM86" s="4">
        <v>181500</v>
      </c>
    </row>
    <row r="87" spans="1:91" x14ac:dyDescent="0.25">
      <c r="A87" s="719" t="s">
        <v>401</v>
      </c>
      <c r="E87" s="3">
        <f t="shared" si="166"/>
        <v>0</v>
      </c>
      <c r="H87" s="707">
        <v>413</v>
      </c>
      <c r="J87" s="3">
        <v>336</v>
      </c>
      <c r="K87" s="3">
        <f t="shared" si="167"/>
        <v>336</v>
      </c>
      <c r="L87" s="3">
        <v>295.38</v>
      </c>
      <c r="M87" s="3">
        <v>5021375</v>
      </c>
      <c r="N87" s="707"/>
      <c r="Q87" s="3">
        <f t="shared" si="168"/>
        <v>0</v>
      </c>
      <c r="S87" s="4"/>
      <c r="T87" s="707"/>
      <c r="W87" s="3">
        <f t="shared" si="169"/>
        <v>0</v>
      </c>
      <c r="Y87" s="4"/>
      <c r="Z87" s="707">
        <v>112</v>
      </c>
      <c r="AB87" s="3">
        <v>105.5</v>
      </c>
      <c r="AC87" s="3">
        <f t="shared" ref="AC87" si="180">SUM(AA87:AB87)</f>
        <v>105.5</v>
      </c>
      <c r="AD87" s="3">
        <v>107.61</v>
      </c>
      <c r="AE87" s="4">
        <v>1614150</v>
      </c>
      <c r="AI87" s="3">
        <f t="shared" si="170"/>
        <v>0</v>
      </c>
      <c r="AL87" s="707"/>
      <c r="AO87" s="3">
        <f t="shared" si="171"/>
        <v>0</v>
      </c>
      <c r="AQ87" s="4"/>
      <c r="AU87" s="3">
        <f t="shared" si="172"/>
        <v>0</v>
      </c>
      <c r="AX87" s="707">
        <v>1</v>
      </c>
      <c r="AY87" s="3">
        <v>0.7</v>
      </c>
      <c r="BA87" s="3">
        <f t="shared" si="173"/>
        <v>0.7</v>
      </c>
      <c r="BB87" s="3">
        <v>3.5</v>
      </c>
      <c r="BC87" s="4">
        <v>63000</v>
      </c>
      <c r="BG87" s="3">
        <f t="shared" si="174"/>
        <v>0</v>
      </c>
      <c r="BJ87" s="707"/>
      <c r="BM87" s="3">
        <f t="shared" si="175"/>
        <v>0</v>
      </c>
      <c r="BO87" s="4"/>
      <c r="BP87" s="707">
        <v>12</v>
      </c>
      <c r="BR87" s="3">
        <v>2.4</v>
      </c>
      <c r="BS87" s="3">
        <f t="shared" si="176"/>
        <v>2.4</v>
      </c>
      <c r="BT87" s="3">
        <v>5.1100000000000003</v>
      </c>
      <c r="BU87" s="4">
        <v>97128</v>
      </c>
      <c r="BV87" s="707">
        <v>18</v>
      </c>
      <c r="BX87" s="3">
        <v>4.58</v>
      </c>
      <c r="BY87" s="3">
        <f t="shared" si="177"/>
        <v>4.58</v>
      </c>
      <c r="BZ87" s="3">
        <v>12.96</v>
      </c>
      <c r="CA87" s="4">
        <v>246266.6</v>
      </c>
      <c r="CB87" s="707">
        <v>64</v>
      </c>
      <c r="CD87" s="3">
        <v>25.35</v>
      </c>
      <c r="CE87" s="3">
        <f t="shared" si="178"/>
        <v>25.35</v>
      </c>
      <c r="CF87" s="3">
        <v>79.98</v>
      </c>
      <c r="CG87" s="4">
        <v>1519605.75</v>
      </c>
      <c r="CH87" s="707">
        <v>64</v>
      </c>
      <c r="CJ87" s="3">
        <v>40.15</v>
      </c>
      <c r="CK87" s="3">
        <f t="shared" si="179"/>
        <v>40.15</v>
      </c>
      <c r="CL87" s="3">
        <v>167.06</v>
      </c>
      <c r="CM87" s="4">
        <v>3007154.7</v>
      </c>
    </row>
    <row r="88" spans="1:91" s="704" customFormat="1" x14ac:dyDescent="0.25">
      <c r="A88" s="722" t="s">
        <v>438</v>
      </c>
      <c r="B88" s="723">
        <f>SUM(B89:B128)</f>
        <v>0</v>
      </c>
      <c r="C88" s="724">
        <f>SUM(C89:C128)</f>
        <v>0</v>
      </c>
      <c r="D88" s="724">
        <f t="shared" ref="D88:F88" si="181">SUM(D89:D128)</f>
        <v>0</v>
      </c>
      <c r="E88" s="724">
        <f t="shared" si="181"/>
        <v>0</v>
      </c>
      <c r="F88" s="724">
        <f t="shared" si="181"/>
        <v>0</v>
      </c>
      <c r="G88" s="725">
        <f>SUM(G89:G128)</f>
        <v>0</v>
      </c>
      <c r="H88" s="723">
        <f>SUM(H89:H128)</f>
        <v>2053</v>
      </c>
      <c r="I88" s="724">
        <f>SUM(I89:I128)</f>
        <v>639.21</v>
      </c>
      <c r="J88" s="724">
        <f t="shared" ref="J88:L88" si="182">SUM(J89:J128)</f>
        <v>1033.6100000000001</v>
      </c>
      <c r="K88" s="724">
        <f t="shared" si="182"/>
        <v>1672.8200000000002</v>
      </c>
      <c r="L88" s="724">
        <f t="shared" si="182"/>
        <v>4574.54</v>
      </c>
      <c r="M88" s="725">
        <f>SUM(M89:M128)</f>
        <v>76799292.5</v>
      </c>
      <c r="N88" s="723">
        <f>SUM(N89:N128)</f>
        <v>6365</v>
      </c>
      <c r="O88" s="724">
        <f>SUM(O89:O128)</f>
        <v>4775.32</v>
      </c>
      <c r="P88" s="724">
        <f t="shared" ref="P88:R88" si="183">SUM(P89:P128)</f>
        <v>0</v>
      </c>
      <c r="Q88" s="724">
        <f t="shared" si="183"/>
        <v>4775.32</v>
      </c>
      <c r="R88" s="724">
        <f t="shared" si="183"/>
        <v>14599.499999999998</v>
      </c>
      <c r="S88" s="731">
        <f>SUM(S89:S128)</f>
        <v>229889210</v>
      </c>
      <c r="T88" s="723">
        <f>SUM(T89:T128)</f>
        <v>3349</v>
      </c>
      <c r="U88" s="724">
        <f>SUM(U89:U128)</f>
        <v>1128.8600000000001</v>
      </c>
      <c r="V88" s="724">
        <f t="shared" ref="V88:X88" si="184">SUM(V89:V128)</f>
        <v>1445.3600000000001</v>
      </c>
      <c r="W88" s="724">
        <f t="shared" si="184"/>
        <v>2574.2199999999998</v>
      </c>
      <c r="X88" s="724">
        <f t="shared" si="184"/>
        <v>1010.1400000000001</v>
      </c>
      <c r="Y88" s="731">
        <f>SUM(Y89:Y128)</f>
        <v>24287357.529999997</v>
      </c>
      <c r="Z88" s="723">
        <f>SUM(Z89:Z128)</f>
        <v>998</v>
      </c>
      <c r="AA88" s="724">
        <f>SUM(AA89:AA128)</f>
        <v>36.25</v>
      </c>
      <c r="AB88" s="724">
        <f t="shared" ref="AB88:AD88" si="185">SUM(AB89:AB128)</f>
        <v>606.4</v>
      </c>
      <c r="AC88" s="724">
        <f t="shared" si="185"/>
        <v>642.65</v>
      </c>
      <c r="AD88" s="724">
        <f t="shared" si="185"/>
        <v>538.39</v>
      </c>
      <c r="AE88" s="731">
        <f>SUM(AE89:AE128)</f>
        <v>7244808</v>
      </c>
      <c r="AF88" s="730">
        <f>SUM(AF89:AF128)</f>
        <v>40</v>
      </c>
      <c r="AG88" s="724">
        <f>SUM(AG89:AG128)</f>
        <v>0</v>
      </c>
      <c r="AH88" s="724">
        <f t="shared" ref="AH88" si="186">SUM(AH89:AH128)</f>
        <v>40</v>
      </c>
      <c r="AI88" s="724">
        <f t="shared" ref="AI88" si="187">SUM(AI89:AI128)</f>
        <v>40</v>
      </c>
      <c r="AJ88" s="724">
        <f t="shared" ref="AJ88" si="188">SUM(AJ89:AJ128)</f>
        <v>65.599999999999994</v>
      </c>
      <c r="AK88" s="725">
        <f>SUM(AK89:AK128)</f>
        <v>918400</v>
      </c>
      <c r="AL88" s="723">
        <f>SUM(AL89:AL128)</f>
        <v>0</v>
      </c>
      <c r="AM88" s="724">
        <f>SUM(AM89:AM128)</f>
        <v>0</v>
      </c>
      <c r="AN88" s="724">
        <f t="shared" ref="AN88:AP88" si="189">SUM(AN89:AN128)</f>
        <v>0</v>
      </c>
      <c r="AO88" s="724">
        <f t="shared" si="189"/>
        <v>0</v>
      </c>
      <c r="AP88" s="724">
        <f t="shared" si="189"/>
        <v>0</v>
      </c>
      <c r="AQ88" s="731">
        <f>SUM(AQ89:AQ128)</f>
        <v>0</v>
      </c>
      <c r="AR88" s="730">
        <f>SUM(AR89:AR128)</f>
        <v>0</v>
      </c>
      <c r="AS88" s="724">
        <f>SUM(AS89:AS128)</f>
        <v>0</v>
      </c>
      <c r="AT88" s="724">
        <f t="shared" ref="AT88" si="190">SUM(AT89:AT128)</f>
        <v>0</v>
      </c>
      <c r="AU88" s="724">
        <f t="shared" ref="AU88" si="191">SUM(AU89:AU128)</f>
        <v>0</v>
      </c>
      <c r="AV88" s="724">
        <f t="shared" ref="AV88" si="192">SUM(AV89:AV128)</f>
        <v>0</v>
      </c>
      <c r="AW88" s="725">
        <f>SUM(AW89:AW128)</f>
        <v>0</v>
      </c>
      <c r="AX88" s="723">
        <f>SUM(AX89:AX128)</f>
        <v>1490</v>
      </c>
      <c r="AY88" s="724">
        <f>SUM(AY89:AY128)</f>
        <v>56</v>
      </c>
      <c r="AZ88" s="724">
        <f t="shared" ref="AZ88" si="193">SUM(AZ89:AZ128)</f>
        <v>1524.19</v>
      </c>
      <c r="BA88" s="724">
        <f t="shared" ref="BA88" si="194">SUM(BA89:BA128)</f>
        <v>1580.19</v>
      </c>
      <c r="BB88" s="724">
        <f t="shared" ref="BB88" si="195">SUM(BB89:BB128)</f>
        <v>2101.35</v>
      </c>
      <c r="BC88" s="731">
        <f>SUM(BC89:BC128)</f>
        <v>45893750.310000002</v>
      </c>
      <c r="BD88" s="730">
        <f>SUM(BD89:BD128)</f>
        <v>2278</v>
      </c>
      <c r="BE88" s="724">
        <f>SUM(BE89:BE128)</f>
        <v>351.80000000000007</v>
      </c>
      <c r="BF88" s="724">
        <f t="shared" ref="BF88" si="196">SUM(BF89:BF128)</f>
        <v>1257.21</v>
      </c>
      <c r="BG88" s="724">
        <f t="shared" ref="BG88" si="197">SUM(BG89:BG128)</f>
        <v>1609.0099999999998</v>
      </c>
      <c r="BH88" s="724">
        <f t="shared" ref="BH88" si="198">SUM(BH89:BH128)</f>
        <v>2031.76</v>
      </c>
      <c r="BI88" s="725">
        <f>SUM(BI89:BI128)</f>
        <v>31627506.280000001</v>
      </c>
      <c r="BJ88" s="723">
        <f>SUM(BJ89:BJ128)</f>
        <v>2191</v>
      </c>
      <c r="BK88" s="724">
        <f>SUM(BK89:BK128)</f>
        <v>47.75</v>
      </c>
      <c r="BL88" s="724">
        <f t="shared" ref="BL88" si="199">SUM(BL89:BL128)</f>
        <v>1771.3400000000001</v>
      </c>
      <c r="BM88" s="724">
        <f t="shared" ref="BM88" si="200">SUM(BM89:BM128)</f>
        <v>1819.0900000000001</v>
      </c>
      <c r="BN88" s="724">
        <f t="shared" ref="BN88" si="201">SUM(BN89:BN128)</f>
        <v>3119.3199999999997</v>
      </c>
      <c r="BO88" s="731">
        <f>SUM(BO89:BO128)</f>
        <v>56995970.350000001</v>
      </c>
      <c r="BP88" s="723">
        <f>SUM(BP89:BP128)</f>
        <v>542</v>
      </c>
      <c r="BQ88" s="724">
        <f>SUM(BQ89:BQ128)</f>
        <v>53.26</v>
      </c>
      <c r="BR88" s="724">
        <f t="shared" ref="BR88" si="202">SUM(BR89:BR128)</f>
        <v>330.98</v>
      </c>
      <c r="BS88" s="724">
        <f t="shared" ref="BS88" si="203">SUM(BS89:BS128)</f>
        <v>384.24</v>
      </c>
      <c r="BT88" s="724">
        <f t="shared" ref="BT88" si="204">SUM(BT89:BT128)</f>
        <v>778.72</v>
      </c>
      <c r="BU88" s="731">
        <f>SUM(BU89:BU128)</f>
        <v>9979157.3499999996</v>
      </c>
      <c r="BV88" s="723">
        <f>SUM(BV89:BV128)</f>
        <v>3471</v>
      </c>
      <c r="BW88" s="724">
        <f>SUM(BW89:BW128)</f>
        <v>494602.72</v>
      </c>
      <c r="BX88" s="724">
        <f t="shared" ref="BX88" si="205">SUM(BX89:BX128)</f>
        <v>1664.83</v>
      </c>
      <c r="BY88" s="724">
        <f t="shared" ref="BY88" si="206">SUM(BY89:BY128)</f>
        <v>496267.55</v>
      </c>
      <c r="BZ88" s="724">
        <f t="shared" ref="BZ88" si="207">SUM(BZ89:BZ128)</f>
        <v>9249.89</v>
      </c>
      <c r="CA88" s="731">
        <f>SUM(CA89:CA128)</f>
        <v>119493708.36999999</v>
      </c>
      <c r="CB88" s="723">
        <f>SUM(CB89:CB128)</f>
        <v>1613</v>
      </c>
      <c r="CC88" s="724">
        <f>SUM(CC89:CC128)</f>
        <v>1278.0999999999999</v>
      </c>
      <c r="CD88" s="724">
        <f t="shared" ref="CD88" si="208">SUM(CD89:CD128)</f>
        <v>261.33</v>
      </c>
      <c r="CE88" s="724">
        <f t="shared" ref="CE88" si="209">SUM(CE89:CE128)</f>
        <v>1539.4299999999998</v>
      </c>
      <c r="CF88" s="724">
        <f t="shared" ref="CF88" si="210">SUM(CF89:CF128)</f>
        <v>3278.3500000000004</v>
      </c>
      <c r="CG88" s="731">
        <f>SUM(CG89:CG128)</f>
        <v>43471387.129999995</v>
      </c>
      <c r="CH88" s="723">
        <f>SUM(CH89:CH128)</f>
        <v>386</v>
      </c>
      <c r="CI88" s="724">
        <f>SUM(CI89:CI128)</f>
        <v>233.04999999999998</v>
      </c>
      <c r="CJ88" s="724">
        <f t="shared" ref="CJ88" si="211">SUM(CJ89:CJ128)</f>
        <v>121.12</v>
      </c>
      <c r="CK88" s="724">
        <f t="shared" ref="CK88" si="212">SUM(CK89:CK128)</f>
        <v>354.16999999999996</v>
      </c>
      <c r="CL88" s="724">
        <f t="shared" ref="CL88" si="213">SUM(CL89:CL128)</f>
        <v>703.54000000000008</v>
      </c>
      <c r="CM88" s="731">
        <f>SUM(CM89:CM128)</f>
        <v>10812021.810000001</v>
      </c>
    </row>
    <row r="89" spans="1:91" x14ac:dyDescent="0.25">
      <c r="A89" s="719" t="s">
        <v>402</v>
      </c>
      <c r="E89" s="3">
        <f t="shared" ref="E89:E128" si="214">SUM(C89:D89)</f>
        <v>0</v>
      </c>
      <c r="H89" s="707"/>
      <c r="K89" s="3">
        <f t="shared" ref="K89:K128" si="215">SUM(I89:J89)</f>
        <v>0</v>
      </c>
      <c r="N89" s="707">
        <v>47</v>
      </c>
      <c r="O89" s="3">
        <v>35.5</v>
      </c>
      <c r="Q89" s="3">
        <f t="shared" ref="Q89:Q128" si="216">SUM(O89:P89)</f>
        <v>35.5</v>
      </c>
      <c r="R89" s="3">
        <v>124.25</v>
      </c>
      <c r="S89" s="4">
        <v>2112250</v>
      </c>
      <c r="T89" s="707"/>
      <c r="W89" s="3">
        <f t="shared" ref="W89:W128" si="217">SUM(U89:V89)</f>
        <v>0</v>
      </c>
      <c r="Y89" s="4"/>
      <c r="Z89" s="707"/>
      <c r="AC89" s="3">
        <f t="shared" ref="AC89:AC128" si="218">SUM(AA89:AB89)</f>
        <v>0</v>
      </c>
      <c r="AE89" s="4"/>
      <c r="AI89" s="3">
        <f t="shared" ref="AI89:AI95" si="219">SUM(AG89:AH89)</f>
        <v>0</v>
      </c>
      <c r="AL89" s="707"/>
      <c r="AO89" s="3">
        <f t="shared" ref="AO89:AO128" si="220">SUM(AM89:AN89)</f>
        <v>0</v>
      </c>
      <c r="AQ89" s="4"/>
      <c r="AU89" s="3">
        <f t="shared" ref="AU89:AU128" si="221">SUM(AS89:AT89)</f>
        <v>0</v>
      </c>
      <c r="AX89" s="707"/>
      <c r="BA89" s="3">
        <f t="shared" ref="BA89:BA128" si="222">SUM(AY89:AZ89)</f>
        <v>0</v>
      </c>
      <c r="BC89" s="4"/>
      <c r="BG89" s="3">
        <f t="shared" ref="BG89:BG128" si="223">SUM(BE89:BF89)</f>
        <v>0</v>
      </c>
      <c r="BJ89" s="707"/>
      <c r="BM89" s="3">
        <f t="shared" ref="BM89:BM128" si="224">SUM(BK89:BL89)</f>
        <v>0</v>
      </c>
      <c r="BO89" s="4"/>
      <c r="BP89" s="707"/>
      <c r="BS89" s="3">
        <f t="shared" ref="BS89:BS126" si="225">SUM(BQ89:BR89)</f>
        <v>0</v>
      </c>
      <c r="BU89" s="4"/>
      <c r="BV89" s="707"/>
      <c r="BY89" s="3">
        <f t="shared" ref="BY89:BY127" si="226">SUM(BW89:BX89)</f>
        <v>0</v>
      </c>
      <c r="CA89" s="4"/>
      <c r="CB89" s="707"/>
      <c r="CE89" s="3">
        <f t="shared" ref="CE89:CE127" si="227">SUM(CC89:CD89)</f>
        <v>0</v>
      </c>
      <c r="CG89" s="4"/>
      <c r="CH89" s="707"/>
      <c r="CK89" s="3">
        <f t="shared" ref="CK89:CK126" si="228">SUM(CI89:CJ89)</f>
        <v>0</v>
      </c>
      <c r="CM89" s="4"/>
    </row>
    <row r="90" spans="1:91" x14ac:dyDescent="0.25">
      <c r="A90" s="719" t="s">
        <v>403</v>
      </c>
      <c r="E90" s="3">
        <f t="shared" si="214"/>
        <v>0</v>
      </c>
      <c r="H90" s="707">
        <v>883</v>
      </c>
      <c r="I90" s="3">
        <v>235.9</v>
      </c>
      <c r="J90" s="3">
        <v>85.63</v>
      </c>
      <c r="K90" s="3">
        <f t="shared" si="215"/>
        <v>321.52999999999997</v>
      </c>
      <c r="L90" s="3">
        <v>1219.4100000000001</v>
      </c>
      <c r="M90" s="3">
        <v>24388242</v>
      </c>
      <c r="N90" s="707"/>
      <c r="Q90" s="3">
        <f t="shared" si="216"/>
        <v>0</v>
      </c>
      <c r="S90" s="4"/>
      <c r="T90" s="707">
        <v>687</v>
      </c>
      <c r="U90" s="3">
        <v>589</v>
      </c>
      <c r="W90" s="3">
        <f t="shared" si="217"/>
        <v>589</v>
      </c>
      <c r="Y90" s="4">
        <v>801040</v>
      </c>
      <c r="Z90" s="707">
        <v>100</v>
      </c>
      <c r="AB90" s="3">
        <v>45.25</v>
      </c>
      <c r="AC90" s="3">
        <f t="shared" si="218"/>
        <v>45.25</v>
      </c>
      <c r="AD90" s="3">
        <v>5.29</v>
      </c>
      <c r="AE90" s="4">
        <v>84708</v>
      </c>
      <c r="AI90" s="3">
        <f t="shared" si="219"/>
        <v>0</v>
      </c>
      <c r="AL90" s="707"/>
      <c r="AO90" s="3">
        <f t="shared" si="220"/>
        <v>0</v>
      </c>
      <c r="AQ90" s="4"/>
      <c r="AU90" s="3">
        <f t="shared" si="221"/>
        <v>0</v>
      </c>
      <c r="AX90" s="707">
        <v>140</v>
      </c>
      <c r="AZ90" s="3">
        <v>100</v>
      </c>
      <c r="BA90" s="3">
        <f t="shared" si="222"/>
        <v>100</v>
      </c>
      <c r="BB90" s="3">
        <v>280</v>
      </c>
      <c r="BC90" s="4">
        <v>5880000</v>
      </c>
      <c r="BG90" s="3">
        <f t="shared" si="223"/>
        <v>0</v>
      </c>
      <c r="BJ90" s="707">
        <v>30</v>
      </c>
      <c r="BL90" s="3">
        <v>25</v>
      </c>
      <c r="BM90" s="3">
        <f t="shared" si="224"/>
        <v>25</v>
      </c>
      <c r="BN90" s="3">
        <v>50</v>
      </c>
      <c r="BO90" s="4">
        <v>850000</v>
      </c>
      <c r="BP90" s="707"/>
      <c r="BS90" s="3">
        <f t="shared" si="225"/>
        <v>0</v>
      </c>
      <c r="BU90" s="4"/>
      <c r="BV90" s="707"/>
      <c r="BY90" s="3">
        <f t="shared" si="226"/>
        <v>0</v>
      </c>
      <c r="CA90" s="4"/>
      <c r="CB90" s="707">
        <v>10</v>
      </c>
      <c r="CD90" s="3">
        <v>7.5</v>
      </c>
      <c r="CE90" s="3">
        <f t="shared" si="227"/>
        <v>7.5</v>
      </c>
      <c r="CF90" s="3">
        <v>6.38</v>
      </c>
      <c r="CG90" s="4">
        <v>70125</v>
      </c>
      <c r="CH90" s="707"/>
      <c r="CK90" s="3">
        <f t="shared" si="228"/>
        <v>0</v>
      </c>
      <c r="CM90" s="4"/>
    </row>
    <row r="91" spans="1:91" x14ac:dyDescent="0.25">
      <c r="A91" s="719" t="s">
        <v>404</v>
      </c>
      <c r="E91" s="3">
        <f t="shared" si="214"/>
        <v>0</v>
      </c>
      <c r="H91" s="707">
        <v>381</v>
      </c>
      <c r="I91" s="3">
        <v>290.81</v>
      </c>
      <c r="J91" s="3">
        <v>91.23</v>
      </c>
      <c r="K91" s="3">
        <f t="shared" si="215"/>
        <v>382.04</v>
      </c>
      <c r="L91" s="3">
        <v>1651.56</v>
      </c>
      <c r="M91" s="3">
        <v>24773358</v>
      </c>
      <c r="N91" s="707">
        <v>483</v>
      </c>
      <c r="O91" s="3">
        <v>450</v>
      </c>
      <c r="Q91" s="3">
        <f t="shared" si="216"/>
        <v>450</v>
      </c>
      <c r="R91" s="3">
        <v>1755</v>
      </c>
      <c r="S91" s="4">
        <v>21060000</v>
      </c>
      <c r="T91" s="707"/>
      <c r="W91" s="3">
        <f t="shared" si="217"/>
        <v>0</v>
      </c>
      <c r="Y91" s="4"/>
      <c r="Z91" s="707"/>
      <c r="AC91" s="3">
        <f t="shared" si="218"/>
        <v>0</v>
      </c>
      <c r="AE91" s="4"/>
      <c r="AI91" s="3">
        <f t="shared" si="219"/>
        <v>0</v>
      </c>
      <c r="AL91" s="707"/>
      <c r="AO91" s="3">
        <f t="shared" si="220"/>
        <v>0</v>
      </c>
      <c r="AQ91" s="4"/>
      <c r="AU91" s="3">
        <f t="shared" si="221"/>
        <v>0</v>
      </c>
      <c r="AX91" s="707"/>
      <c r="BA91" s="3">
        <f t="shared" si="222"/>
        <v>0</v>
      </c>
      <c r="BC91" s="4"/>
      <c r="BD91" s="3">
        <v>326</v>
      </c>
      <c r="BF91" s="3">
        <v>183</v>
      </c>
      <c r="BG91" s="3">
        <f t="shared" si="223"/>
        <v>183</v>
      </c>
      <c r="BH91" s="3">
        <v>262.66000000000003</v>
      </c>
      <c r="BI91" s="3">
        <v>3151927.5</v>
      </c>
      <c r="BJ91" s="707">
        <v>802</v>
      </c>
      <c r="BL91" s="3">
        <v>467.13</v>
      </c>
      <c r="BM91" s="3">
        <f t="shared" si="224"/>
        <v>467.13</v>
      </c>
      <c r="BN91" s="3">
        <v>816.75</v>
      </c>
      <c r="BO91" s="4">
        <v>14701570.48</v>
      </c>
      <c r="BP91" s="707">
        <v>78</v>
      </c>
      <c r="BR91" s="3">
        <v>42.25</v>
      </c>
      <c r="BS91" s="3">
        <f t="shared" si="225"/>
        <v>42.25</v>
      </c>
      <c r="BT91" s="3">
        <v>75.08</v>
      </c>
      <c r="BU91" s="4">
        <v>1013613.75</v>
      </c>
      <c r="BV91" s="707">
        <v>372</v>
      </c>
      <c r="BX91" s="3">
        <v>179.1</v>
      </c>
      <c r="BY91" s="3">
        <f t="shared" si="226"/>
        <v>179.1</v>
      </c>
      <c r="BZ91" s="3">
        <v>361.07</v>
      </c>
      <c r="CA91" s="4">
        <v>4874385.5999999996</v>
      </c>
      <c r="CB91" s="707"/>
      <c r="CE91" s="3">
        <f t="shared" si="227"/>
        <v>0</v>
      </c>
      <c r="CG91" s="4"/>
      <c r="CH91" s="707">
        <v>77</v>
      </c>
      <c r="CJ91" s="3">
        <v>35.57</v>
      </c>
      <c r="CK91" s="3">
        <f t="shared" si="228"/>
        <v>35.57</v>
      </c>
      <c r="CL91" s="3">
        <v>51.04</v>
      </c>
      <c r="CM91" s="4">
        <v>663558.35</v>
      </c>
    </row>
    <row r="92" spans="1:91" x14ac:dyDescent="0.25">
      <c r="A92" s="719" t="s">
        <v>405</v>
      </c>
      <c r="E92" s="3">
        <f t="shared" si="214"/>
        <v>0</v>
      </c>
      <c r="H92" s="707"/>
      <c r="K92" s="3">
        <f t="shared" si="215"/>
        <v>0</v>
      </c>
      <c r="N92" s="707"/>
      <c r="Q92" s="3">
        <f t="shared" si="216"/>
        <v>0</v>
      </c>
      <c r="S92" s="4"/>
      <c r="T92" s="707"/>
      <c r="W92" s="3">
        <f t="shared" si="217"/>
        <v>0</v>
      </c>
      <c r="Y92" s="4"/>
      <c r="Z92" s="707"/>
      <c r="AC92" s="3">
        <f t="shared" si="218"/>
        <v>0</v>
      </c>
      <c r="AE92" s="4"/>
      <c r="AI92" s="3">
        <f t="shared" si="219"/>
        <v>0</v>
      </c>
      <c r="AL92" s="707"/>
      <c r="AO92" s="3">
        <f t="shared" si="220"/>
        <v>0</v>
      </c>
      <c r="AQ92" s="4"/>
      <c r="AU92" s="3">
        <f t="shared" si="221"/>
        <v>0</v>
      </c>
      <c r="AX92" s="707"/>
      <c r="BA92" s="3">
        <f t="shared" si="222"/>
        <v>0</v>
      </c>
      <c r="BC92" s="4"/>
      <c r="BG92" s="3">
        <f t="shared" si="223"/>
        <v>0</v>
      </c>
      <c r="BJ92" s="707"/>
      <c r="BM92" s="3">
        <f t="shared" si="224"/>
        <v>0</v>
      </c>
      <c r="BO92" s="4"/>
      <c r="BP92" s="707"/>
      <c r="BS92" s="3">
        <f t="shared" si="225"/>
        <v>0</v>
      </c>
      <c r="BU92" s="4"/>
      <c r="BV92" s="707"/>
      <c r="BY92" s="3">
        <f t="shared" si="226"/>
        <v>0</v>
      </c>
      <c r="CA92" s="4"/>
      <c r="CB92" s="707"/>
      <c r="CE92" s="3">
        <f t="shared" si="227"/>
        <v>0</v>
      </c>
      <c r="CG92" s="4"/>
      <c r="CH92" s="707">
        <v>51</v>
      </c>
      <c r="CI92" s="3">
        <v>47</v>
      </c>
      <c r="CK92" s="3">
        <f t="shared" si="228"/>
        <v>47</v>
      </c>
      <c r="CL92" s="3">
        <v>30</v>
      </c>
      <c r="CM92" s="4">
        <v>830000</v>
      </c>
    </row>
    <row r="93" spans="1:91" x14ac:dyDescent="0.25">
      <c r="A93" s="719" t="s">
        <v>406</v>
      </c>
      <c r="E93" s="3">
        <f t="shared" si="214"/>
        <v>0</v>
      </c>
      <c r="H93" s="707"/>
      <c r="K93" s="3">
        <f t="shared" si="215"/>
        <v>0</v>
      </c>
      <c r="N93" s="707">
        <v>735</v>
      </c>
      <c r="O93" s="3">
        <v>742</v>
      </c>
      <c r="Q93" s="3">
        <f t="shared" si="216"/>
        <v>742</v>
      </c>
      <c r="R93" s="3">
        <v>2745.4</v>
      </c>
      <c r="S93" s="4">
        <v>32944800</v>
      </c>
      <c r="T93" s="707">
        <v>4</v>
      </c>
      <c r="U93" s="3">
        <v>1.5</v>
      </c>
      <c r="W93" s="3">
        <f t="shared" si="217"/>
        <v>1.5</v>
      </c>
      <c r="Y93" s="4">
        <v>17490</v>
      </c>
      <c r="Z93" s="707"/>
      <c r="AC93" s="3">
        <f t="shared" si="218"/>
        <v>0</v>
      </c>
      <c r="AE93" s="4"/>
      <c r="AI93" s="3">
        <f t="shared" si="219"/>
        <v>0</v>
      </c>
      <c r="AL93" s="707"/>
      <c r="AO93" s="3">
        <f t="shared" si="220"/>
        <v>0</v>
      </c>
      <c r="AQ93" s="4"/>
      <c r="AU93" s="3">
        <f t="shared" si="221"/>
        <v>0</v>
      </c>
      <c r="AX93" s="707">
        <v>1267</v>
      </c>
      <c r="AZ93" s="3">
        <v>1266.82</v>
      </c>
      <c r="BA93" s="3">
        <f t="shared" si="222"/>
        <v>1266.82</v>
      </c>
      <c r="BB93" s="3">
        <v>1318.51</v>
      </c>
      <c r="BC93" s="4">
        <v>29007254.079999998</v>
      </c>
      <c r="BG93" s="3">
        <f t="shared" si="223"/>
        <v>0</v>
      </c>
      <c r="BJ93" s="707">
        <v>3</v>
      </c>
      <c r="BL93" s="3">
        <v>3</v>
      </c>
      <c r="BM93" s="3">
        <f t="shared" si="224"/>
        <v>3</v>
      </c>
      <c r="BN93" s="3">
        <v>7.5</v>
      </c>
      <c r="BO93" s="4">
        <v>127500</v>
      </c>
      <c r="BP93" s="707"/>
      <c r="BS93" s="3">
        <f t="shared" si="225"/>
        <v>0</v>
      </c>
      <c r="BU93" s="4"/>
      <c r="BV93" s="707">
        <v>13</v>
      </c>
      <c r="BX93" s="3">
        <v>13</v>
      </c>
      <c r="BY93" s="3">
        <f t="shared" si="226"/>
        <v>13</v>
      </c>
      <c r="BZ93" s="3">
        <v>32.5</v>
      </c>
      <c r="CA93" s="4">
        <v>617500</v>
      </c>
      <c r="CB93" s="707"/>
      <c r="CE93" s="3">
        <f t="shared" si="227"/>
        <v>0</v>
      </c>
      <c r="CG93" s="4"/>
      <c r="CH93" s="707">
        <v>2</v>
      </c>
      <c r="CI93" s="3">
        <v>2</v>
      </c>
      <c r="CK93" s="3">
        <f t="shared" si="228"/>
        <v>2</v>
      </c>
      <c r="CL93" s="3">
        <v>8</v>
      </c>
      <c r="CM93" s="4">
        <v>152000</v>
      </c>
    </row>
    <row r="94" spans="1:91" x14ac:dyDescent="0.25">
      <c r="A94" s="719" t="s">
        <v>407</v>
      </c>
      <c r="E94" s="3">
        <f t="shared" si="214"/>
        <v>0</v>
      </c>
      <c r="H94" s="707"/>
      <c r="K94" s="3">
        <f t="shared" si="215"/>
        <v>0</v>
      </c>
      <c r="N94" s="707"/>
      <c r="Q94" s="3">
        <f t="shared" si="216"/>
        <v>0</v>
      </c>
      <c r="S94" s="4"/>
      <c r="T94" s="707"/>
      <c r="W94" s="3">
        <f t="shared" si="217"/>
        <v>0</v>
      </c>
      <c r="Y94" s="4"/>
      <c r="Z94" s="707"/>
      <c r="AC94" s="3">
        <f t="shared" si="218"/>
        <v>0</v>
      </c>
      <c r="AE94" s="4"/>
      <c r="AI94" s="3">
        <f t="shared" si="219"/>
        <v>0</v>
      </c>
      <c r="AL94" s="707"/>
      <c r="AO94" s="3">
        <f t="shared" si="220"/>
        <v>0</v>
      </c>
      <c r="AQ94" s="4"/>
      <c r="AU94" s="3">
        <f t="shared" si="221"/>
        <v>0</v>
      </c>
      <c r="AX94" s="707"/>
      <c r="BA94" s="3">
        <f t="shared" si="222"/>
        <v>0</v>
      </c>
      <c r="BC94" s="4"/>
      <c r="BG94" s="3">
        <f t="shared" si="223"/>
        <v>0</v>
      </c>
      <c r="BJ94" s="707">
        <v>23</v>
      </c>
      <c r="BK94" s="3">
        <v>1</v>
      </c>
      <c r="BL94" s="3">
        <v>26.23</v>
      </c>
      <c r="BM94" s="3">
        <f t="shared" si="224"/>
        <v>27.23</v>
      </c>
      <c r="BN94" s="3">
        <v>77.48</v>
      </c>
      <c r="BO94" s="4">
        <v>1203469</v>
      </c>
      <c r="BP94" s="707"/>
      <c r="BS94" s="3">
        <f t="shared" si="225"/>
        <v>0</v>
      </c>
      <c r="BU94" s="4"/>
      <c r="BV94" s="707"/>
      <c r="BY94" s="3">
        <f t="shared" si="226"/>
        <v>0</v>
      </c>
      <c r="CA94" s="4"/>
      <c r="CB94" s="707"/>
      <c r="CE94" s="3">
        <f t="shared" si="227"/>
        <v>0</v>
      </c>
      <c r="CG94" s="4"/>
      <c r="CH94" s="707">
        <v>6</v>
      </c>
      <c r="CI94" s="3">
        <v>4.5</v>
      </c>
      <c r="CK94" s="3">
        <f t="shared" si="228"/>
        <v>4.5</v>
      </c>
      <c r="CM94" s="4">
        <v>9000</v>
      </c>
    </row>
    <row r="95" spans="1:91" x14ac:dyDescent="0.25">
      <c r="A95" s="719" t="s">
        <v>408</v>
      </c>
      <c r="E95" s="3">
        <f t="shared" si="214"/>
        <v>0</v>
      </c>
      <c r="H95" s="707"/>
      <c r="K95" s="3">
        <f t="shared" si="215"/>
        <v>0</v>
      </c>
      <c r="N95" s="707">
        <v>662</v>
      </c>
      <c r="O95" s="3">
        <v>710</v>
      </c>
      <c r="Q95" s="3">
        <f t="shared" si="216"/>
        <v>710</v>
      </c>
      <c r="R95" s="3">
        <v>2485</v>
      </c>
      <c r="S95" s="4">
        <v>42245000</v>
      </c>
      <c r="T95" s="707">
        <v>15</v>
      </c>
      <c r="U95" s="3">
        <v>13</v>
      </c>
      <c r="V95" s="3">
        <v>3</v>
      </c>
      <c r="W95" s="3">
        <f t="shared" si="217"/>
        <v>16</v>
      </c>
      <c r="X95" s="3">
        <v>6.98</v>
      </c>
      <c r="Y95" s="4">
        <v>161475</v>
      </c>
      <c r="Z95" s="707"/>
      <c r="AC95" s="3">
        <f t="shared" si="218"/>
        <v>0</v>
      </c>
      <c r="AE95" s="4"/>
      <c r="AI95" s="3">
        <f t="shared" si="219"/>
        <v>0</v>
      </c>
      <c r="AL95" s="707"/>
      <c r="AO95" s="3">
        <f t="shared" si="220"/>
        <v>0</v>
      </c>
      <c r="AQ95" s="4"/>
      <c r="AU95" s="3">
        <f t="shared" si="221"/>
        <v>0</v>
      </c>
      <c r="AX95" s="707"/>
      <c r="BA95" s="3">
        <f t="shared" si="222"/>
        <v>0</v>
      </c>
      <c r="BC95" s="4"/>
      <c r="BD95" s="3">
        <v>64</v>
      </c>
      <c r="BE95" s="3">
        <v>52.15</v>
      </c>
      <c r="BF95" s="3">
        <v>30.5</v>
      </c>
      <c r="BG95" s="3">
        <f t="shared" si="223"/>
        <v>82.65</v>
      </c>
      <c r="BH95" s="3">
        <v>22.22</v>
      </c>
      <c r="BI95" s="3">
        <v>1420157.5</v>
      </c>
      <c r="BJ95" s="707">
        <v>57</v>
      </c>
      <c r="BK95" s="3">
        <v>20</v>
      </c>
      <c r="BL95" s="3">
        <v>114.5</v>
      </c>
      <c r="BM95" s="3">
        <f t="shared" si="224"/>
        <v>134.5</v>
      </c>
      <c r="BN95" s="3">
        <v>298.27999999999997</v>
      </c>
      <c r="BO95" s="4">
        <v>6770760</v>
      </c>
      <c r="BP95" s="707"/>
      <c r="BS95" s="3">
        <f t="shared" si="225"/>
        <v>0</v>
      </c>
      <c r="BU95" s="4"/>
      <c r="BV95" s="707">
        <v>55</v>
      </c>
      <c r="BW95" s="3">
        <v>65.25</v>
      </c>
      <c r="BX95" s="3">
        <v>1</v>
      </c>
      <c r="BY95" s="3">
        <f t="shared" si="226"/>
        <v>66.25</v>
      </c>
      <c r="BZ95" s="3">
        <v>4.05</v>
      </c>
      <c r="CA95" s="4">
        <v>533604.5</v>
      </c>
      <c r="CB95" s="707">
        <v>3</v>
      </c>
      <c r="CC95" s="3">
        <v>0.3</v>
      </c>
      <c r="CD95" s="3">
        <v>1.03</v>
      </c>
      <c r="CE95" s="3">
        <f t="shared" si="227"/>
        <v>1.33</v>
      </c>
      <c r="CF95" s="3">
        <v>3.9</v>
      </c>
      <c r="CG95" s="4">
        <v>31020</v>
      </c>
      <c r="CH95" s="707"/>
      <c r="CK95" s="3">
        <f t="shared" si="228"/>
        <v>0</v>
      </c>
      <c r="CM95" s="4"/>
    </row>
    <row r="96" spans="1:91" x14ac:dyDescent="0.25">
      <c r="A96" s="719" t="s">
        <v>409</v>
      </c>
      <c r="E96" s="3">
        <f t="shared" si="214"/>
        <v>0</v>
      </c>
      <c r="H96" s="707"/>
      <c r="K96" s="3">
        <f t="shared" si="215"/>
        <v>0</v>
      </c>
      <c r="N96" s="707"/>
      <c r="Q96" s="3">
        <f t="shared" si="216"/>
        <v>0</v>
      </c>
      <c r="S96" s="4"/>
      <c r="T96" s="707"/>
      <c r="W96" s="3">
        <f t="shared" si="217"/>
        <v>0</v>
      </c>
      <c r="Y96" s="4"/>
      <c r="Z96" s="707"/>
      <c r="AC96" s="3">
        <f t="shared" si="218"/>
        <v>0</v>
      </c>
      <c r="AE96" s="4"/>
      <c r="AF96" s="720">
        <v>40</v>
      </c>
      <c r="AG96" s="720"/>
      <c r="AH96" s="732">
        <v>40</v>
      </c>
      <c r="AI96" s="732">
        <v>40</v>
      </c>
      <c r="AJ96" s="720">
        <v>65.599999999999994</v>
      </c>
      <c r="AK96" s="732">
        <v>918400</v>
      </c>
      <c r="AL96" s="707"/>
      <c r="AO96" s="3">
        <f t="shared" si="220"/>
        <v>0</v>
      </c>
      <c r="AQ96" s="4"/>
      <c r="AR96" s="720"/>
      <c r="AS96" s="720"/>
      <c r="AT96" s="732"/>
      <c r="AU96" s="732"/>
      <c r="AV96" s="720"/>
      <c r="AW96" s="733"/>
      <c r="AX96" s="707"/>
      <c r="BA96" s="3">
        <f t="shared" si="222"/>
        <v>0</v>
      </c>
      <c r="BC96" s="4"/>
      <c r="BG96" s="3">
        <f t="shared" si="223"/>
        <v>0</v>
      </c>
      <c r="BJ96" s="707">
        <v>3</v>
      </c>
      <c r="BK96" s="3">
        <v>1.5</v>
      </c>
      <c r="BM96" s="3">
        <f t="shared" si="224"/>
        <v>1.5</v>
      </c>
      <c r="BO96" s="4">
        <v>36000</v>
      </c>
      <c r="BP96" s="707"/>
      <c r="BS96" s="3">
        <f t="shared" si="225"/>
        <v>0</v>
      </c>
      <c r="BU96" s="4"/>
      <c r="BV96" s="707"/>
      <c r="BY96" s="3">
        <f t="shared" si="226"/>
        <v>0</v>
      </c>
      <c r="CA96" s="4"/>
      <c r="CB96" s="707"/>
      <c r="CE96" s="3">
        <f t="shared" si="227"/>
        <v>0</v>
      </c>
      <c r="CG96" s="4"/>
      <c r="CH96" s="707"/>
      <c r="CK96" s="3">
        <f t="shared" si="228"/>
        <v>0</v>
      </c>
      <c r="CM96" s="4"/>
    </row>
    <row r="97" spans="1:91" x14ac:dyDescent="0.25">
      <c r="A97" s="719" t="s">
        <v>410</v>
      </c>
      <c r="E97" s="3">
        <f t="shared" si="214"/>
        <v>0</v>
      </c>
      <c r="H97" s="707">
        <v>37</v>
      </c>
      <c r="J97" s="3">
        <v>49</v>
      </c>
      <c r="K97" s="3">
        <f t="shared" si="215"/>
        <v>49</v>
      </c>
      <c r="L97" s="3">
        <v>101.43</v>
      </c>
      <c r="M97" s="3">
        <v>1724310</v>
      </c>
      <c r="N97" s="707">
        <v>64</v>
      </c>
      <c r="O97" s="3">
        <v>55</v>
      </c>
      <c r="Q97" s="3">
        <f t="shared" si="216"/>
        <v>55</v>
      </c>
      <c r="R97" s="3">
        <v>167.2</v>
      </c>
      <c r="S97" s="4">
        <v>2842400</v>
      </c>
      <c r="T97" s="707"/>
      <c r="W97" s="3">
        <f t="shared" si="217"/>
        <v>0</v>
      </c>
      <c r="Y97" s="4"/>
      <c r="Z97" s="707">
        <v>12</v>
      </c>
      <c r="AB97" s="3">
        <v>12</v>
      </c>
      <c r="AC97" s="3">
        <f t="shared" si="218"/>
        <v>12</v>
      </c>
      <c r="AD97" s="3">
        <v>18</v>
      </c>
      <c r="AE97" s="4">
        <v>306000</v>
      </c>
      <c r="AI97" s="3">
        <f t="shared" ref="AI97:AI128" si="229">SUM(AG97:AH97)</f>
        <v>0</v>
      </c>
      <c r="AL97" s="707"/>
      <c r="AO97" s="3">
        <f t="shared" si="220"/>
        <v>0</v>
      </c>
      <c r="AQ97" s="4"/>
      <c r="AU97" s="3">
        <f t="shared" si="221"/>
        <v>0</v>
      </c>
      <c r="AX97" s="707"/>
      <c r="BA97" s="3">
        <f t="shared" si="222"/>
        <v>0</v>
      </c>
      <c r="BC97" s="4"/>
      <c r="BG97" s="3">
        <f t="shared" si="223"/>
        <v>0</v>
      </c>
      <c r="BJ97" s="707">
        <v>59</v>
      </c>
      <c r="BK97" s="3">
        <v>22</v>
      </c>
      <c r="BL97" s="3">
        <v>36.5</v>
      </c>
      <c r="BM97" s="3">
        <f t="shared" si="224"/>
        <v>58.5</v>
      </c>
      <c r="BO97" s="4">
        <v>504000</v>
      </c>
      <c r="BP97" s="707"/>
      <c r="BS97" s="3">
        <f t="shared" si="225"/>
        <v>0</v>
      </c>
      <c r="BU97" s="4"/>
      <c r="BV97" s="707"/>
      <c r="BY97" s="3">
        <f t="shared" si="226"/>
        <v>0</v>
      </c>
      <c r="CA97" s="4"/>
      <c r="CB97" s="707"/>
      <c r="CE97" s="3">
        <f t="shared" si="227"/>
        <v>0</v>
      </c>
      <c r="CG97" s="4"/>
      <c r="CH97" s="707"/>
      <c r="CK97" s="3">
        <f t="shared" si="228"/>
        <v>0</v>
      </c>
      <c r="CM97" s="4"/>
    </row>
    <row r="98" spans="1:91" x14ac:dyDescent="0.25">
      <c r="A98" s="719" t="s">
        <v>411</v>
      </c>
      <c r="E98" s="3">
        <f t="shared" si="214"/>
        <v>0</v>
      </c>
      <c r="H98" s="707"/>
      <c r="K98" s="3">
        <f t="shared" si="215"/>
        <v>0</v>
      </c>
      <c r="N98" s="707"/>
      <c r="Q98" s="3">
        <f t="shared" si="216"/>
        <v>0</v>
      </c>
      <c r="S98" s="4"/>
      <c r="T98" s="707"/>
      <c r="W98" s="3">
        <f t="shared" si="217"/>
        <v>0</v>
      </c>
      <c r="Y98" s="4"/>
      <c r="Z98" s="707">
        <v>75</v>
      </c>
      <c r="AA98" s="3">
        <v>35</v>
      </c>
      <c r="AC98" s="3">
        <f t="shared" si="218"/>
        <v>35</v>
      </c>
      <c r="AD98" s="3">
        <v>140</v>
      </c>
      <c r="AE98" s="4">
        <v>2100000</v>
      </c>
      <c r="AI98" s="3">
        <f t="shared" si="229"/>
        <v>0</v>
      </c>
      <c r="AL98" s="707"/>
      <c r="AO98" s="3">
        <f t="shared" si="220"/>
        <v>0</v>
      </c>
      <c r="AQ98" s="4"/>
      <c r="AU98" s="3">
        <f t="shared" si="221"/>
        <v>0</v>
      </c>
      <c r="AX98" s="707"/>
      <c r="AY98" s="3">
        <v>40</v>
      </c>
      <c r="BA98" s="3">
        <f t="shared" si="222"/>
        <v>40</v>
      </c>
      <c r="BB98" s="3">
        <v>174.8</v>
      </c>
      <c r="BC98" s="4">
        <v>3670800</v>
      </c>
      <c r="BD98" s="3">
        <v>60</v>
      </c>
      <c r="BF98" s="3">
        <v>40</v>
      </c>
      <c r="BG98" s="3">
        <f t="shared" si="223"/>
        <v>40</v>
      </c>
      <c r="BH98" s="3">
        <v>33.76</v>
      </c>
      <c r="BI98" s="3">
        <v>405120</v>
      </c>
      <c r="BJ98" s="707">
        <v>94</v>
      </c>
      <c r="BL98" s="3">
        <v>79.5</v>
      </c>
      <c r="BM98" s="3">
        <f t="shared" si="224"/>
        <v>79.5</v>
      </c>
      <c r="BN98" s="3">
        <v>171.32</v>
      </c>
      <c r="BO98" s="4">
        <v>2912482.5</v>
      </c>
      <c r="BP98" s="707"/>
      <c r="BS98" s="3">
        <f t="shared" si="225"/>
        <v>0</v>
      </c>
      <c r="BU98" s="4"/>
      <c r="BV98" s="707"/>
      <c r="BY98" s="3">
        <f t="shared" si="226"/>
        <v>0</v>
      </c>
      <c r="CA98" s="4"/>
      <c r="CB98" s="707">
        <v>15</v>
      </c>
      <c r="CD98" s="3">
        <v>10</v>
      </c>
      <c r="CE98" s="3">
        <f t="shared" si="227"/>
        <v>10</v>
      </c>
      <c r="CF98" s="3">
        <v>20.5</v>
      </c>
      <c r="CG98" s="4">
        <v>348500</v>
      </c>
      <c r="CH98" s="707"/>
      <c r="CK98" s="3">
        <f t="shared" si="228"/>
        <v>0</v>
      </c>
      <c r="CM98" s="4"/>
    </row>
    <row r="99" spans="1:91" x14ac:dyDescent="0.25">
      <c r="A99" s="719" t="s">
        <v>412</v>
      </c>
      <c r="E99" s="3">
        <f t="shared" si="214"/>
        <v>0</v>
      </c>
      <c r="H99" s="707"/>
      <c r="K99" s="3">
        <f t="shared" si="215"/>
        <v>0</v>
      </c>
      <c r="N99" s="707"/>
      <c r="Q99" s="3">
        <f t="shared" si="216"/>
        <v>0</v>
      </c>
      <c r="S99" s="4"/>
      <c r="T99" s="707"/>
      <c r="W99" s="3">
        <f t="shared" si="217"/>
        <v>0</v>
      </c>
      <c r="Y99" s="4"/>
      <c r="Z99" s="707"/>
      <c r="AC99" s="3">
        <f t="shared" si="218"/>
        <v>0</v>
      </c>
      <c r="AE99" s="4"/>
      <c r="AI99" s="3">
        <f t="shared" si="229"/>
        <v>0</v>
      </c>
      <c r="AL99" s="707"/>
      <c r="AO99" s="3">
        <f t="shared" si="220"/>
        <v>0</v>
      </c>
      <c r="AQ99" s="4"/>
      <c r="AU99" s="3">
        <f t="shared" si="221"/>
        <v>0</v>
      </c>
      <c r="AX99" s="707"/>
      <c r="BA99" s="3">
        <f t="shared" si="222"/>
        <v>0</v>
      </c>
      <c r="BC99" s="4"/>
      <c r="BG99" s="3">
        <f t="shared" si="223"/>
        <v>0</v>
      </c>
      <c r="BJ99" s="707"/>
      <c r="BM99" s="3">
        <f t="shared" si="224"/>
        <v>0</v>
      </c>
      <c r="BO99" s="4"/>
      <c r="BP99" s="707"/>
      <c r="BS99" s="3">
        <f t="shared" si="225"/>
        <v>0</v>
      </c>
      <c r="BU99" s="4"/>
      <c r="BV99" s="707"/>
      <c r="BY99" s="3">
        <f t="shared" si="226"/>
        <v>0</v>
      </c>
      <c r="CA99" s="4"/>
      <c r="CB99" s="707"/>
      <c r="CE99" s="3">
        <f t="shared" si="227"/>
        <v>0</v>
      </c>
      <c r="CG99" s="4"/>
      <c r="CH99" s="707"/>
      <c r="CK99" s="3">
        <f t="shared" si="228"/>
        <v>0</v>
      </c>
      <c r="CM99" s="4"/>
    </row>
    <row r="100" spans="1:91" x14ac:dyDescent="0.25">
      <c r="A100" s="719" t="s">
        <v>413</v>
      </c>
      <c r="E100" s="3">
        <f t="shared" si="214"/>
        <v>0</v>
      </c>
      <c r="H100" s="707">
        <v>122</v>
      </c>
      <c r="J100" s="3">
        <v>120.35</v>
      </c>
      <c r="K100" s="3">
        <f t="shared" si="215"/>
        <v>120.35</v>
      </c>
      <c r="L100" s="3">
        <v>217.35</v>
      </c>
      <c r="M100" s="3">
        <v>3260302.5</v>
      </c>
      <c r="N100" s="707"/>
      <c r="Q100" s="3">
        <f t="shared" si="216"/>
        <v>0</v>
      </c>
      <c r="S100" s="4"/>
      <c r="T100" s="707"/>
      <c r="W100" s="3">
        <f t="shared" si="217"/>
        <v>0</v>
      </c>
      <c r="Y100" s="4"/>
      <c r="Z100" s="707"/>
      <c r="AC100" s="3">
        <f t="shared" si="218"/>
        <v>0</v>
      </c>
      <c r="AE100" s="4"/>
      <c r="AI100" s="3">
        <f t="shared" si="229"/>
        <v>0</v>
      </c>
      <c r="AL100" s="707"/>
      <c r="AO100" s="3">
        <f t="shared" si="220"/>
        <v>0</v>
      </c>
      <c r="AQ100" s="4"/>
      <c r="AU100" s="3">
        <f t="shared" si="221"/>
        <v>0</v>
      </c>
      <c r="AX100" s="707"/>
      <c r="BA100" s="3">
        <f t="shared" si="222"/>
        <v>0</v>
      </c>
      <c r="BC100" s="4"/>
      <c r="BG100" s="3">
        <f t="shared" si="223"/>
        <v>0</v>
      </c>
      <c r="BJ100" s="707">
        <v>9</v>
      </c>
      <c r="BK100" s="3">
        <v>2.25</v>
      </c>
      <c r="BL100" s="3">
        <v>11.25</v>
      </c>
      <c r="BM100" s="3">
        <f t="shared" si="224"/>
        <v>13.5</v>
      </c>
      <c r="BN100" s="3">
        <v>5.18</v>
      </c>
      <c r="BO100" s="4">
        <v>145227.96</v>
      </c>
      <c r="BP100" s="707"/>
      <c r="BS100" s="3">
        <f t="shared" si="225"/>
        <v>0</v>
      </c>
      <c r="BU100" s="4"/>
      <c r="BV100" s="707"/>
      <c r="BY100" s="3">
        <f t="shared" si="226"/>
        <v>0</v>
      </c>
      <c r="CA100" s="4"/>
      <c r="CB100" s="707">
        <v>34</v>
      </c>
      <c r="CC100" s="3">
        <v>14.5</v>
      </c>
      <c r="CD100" s="3">
        <v>10.4</v>
      </c>
      <c r="CE100" s="3">
        <f t="shared" si="227"/>
        <v>24.9</v>
      </c>
      <c r="CF100" s="3">
        <v>102.68</v>
      </c>
      <c r="CG100" s="4">
        <v>924120</v>
      </c>
      <c r="CH100" s="707"/>
      <c r="CK100" s="3">
        <f t="shared" si="228"/>
        <v>0</v>
      </c>
      <c r="CM100" s="4"/>
    </row>
    <row r="101" spans="1:91" x14ac:dyDescent="0.25">
      <c r="A101" s="719" t="s">
        <v>414</v>
      </c>
      <c r="E101" s="3">
        <f t="shared" si="214"/>
        <v>0</v>
      </c>
      <c r="H101" s="707">
        <v>171</v>
      </c>
      <c r="I101" s="3">
        <v>38.5</v>
      </c>
      <c r="J101" s="3">
        <v>97</v>
      </c>
      <c r="K101" s="3">
        <f t="shared" si="215"/>
        <v>135.5</v>
      </c>
      <c r="L101" s="3">
        <v>169.92</v>
      </c>
      <c r="M101" s="3">
        <v>2929100</v>
      </c>
      <c r="N101" s="707">
        <v>551</v>
      </c>
      <c r="O101" s="3">
        <v>516</v>
      </c>
      <c r="Q101" s="3">
        <f t="shared" si="216"/>
        <v>516</v>
      </c>
      <c r="R101" s="3">
        <v>2146.1999999999998</v>
      </c>
      <c r="S101" s="4">
        <v>36522900</v>
      </c>
      <c r="T101" s="707">
        <v>64</v>
      </c>
      <c r="V101" s="3">
        <v>78.150000000000006</v>
      </c>
      <c r="W101" s="3">
        <f t="shared" si="217"/>
        <v>78.150000000000006</v>
      </c>
      <c r="X101" s="3">
        <v>24.74</v>
      </c>
      <c r="Y101" s="4">
        <v>448955.5</v>
      </c>
      <c r="Z101" s="707">
        <v>36</v>
      </c>
      <c r="AA101" s="3">
        <v>1.25</v>
      </c>
      <c r="AB101" s="3">
        <v>54.2</v>
      </c>
      <c r="AC101" s="3">
        <f t="shared" si="218"/>
        <v>55.45</v>
      </c>
      <c r="AD101" s="3">
        <v>49.8</v>
      </c>
      <c r="AE101" s="4">
        <v>850500</v>
      </c>
      <c r="AI101" s="3">
        <f t="shared" si="229"/>
        <v>0</v>
      </c>
      <c r="AL101" s="707"/>
      <c r="AO101" s="3">
        <f t="shared" si="220"/>
        <v>0</v>
      </c>
      <c r="AQ101" s="4"/>
      <c r="AU101" s="3">
        <f t="shared" si="221"/>
        <v>0</v>
      </c>
      <c r="AX101" s="707"/>
      <c r="BA101" s="3">
        <f t="shared" si="222"/>
        <v>0</v>
      </c>
      <c r="BC101" s="4"/>
      <c r="BD101" s="3">
        <v>58</v>
      </c>
      <c r="BE101" s="3">
        <v>2.5</v>
      </c>
      <c r="BF101" s="3">
        <v>72.94</v>
      </c>
      <c r="BG101" s="3">
        <f t="shared" si="223"/>
        <v>75.44</v>
      </c>
      <c r="BH101" s="3">
        <v>134.4</v>
      </c>
      <c r="BI101" s="3">
        <v>1900350</v>
      </c>
      <c r="BJ101" s="707">
        <v>35</v>
      </c>
      <c r="BL101" s="3">
        <v>39.65</v>
      </c>
      <c r="BM101" s="3">
        <f t="shared" si="224"/>
        <v>39.65</v>
      </c>
      <c r="BN101" s="3">
        <v>86.86</v>
      </c>
      <c r="BO101" s="4">
        <v>1737107.74</v>
      </c>
      <c r="BP101" s="707">
        <v>37</v>
      </c>
      <c r="BQ101" s="3">
        <v>1</v>
      </c>
      <c r="BR101" s="3">
        <v>51.7</v>
      </c>
      <c r="BS101" s="3">
        <f t="shared" si="225"/>
        <v>52.7</v>
      </c>
      <c r="BT101" s="3">
        <v>106.28</v>
      </c>
      <c r="BU101" s="4">
        <v>1281440</v>
      </c>
      <c r="BV101" s="707">
        <v>55</v>
      </c>
      <c r="BW101" s="3">
        <v>10</v>
      </c>
      <c r="BX101" s="3">
        <v>70.650000000000006</v>
      </c>
      <c r="BY101" s="3">
        <f t="shared" si="226"/>
        <v>80.650000000000006</v>
      </c>
      <c r="BZ101" s="3">
        <v>144.83000000000001</v>
      </c>
      <c r="CA101" s="4">
        <v>1798736</v>
      </c>
      <c r="CB101" s="707">
        <v>12</v>
      </c>
      <c r="CC101" s="3">
        <v>1.9</v>
      </c>
      <c r="CD101" s="3">
        <v>22.75</v>
      </c>
      <c r="CE101" s="3">
        <f t="shared" si="227"/>
        <v>24.65</v>
      </c>
      <c r="CF101" s="3">
        <v>52.1</v>
      </c>
      <c r="CG101" s="4">
        <v>532552</v>
      </c>
      <c r="CH101" s="707">
        <v>14</v>
      </c>
      <c r="CI101" s="3">
        <v>3.15</v>
      </c>
      <c r="CJ101" s="3">
        <v>17.5</v>
      </c>
      <c r="CK101" s="3">
        <f t="shared" si="228"/>
        <v>20.65</v>
      </c>
      <c r="CL101" s="3">
        <v>34.4</v>
      </c>
      <c r="CM101" s="4">
        <v>387152</v>
      </c>
    </row>
    <row r="102" spans="1:91" x14ac:dyDescent="0.25">
      <c r="A102" s="719" t="s">
        <v>415</v>
      </c>
      <c r="E102" s="3">
        <f t="shared" si="214"/>
        <v>0</v>
      </c>
      <c r="H102" s="707"/>
      <c r="K102" s="3">
        <f t="shared" si="215"/>
        <v>0</v>
      </c>
      <c r="N102" s="707">
        <v>251</v>
      </c>
      <c r="O102" s="3">
        <v>203.6</v>
      </c>
      <c r="Q102" s="3">
        <f t="shared" si="216"/>
        <v>203.6</v>
      </c>
      <c r="R102" s="3">
        <v>814.4</v>
      </c>
      <c r="S102" s="4">
        <v>14659200</v>
      </c>
      <c r="T102" s="707">
        <v>15</v>
      </c>
      <c r="V102" s="3">
        <v>15</v>
      </c>
      <c r="W102" s="3">
        <f t="shared" si="217"/>
        <v>15</v>
      </c>
      <c r="X102" s="3">
        <v>52.8</v>
      </c>
      <c r="Y102" s="4">
        <v>897600</v>
      </c>
      <c r="Z102" s="707"/>
      <c r="AC102" s="3">
        <f t="shared" si="218"/>
        <v>0</v>
      </c>
      <c r="AE102" s="4"/>
      <c r="AI102" s="3">
        <f t="shared" si="229"/>
        <v>0</v>
      </c>
      <c r="AL102" s="707"/>
      <c r="AO102" s="3">
        <f t="shared" si="220"/>
        <v>0</v>
      </c>
      <c r="AQ102" s="4"/>
      <c r="AU102" s="3">
        <f t="shared" si="221"/>
        <v>0</v>
      </c>
      <c r="AX102" s="707"/>
      <c r="BA102" s="3">
        <f t="shared" si="222"/>
        <v>0</v>
      </c>
      <c r="BC102" s="4"/>
      <c r="BG102" s="3">
        <f t="shared" si="223"/>
        <v>0</v>
      </c>
      <c r="BJ102" s="707">
        <v>197</v>
      </c>
      <c r="BL102" s="3">
        <v>259.2</v>
      </c>
      <c r="BM102" s="3">
        <f t="shared" si="224"/>
        <v>259.2</v>
      </c>
      <c r="BN102" s="3">
        <v>368.37</v>
      </c>
      <c r="BO102" s="4">
        <v>6828754.3200000003</v>
      </c>
      <c r="BP102" s="707"/>
      <c r="BS102" s="3">
        <f t="shared" si="225"/>
        <v>0</v>
      </c>
      <c r="BU102" s="4"/>
      <c r="BV102" s="707">
        <v>293</v>
      </c>
      <c r="BX102" s="3">
        <v>385.1</v>
      </c>
      <c r="BY102" s="3">
        <f t="shared" si="226"/>
        <v>385.1</v>
      </c>
      <c r="BZ102" s="3">
        <v>513.98</v>
      </c>
      <c r="CA102" s="4">
        <v>8486179.9900000002</v>
      </c>
      <c r="CB102" s="707"/>
      <c r="CE102" s="3">
        <f t="shared" si="227"/>
        <v>0</v>
      </c>
      <c r="CG102" s="4"/>
      <c r="CH102" s="707"/>
      <c r="CK102" s="3">
        <f t="shared" si="228"/>
        <v>0</v>
      </c>
      <c r="CM102" s="4"/>
    </row>
    <row r="103" spans="1:91" x14ac:dyDescent="0.25">
      <c r="A103" s="719" t="s">
        <v>217</v>
      </c>
      <c r="E103" s="3">
        <f t="shared" si="214"/>
        <v>0</v>
      </c>
      <c r="H103" s="707">
        <v>127</v>
      </c>
      <c r="J103" s="3">
        <v>210</v>
      </c>
      <c r="K103" s="3">
        <f t="shared" si="215"/>
        <v>210</v>
      </c>
      <c r="L103" s="3">
        <v>504</v>
      </c>
      <c r="M103" s="3">
        <v>8064000</v>
      </c>
      <c r="N103" s="707"/>
      <c r="Q103" s="3">
        <f t="shared" si="216"/>
        <v>0</v>
      </c>
      <c r="S103" s="4"/>
      <c r="T103" s="707">
        <v>70</v>
      </c>
      <c r="U103" s="3">
        <v>145.5</v>
      </c>
      <c r="W103" s="3">
        <f t="shared" si="217"/>
        <v>145.5</v>
      </c>
      <c r="X103" s="3">
        <v>252</v>
      </c>
      <c r="Y103" s="4">
        <v>5626500</v>
      </c>
      <c r="Z103" s="707"/>
      <c r="AC103" s="3">
        <f t="shared" si="218"/>
        <v>0</v>
      </c>
      <c r="AE103" s="4"/>
      <c r="AI103" s="3">
        <f t="shared" si="229"/>
        <v>0</v>
      </c>
      <c r="AL103" s="707"/>
      <c r="AO103" s="3">
        <f t="shared" si="220"/>
        <v>0</v>
      </c>
      <c r="AQ103" s="4"/>
      <c r="AU103" s="3">
        <f t="shared" si="221"/>
        <v>0</v>
      </c>
      <c r="AX103" s="707">
        <v>36</v>
      </c>
      <c r="AZ103" s="3">
        <v>74.75</v>
      </c>
      <c r="BA103" s="3">
        <f t="shared" si="222"/>
        <v>74.75</v>
      </c>
      <c r="BB103" s="3">
        <v>63.89</v>
      </c>
      <c r="BC103" s="4">
        <v>1469498.75</v>
      </c>
      <c r="BD103" s="3">
        <v>17</v>
      </c>
      <c r="BF103" s="3">
        <v>20</v>
      </c>
      <c r="BG103" s="3">
        <f t="shared" si="223"/>
        <v>20</v>
      </c>
      <c r="BI103" s="3">
        <v>90000</v>
      </c>
      <c r="BJ103" s="707"/>
      <c r="BM103" s="3">
        <f t="shared" si="224"/>
        <v>0</v>
      </c>
      <c r="BO103" s="4"/>
      <c r="BP103" s="707"/>
      <c r="BS103" s="3">
        <f t="shared" si="225"/>
        <v>0</v>
      </c>
      <c r="BU103" s="4"/>
      <c r="BV103" s="707">
        <v>329</v>
      </c>
      <c r="BW103" s="3">
        <v>392.67</v>
      </c>
      <c r="BX103" s="3">
        <v>35.700000000000003</v>
      </c>
      <c r="BY103" s="3">
        <f t="shared" si="226"/>
        <v>428.37</v>
      </c>
      <c r="BZ103" s="3">
        <v>1642.37</v>
      </c>
      <c r="CA103" s="4">
        <v>22538592</v>
      </c>
      <c r="CB103" s="707">
        <v>11</v>
      </c>
      <c r="CC103" s="3">
        <v>23.8</v>
      </c>
      <c r="CE103" s="3">
        <f t="shared" si="227"/>
        <v>23.8</v>
      </c>
      <c r="CF103" s="3">
        <v>119</v>
      </c>
      <c r="CG103" s="4">
        <v>1428000</v>
      </c>
      <c r="CH103" s="707"/>
      <c r="CK103" s="3">
        <f t="shared" si="228"/>
        <v>0</v>
      </c>
      <c r="CM103" s="4"/>
    </row>
    <row r="104" spans="1:91" x14ac:dyDescent="0.25">
      <c r="A104" s="719" t="s">
        <v>416</v>
      </c>
      <c r="E104" s="3">
        <f t="shared" si="214"/>
        <v>0</v>
      </c>
      <c r="H104" s="707">
        <v>84</v>
      </c>
      <c r="J104" s="3">
        <v>112</v>
      </c>
      <c r="K104" s="3">
        <f t="shared" si="215"/>
        <v>112</v>
      </c>
      <c r="L104" s="3">
        <v>111</v>
      </c>
      <c r="M104" s="3">
        <v>1887000</v>
      </c>
      <c r="N104" s="707">
        <v>801</v>
      </c>
      <c r="O104" s="3">
        <v>795.3</v>
      </c>
      <c r="Q104" s="3">
        <f t="shared" si="216"/>
        <v>795.3</v>
      </c>
      <c r="S104" s="4">
        <v>5964750</v>
      </c>
      <c r="T104" s="707"/>
      <c r="W104" s="3">
        <f t="shared" si="217"/>
        <v>0</v>
      </c>
      <c r="Y104" s="4"/>
      <c r="Z104" s="707"/>
      <c r="AC104" s="3">
        <f t="shared" si="218"/>
        <v>0</v>
      </c>
      <c r="AE104" s="4"/>
      <c r="AI104" s="3">
        <f t="shared" si="229"/>
        <v>0</v>
      </c>
      <c r="AL104" s="707"/>
      <c r="AO104" s="3">
        <f t="shared" si="220"/>
        <v>0</v>
      </c>
      <c r="AQ104" s="4"/>
      <c r="AU104" s="3">
        <f t="shared" si="221"/>
        <v>0</v>
      </c>
      <c r="AX104" s="707"/>
      <c r="BA104" s="3">
        <f t="shared" si="222"/>
        <v>0</v>
      </c>
      <c r="BC104" s="4"/>
      <c r="BD104" s="3">
        <v>166</v>
      </c>
      <c r="BE104" s="3">
        <v>194.3</v>
      </c>
      <c r="BG104" s="3">
        <f t="shared" si="223"/>
        <v>194.3</v>
      </c>
      <c r="BH104" s="3">
        <v>560.21</v>
      </c>
      <c r="BI104" s="3">
        <v>7929921.2800000003</v>
      </c>
      <c r="BJ104" s="707"/>
      <c r="BM104" s="3">
        <f t="shared" si="224"/>
        <v>0</v>
      </c>
      <c r="BO104" s="4"/>
      <c r="BP104" s="707"/>
      <c r="BS104" s="3">
        <f t="shared" si="225"/>
        <v>0</v>
      </c>
      <c r="BU104" s="4"/>
      <c r="BV104" s="707">
        <v>376</v>
      </c>
      <c r="BW104" s="3">
        <v>493026</v>
      </c>
      <c r="BY104" s="3">
        <f t="shared" si="226"/>
        <v>493026</v>
      </c>
      <c r="BZ104" s="3">
        <v>2071.69</v>
      </c>
      <c r="CA104" s="4">
        <v>26931996</v>
      </c>
      <c r="CB104" s="707">
        <v>88</v>
      </c>
      <c r="CC104" s="3">
        <v>95.8</v>
      </c>
      <c r="CE104" s="3">
        <f t="shared" si="227"/>
        <v>95.8</v>
      </c>
      <c r="CG104" s="4">
        <v>1532800</v>
      </c>
      <c r="CH104" s="707">
        <v>74</v>
      </c>
      <c r="CI104" s="3">
        <v>92.8</v>
      </c>
      <c r="CK104" s="3">
        <f t="shared" si="228"/>
        <v>92.8</v>
      </c>
      <c r="CL104" s="3">
        <v>368.76</v>
      </c>
      <c r="CM104" s="4">
        <v>4873880</v>
      </c>
    </row>
    <row r="105" spans="1:91" x14ac:dyDescent="0.25">
      <c r="A105" s="719" t="s">
        <v>417</v>
      </c>
      <c r="E105" s="3">
        <f t="shared" si="214"/>
        <v>0</v>
      </c>
      <c r="H105" s="707">
        <v>213</v>
      </c>
      <c r="I105" s="3">
        <v>74</v>
      </c>
      <c r="J105" s="3">
        <v>260.39999999999998</v>
      </c>
      <c r="K105" s="3">
        <f t="shared" si="215"/>
        <v>334.4</v>
      </c>
      <c r="L105" s="3">
        <v>583.87</v>
      </c>
      <c r="M105" s="3">
        <v>9516980</v>
      </c>
      <c r="N105" s="707">
        <v>175</v>
      </c>
      <c r="O105" s="3">
        <v>177</v>
      </c>
      <c r="Q105" s="3">
        <f t="shared" si="216"/>
        <v>177</v>
      </c>
      <c r="R105" s="3">
        <v>619.5</v>
      </c>
      <c r="S105" s="4">
        <v>8673000</v>
      </c>
      <c r="T105" s="707">
        <v>9</v>
      </c>
      <c r="V105" s="3">
        <v>21.05</v>
      </c>
      <c r="W105" s="3">
        <f t="shared" si="217"/>
        <v>21.05</v>
      </c>
      <c r="X105" s="3">
        <v>31.91</v>
      </c>
      <c r="Y105" s="4">
        <v>538600</v>
      </c>
      <c r="Z105" s="707"/>
      <c r="AC105" s="3">
        <f t="shared" si="218"/>
        <v>0</v>
      </c>
      <c r="AE105" s="4"/>
      <c r="AI105" s="3">
        <f t="shared" si="229"/>
        <v>0</v>
      </c>
      <c r="AL105" s="707"/>
      <c r="AO105" s="3">
        <f t="shared" si="220"/>
        <v>0</v>
      </c>
      <c r="AQ105" s="4"/>
      <c r="AU105" s="3">
        <f t="shared" si="221"/>
        <v>0</v>
      </c>
      <c r="AX105" s="707">
        <v>45</v>
      </c>
      <c r="AY105" s="3">
        <v>2.5</v>
      </c>
      <c r="AZ105" s="3">
        <v>81.12</v>
      </c>
      <c r="BA105" s="3">
        <f t="shared" si="222"/>
        <v>83.62</v>
      </c>
      <c r="BB105" s="3">
        <v>228.78</v>
      </c>
      <c r="BC105" s="4">
        <v>5088057.4800000004</v>
      </c>
      <c r="BD105" s="3">
        <v>56</v>
      </c>
      <c r="BF105" s="3">
        <v>76.25</v>
      </c>
      <c r="BG105" s="3">
        <f t="shared" si="223"/>
        <v>76.25</v>
      </c>
      <c r="BH105" s="3">
        <v>152.5</v>
      </c>
      <c r="BI105" s="3">
        <v>1525000</v>
      </c>
      <c r="BJ105" s="707">
        <v>7</v>
      </c>
      <c r="BK105" s="3">
        <v>1</v>
      </c>
      <c r="BL105" s="3">
        <v>12.2</v>
      </c>
      <c r="BM105" s="3">
        <f t="shared" si="224"/>
        <v>13.2</v>
      </c>
      <c r="BN105" s="3">
        <v>34.18</v>
      </c>
      <c r="BO105" s="4">
        <v>639292.1</v>
      </c>
      <c r="BP105" s="707">
        <v>7</v>
      </c>
      <c r="BQ105" s="3">
        <v>3</v>
      </c>
      <c r="BR105" s="3">
        <v>6</v>
      </c>
      <c r="BS105" s="3">
        <f t="shared" si="225"/>
        <v>9</v>
      </c>
      <c r="BT105" s="3">
        <v>19.2</v>
      </c>
      <c r="BU105" s="4">
        <v>356400</v>
      </c>
      <c r="BV105" s="707">
        <v>55</v>
      </c>
      <c r="BW105" s="3">
        <v>11</v>
      </c>
      <c r="BX105" s="3">
        <v>72.900000000000006</v>
      </c>
      <c r="BY105" s="3">
        <f t="shared" si="226"/>
        <v>83.9</v>
      </c>
      <c r="BZ105" s="3">
        <v>175.06</v>
      </c>
      <c r="CA105" s="4">
        <v>2783340</v>
      </c>
      <c r="CB105" s="707"/>
      <c r="CE105" s="3">
        <f t="shared" si="227"/>
        <v>0</v>
      </c>
      <c r="CG105" s="4"/>
      <c r="CH105" s="707">
        <v>46</v>
      </c>
      <c r="CI105" s="3">
        <v>43.25</v>
      </c>
      <c r="CJ105" s="3">
        <v>22.05</v>
      </c>
      <c r="CK105" s="3">
        <f t="shared" si="228"/>
        <v>65.3</v>
      </c>
      <c r="CL105" s="3">
        <v>56.07</v>
      </c>
      <c r="CM105" s="4">
        <v>1545870</v>
      </c>
    </row>
    <row r="106" spans="1:91" x14ac:dyDescent="0.25">
      <c r="A106" s="719" t="s">
        <v>418</v>
      </c>
      <c r="E106" s="3">
        <f t="shared" si="214"/>
        <v>0</v>
      </c>
      <c r="H106" s="707"/>
      <c r="K106" s="3">
        <f t="shared" si="215"/>
        <v>0</v>
      </c>
      <c r="N106" s="707"/>
      <c r="Q106" s="3">
        <f t="shared" si="216"/>
        <v>0</v>
      </c>
      <c r="S106" s="4"/>
      <c r="T106" s="707">
        <v>120</v>
      </c>
      <c r="V106" s="3">
        <v>85</v>
      </c>
      <c r="W106" s="3">
        <f t="shared" si="217"/>
        <v>85</v>
      </c>
      <c r="Y106" s="4">
        <v>127500</v>
      </c>
      <c r="Z106" s="707"/>
      <c r="AC106" s="3">
        <f t="shared" si="218"/>
        <v>0</v>
      </c>
      <c r="AE106" s="4"/>
      <c r="AI106" s="3">
        <f t="shared" si="229"/>
        <v>0</v>
      </c>
      <c r="AL106" s="707"/>
      <c r="AO106" s="3">
        <f t="shared" si="220"/>
        <v>0</v>
      </c>
      <c r="AQ106" s="4"/>
      <c r="AU106" s="3">
        <f t="shared" si="221"/>
        <v>0</v>
      </c>
      <c r="AX106" s="707"/>
      <c r="BA106" s="3">
        <f t="shared" si="222"/>
        <v>0</v>
      </c>
      <c r="BC106" s="4"/>
      <c r="BG106" s="3">
        <f t="shared" si="223"/>
        <v>0</v>
      </c>
      <c r="BJ106" s="707"/>
      <c r="BM106" s="3">
        <f t="shared" si="224"/>
        <v>0</v>
      </c>
      <c r="BO106" s="4"/>
      <c r="BP106" s="707"/>
      <c r="BS106" s="3">
        <f t="shared" si="225"/>
        <v>0</v>
      </c>
      <c r="BU106" s="4"/>
      <c r="BV106" s="707"/>
      <c r="BY106" s="3">
        <f t="shared" si="226"/>
        <v>0</v>
      </c>
      <c r="CA106" s="4"/>
      <c r="CB106" s="707"/>
      <c r="CE106" s="3">
        <f t="shared" si="227"/>
        <v>0</v>
      </c>
      <c r="CG106" s="4"/>
      <c r="CH106" s="707">
        <v>15</v>
      </c>
      <c r="CJ106" s="3">
        <v>6</v>
      </c>
      <c r="CK106" s="3">
        <f t="shared" si="228"/>
        <v>6</v>
      </c>
      <c r="CM106" s="4">
        <v>16320</v>
      </c>
    </row>
    <row r="107" spans="1:91" x14ac:dyDescent="0.25">
      <c r="A107" s="719" t="s">
        <v>419</v>
      </c>
      <c r="E107" s="3">
        <f t="shared" si="214"/>
        <v>0</v>
      </c>
      <c r="H107" s="707"/>
      <c r="K107" s="3">
        <f t="shared" si="215"/>
        <v>0</v>
      </c>
      <c r="N107" s="707"/>
      <c r="Q107" s="3">
        <f t="shared" si="216"/>
        <v>0</v>
      </c>
      <c r="S107" s="4"/>
      <c r="T107" s="707"/>
      <c r="W107" s="3">
        <f t="shared" si="217"/>
        <v>0</v>
      </c>
      <c r="Y107" s="4"/>
      <c r="Z107" s="707"/>
      <c r="AC107" s="3">
        <f t="shared" si="218"/>
        <v>0</v>
      </c>
      <c r="AE107" s="4"/>
      <c r="AI107" s="3">
        <f t="shared" si="229"/>
        <v>0</v>
      </c>
      <c r="AL107" s="707"/>
      <c r="AO107" s="3">
        <f t="shared" si="220"/>
        <v>0</v>
      </c>
      <c r="AQ107" s="4"/>
      <c r="AU107" s="3">
        <f t="shared" si="221"/>
        <v>0</v>
      </c>
      <c r="AX107" s="707"/>
      <c r="BA107" s="3">
        <f t="shared" si="222"/>
        <v>0</v>
      </c>
      <c r="BC107" s="4"/>
      <c r="BG107" s="3">
        <f t="shared" si="223"/>
        <v>0</v>
      </c>
      <c r="BJ107" s="707"/>
      <c r="BM107" s="3">
        <f t="shared" si="224"/>
        <v>0</v>
      </c>
      <c r="BO107" s="4"/>
      <c r="BP107" s="707"/>
      <c r="BS107" s="3">
        <f t="shared" si="225"/>
        <v>0</v>
      </c>
      <c r="BU107" s="4"/>
      <c r="BV107" s="707"/>
      <c r="BY107" s="3">
        <f t="shared" si="226"/>
        <v>0</v>
      </c>
      <c r="CA107" s="4"/>
      <c r="CB107" s="707">
        <v>25</v>
      </c>
      <c r="CD107" s="3">
        <v>19.100000000000001</v>
      </c>
      <c r="CE107" s="3">
        <f t="shared" si="227"/>
        <v>19.100000000000001</v>
      </c>
      <c r="CF107" s="3">
        <v>95.5</v>
      </c>
      <c r="CG107" s="4">
        <v>1432500</v>
      </c>
      <c r="CH107" s="707"/>
      <c r="CK107" s="3">
        <f t="shared" si="228"/>
        <v>0</v>
      </c>
      <c r="CM107" s="4"/>
    </row>
    <row r="108" spans="1:91" x14ac:dyDescent="0.25">
      <c r="A108" s="719" t="s">
        <v>420</v>
      </c>
      <c r="E108" s="3">
        <f t="shared" si="214"/>
        <v>0</v>
      </c>
      <c r="H108" s="707"/>
      <c r="K108" s="3">
        <f t="shared" si="215"/>
        <v>0</v>
      </c>
      <c r="N108" s="707"/>
      <c r="Q108" s="3">
        <f t="shared" si="216"/>
        <v>0</v>
      </c>
      <c r="S108" s="4"/>
      <c r="T108" s="707">
        <v>113</v>
      </c>
      <c r="U108" s="3">
        <v>54.5</v>
      </c>
      <c r="W108" s="3">
        <f t="shared" si="217"/>
        <v>54.5</v>
      </c>
      <c r="Y108" s="4">
        <v>872000</v>
      </c>
      <c r="Z108" s="707"/>
      <c r="AC108" s="3">
        <f t="shared" si="218"/>
        <v>0</v>
      </c>
      <c r="AE108" s="4"/>
      <c r="AI108" s="3">
        <f t="shared" si="229"/>
        <v>0</v>
      </c>
      <c r="AL108" s="707"/>
      <c r="AO108" s="3">
        <f t="shared" si="220"/>
        <v>0</v>
      </c>
      <c r="AQ108" s="4"/>
      <c r="AU108" s="3">
        <f t="shared" si="221"/>
        <v>0</v>
      </c>
      <c r="AX108" s="707"/>
      <c r="BA108" s="3">
        <f t="shared" si="222"/>
        <v>0</v>
      </c>
      <c r="BC108" s="4"/>
      <c r="BG108" s="3">
        <f t="shared" si="223"/>
        <v>0</v>
      </c>
      <c r="BJ108" s="707"/>
      <c r="BM108" s="3">
        <f t="shared" si="224"/>
        <v>0</v>
      </c>
      <c r="BO108" s="4"/>
      <c r="BP108" s="707"/>
      <c r="BS108" s="3">
        <f t="shared" si="225"/>
        <v>0</v>
      </c>
      <c r="BU108" s="4"/>
      <c r="BV108" s="707"/>
      <c r="BY108" s="3">
        <f t="shared" si="226"/>
        <v>0</v>
      </c>
      <c r="CA108" s="4"/>
      <c r="CB108" s="707"/>
      <c r="CE108" s="3">
        <f t="shared" si="227"/>
        <v>0</v>
      </c>
      <c r="CG108" s="4"/>
      <c r="CH108" s="707"/>
      <c r="CK108" s="3">
        <f t="shared" si="228"/>
        <v>0</v>
      </c>
      <c r="CM108" s="4"/>
    </row>
    <row r="109" spans="1:91" x14ac:dyDescent="0.25">
      <c r="A109" s="719" t="s">
        <v>421</v>
      </c>
      <c r="E109" s="3">
        <f t="shared" si="214"/>
        <v>0</v>
      </c>
      <c r="H109" s="707"/>
      <c r="K109" s="3">
        <f t="shared" si="215"/>
        <v>0</v>
      </c>
      <c r="N109" s="707"/>
      <c r="Q109" s="3">
        <f t="shared" si="216"/>
        <v>0</v>
      </c>
      <c r="S109" s="4"/>
      <c r="T109" s="707">
        <v>23</v>
      </c>
      <c r="V109" s="3">
        <v>16</v>
      </c>
      <c r="W109" s="3">
        <f t="shared" si="217"/>
        <v>16</v>
      </c>
      <c r="Y109" s="4">
        <v>15704</v>
      </c>
      <c r="Z109" s="707"/>
      <c r="AC109" s="3">
        <f t="shared" si="218"/>
        <v>0</v>
      </c>
      <c r="AE109" s="4"/>
      <c r="AI109" s="3">
        <f t="shared" si="229"/>
        <v>0</v>
      </c>
      <c r="AL109" s="707"/>
      <c r="AO109" s="3">
        <f t="shared" si="220"/>
        <v>0</v>
      </c>
      <c r="AQ109" s="4"/>
      <c r="AU109" s="3">
        <f t="shared" si="221"/>
        <v>0</v>
      </c>
      <c r="AX109" s="707"/>
      <c r="BA109" s="3">
        <f t="shared" si="222"/>
        <v>0</v>
      </c>
      <c r="BC109" s="4"/>
      <c r="BG109" s="3">
        <f t="shared" si="223"/>
        <v>0</v>
      </c>
      <c r="BJ109" s="707"/>
      <c r="BM109" s="3">
        <f t="shared" si="224"/>
        <v>0</v>
      </c>
      <c r="BO109" s="4"/>
      <c r="BP109" s="707"/>
      <c r="BS109" s="3">
        <f t="shared" si="225"/>
        <v>0</v>
      </c>
      <c r="BU109" s="4"/>
      <c r="BV109" s="707">
        <v>42</v>
      </c>
      <c r="BX109" s="3">
        <v>29.5</v>
      </c>
      <c r="BY109" s="3">
        <f t="shared" si="226"/>
        <v>29.5</v>
      </c>
      <c r="BZ109" s="3">
        <v>40.119999999999997</v>
      </c>
      <c r="CA109" s="4">
        <v>441320</v>
      </c>
      <c r="CB109" s="707"/>
      <c r="CE109" s="3">
        <f t="shared" si="227"/>
        <v>0</v>
      </c>
      <c r="CG109" s="4"/>
      <c r="CH109" s="707"/>
      <c r="CK109" s="3">
        <f t="shared" si="228"/>
        <v>0</v>
      </c>
      <c r="CM109" s="4"/>
    </row>
    <row r="110" spans="1:91" x14ac:dyDescent="0.25">
      <c r="A110" s="719" t="s">
        <v>422</v>
      </c>
      <c r="E110" s="3">
        <f t="shared" si="214"/>
        <v>0</v>
      </c>
      <c r="H110" s="707"/>
      <c r="K110" s="3">
        <f t="shared" si="215"/>
        <v>0</v>
      </c>
      <c r="N110" s="707"/>
      <c r="Q110" s="3">
        <f t="shared" si="216"/>
        <v>0</v>
      </c>
      <c r="S110" s="4"/>
      <c r="T110" s="707"/>
      <c r="W110" s="3">
        <f t="shared" si="217"/>
        <v>0</v>
      </c>
      <c r="Y110" s="4"/>
      <c r="Z110" s="707"/>
      <c r="AC110" s="3">
        <f t="shared" si="218"/>
        <v>0</v>
      </c>
      <c r="AE110" s="4"/>
      <c r="AI110" s="3">
        <f t="shared" si="229"/>
        <v>0</v>
      </c>
      <c r="AL110" s="707"/>
      <c r="AO110" s="3">
        <f t="shared" si="220"/>
        <v>0</v>
      </c>
      <c r="AQ110" s="4"/>
      <c r="AU110" s="3">
        <f t="shared" si="221"/>
        <v>0</v>
      </c>
      <c r="AX110" s="707"/>
      <c r="BA110" s="3">
        <f t="shared" si="222"/>
        <v>0</v>
      </c>
      <c r="BC110" s="4"/>
      <c r="BD110" s="3">
        <v>88</v>
      </c>
      <c r="BF110" s="3">
        <v>95</v>
      </c>
      <c r="BG110" s="3">
        <f t="shared" si="223"/>
        <v>95</v>
      </c>
      <c r="BH110" s="3">
        <v>24.83</v>
      </c>
      <c r="BI110" s="3">
        <v>541650</v>
      </c>
      <c r="BJ110" s="707"/>
      <c r="BM110" s="3">
        <f t="shared" si="224"/>
        <v>0</v>
      </c>
      <c r="BO110" s="4"/>
      <c r="BP110" s="707"/>
      <c r="BS110" s="3">
        <f t="shared" si="225"/>
        <v>0</v>
      </c>
      <c r="BU110" s="4"/>
      <c r="BV110" s="707"/>
      <c r="BY110" s="3">
        <f t="shared" si="226"/>
        <v>0</v>
      </c>
      <c r="CA110" s="4"/>
      <c r="CB110" s="707"/>
      <c r="CE110" s="3">
        <f t="shared" si="227"/>
        <v>0</v>
      </c>
      <c r="CG110" s="4"/>
      <c r="CH110" s="707"/>
      <c r="CK110" s="3">
        <f t="shared" si="228"/>
        <v>0</v>
      </c>
      <c r="CM110" s="4"/>
    </row>
    <row r="111" spans="1:91" x14ac:dyDescent="0.25">
      <c r="A111" s="719" t="s">
        <v>423</v>
      </c>
      <c r="E111" s="3">
        <f t="shared" si="214"/>
        <v>0</v>
      </c>
      <c r="H111" s="707"/>
      <c r="K111" s="3">
        <f t="shared" si="215"/>
        <v>0</v>
      </c>
      <c r="N111" s="707"/>
      <c r="Q111" s="3">
        <f t="shared" si="216"/>
        <v>0</v>
      </c>
      <c r="S111" s="4"/>
      <c r="T111" s="707">
        <v>353</v>
      </c>
      <c r="U111" s="3">
        <v>146.9</v>
      </c>
      <c r="V111" s="3">
        <v>171.5</v>
      </c>
      <c r="W111" s="3">
        <f t="shared" si="217"/>
        <v>318.39999999999998</v>
      </c>
      <c r="X111" s="3">
        <v>440.7</v>
      </c>
      <c r="Y111" s="4">
        <v>8040262.5</v>
      </c>
      <c r="Z111" s="707"/>
      <c r="AC111" s="3">
        <f t="shared" si="218"/>
        <v>0</v>
      </c>
      <c r="AE111" s="4"/>
      <c r="AI111" s="3">
        <f t="shared" si="229"/>
        <v>0</v>
      </c>
      <c r="AL111" s="707"/>
      <c r="AO111" s="3">
        <f t="shared" si="220"/>
        <v>0</v>
      </c>
      <c r="AQ111" s="4"/>
      <c r="AU111" s="3">
        <f t="shared" si="221"/>
        <v>0</v>
      </c>
      <c r="AX111" s="707"/>
      <c r="AY111" s="3">
        <v>12</v>
      </c>
      <c r="AZ111" s="3">
        <v>1.5</v>
      </c>
      <c r="BA111" s="3">
        <f t="shared" si="222"/>
        <v>13.5</v>
      </c>
      <c r="BB111" s="3">
        <v>29.64</v>
      </c>
      <c r="BC111" s="4">
        <v>652080</v>
      </c>
      <c r="BG111" s="3">
        <f t="shared" si="223"/>
        <v>0</v>
      </c>
      <c r="BJ111" s="707"/>
      <c r="BM111" s="3">
        <f t="shared" si="224"/>
        <v>0</v>
      </c>
      <c r="BO111" s="4"/>
      <c r="BP111" s="707"/>
      <c r="BS111" s="3">
        <f t="shared" si="225"/>
        <v>0</v>
      </c>
      <c r="BU111" s="4"/>
      <c r="BV111" s="707">
        <v>841</v>
      </c>
      <c r="BW111" s="3">
        <v>952.8</v>
      </c>
      <c r="BX111" s="3">
        <v>55.25</v>
      </c>
      <c r="BY111" s="3">
        <f t="shared" si="226"/>
        <v>1008.05</v>
      </c>
      <c r="BZ111" s="3">
        <v>2353.02</v>
      </c>
      <c r="CA111" s="4">
        <v>25883220</v>
      </c>
      <c r="CB111" s="707">
        <v>110</v>
      </c>
      <c r="CC111" s="3">
        <v>101.8</v>
      </c>
      <c r="CD111" s="3">
        <v>29.45</v>
      </c>
      <c r="CE111" s="3">
        <f t="shared" si="227"/>
        <v>131.25</v>
      </c>
      <c r="CF111" s="3">
        <v>279.66000000000003</v>
      </c>
      <c r="CG111" s="4">
        <v>3076260</v>
      </c>
      <c r="CH111" s="707">
        <v>1</v>
      </c>
      <c r="CI111" s="3">
        <v>0.5</v>
      </c>
      <c r="CK111" s="3">
        <f t="shared" si="228"/>
        <v>0.5</v>
      </c>
      <c r="CL111" s="3">
        <v>1.2</v>
      </c>
      <c r="CM111" s="4">
        <v>13200</v>
      </c>
    </row>
    <row r="112" spans="1:91" x14ac:dyDescent="0.25">
      <c r="A112" s="719" t="s">
        <v>43</v>
      </c>
      <c r="E112" s="3">
        <f t="shared" si="214"/>
        <v>0</v>
      </c>
      <c r="H112" s="707"/>
      <c r="K112" s="3">
        <f t="shared" si="215"/>
        <v>0</v>
      </c>
      <c r="N112" s="707">
        <v>17</v>
      </c>
      <c r="O112" s="3">
        <v>15.42</v>
      </c>
      <c r="Q112" s="3">
        <f t="shared" si="216"/>
        <v>15.42</v>
      </c>
      <c r="S112" s="4">
        <v>235560</v>
      </c>
      <c r="T112" s="707">
        <v>184</v>
      </c>
      <c r="V112" s="3">
        <v>172.31</v>
      </c>
      <c r="W112" s="3">
        <f t="shared" si="217"/>
        <v>172.31</v>
      </c>
      <c r="X112" s="3">
        <v>22.72</v>
      </c>
      <c r="Y112" s="4">
        <v>485557.4</v>
      </c>
      <c r="Z112" s="707"/>
      <c r="AC112" s="3">
        <f t="shared" si="218"/>
        <v>0</v>
      </c>
      <c r="AE112" s="4"/>
      <c r="AI112" s="3">
        <f t="shared" si="229"/>
        <v>0</v>
      </c>
      <c r="AL112" s="707"/>
      <c r="AO112" s="3">
        <f t="shared" si="220"/>
        <v>0</v>
      </c>
      <c r="AQ112" s="4"/>
      <c r="AU112" s="3">
        <f t="shared" si="221"/>
        <v>0</v>
      </c>
      <c r="AX112" s="707"/>
      <c r="BA112" s="3">
        <f t="shared" si="222"/>
        <v>0</v>
      </c>
      <c r="BC112" s="4"/>
      <c r="BD112" s="3">
        <v>11</v>
      </c>
      <c r="BE112" s="3">
        <v>11</v>
      </c>
      <c r="BG112" s="3">
        <f t="shared" si="223"/>
        <v>11</v>
      </c>
      <c r="BH112" s="3">
        <v>29.9</v>
      </c>
      <c r="BI112" s="3">
        <v>386800</v>
      </c>
      <c r="BJ112" s="707"/>
      <c r="BM112" s="3">
        <f t="shared" si="224"/>
        <v>0</v>
      </c>
      <c r="BO112" s="4"/>
      <c r="BP112" s="707"/>
      <c r="BS112" s="3">
        <f t="shared" si="225"/>
        <v>0</v>
      </c>
      <c r="BU112" s="4"/>
      <c r="BV112" s="707">
        <v>132</v>
      </c>
      <c r="BX112" s="3">
        <v>132</v>
      </c>
      <c r="BY112" s="3">
        <f t="shared" si="226"/>
        <v>132</v>
      </c>
      <c r="BZ112" s="3">
        <v>219.23</v>
      </c>
      <c r="CA112" s="4">
        <v>3069207.61</v>
      </c>
      <c r="CB112" s="707">
        <v>51</v>
      </c>
      <c r="CD112" s="3">
        <v>33.65</v>
      </c>
      <c r="CE112" s="3">
        <f t="shared" si="227"/>
        <v>33.65</v>
      </c>
      <c r="CF112" s="3">
        <v>76.25</v>
      </c>
      <c r="CG112" s="4">
        <v>1097687.6299999999</v>
      </c>
      <c r="CH112" s="707">
        <v>32</v>
      </c>
      <c r="CI112" s="3">
        <v>17.649999999999999</v>
      </c>
      <c r="CK112" s="3">
        <f t="shared" si="228"/>
        <v>17.649999999999999</v>
      </c>
      <c r="CL112" s="3">
        <v>34.07</v>
      </c>
      <c r="CM112" s="4">
        <v>477041.46</v>
      </c>
    </row>
    <row r="113" spans="1:91" x14ac:dyDescent="0.25">
      <c r="A113" s="719" t="s">
        <v>424</v>
      </c>
      <c r="E113" s="3">
        <f t="shared" si="214"/>
        <v>0</v>
      </c>
      <c r="H113" s="707"/>
      <c r="K113" s="3">
        <f t="shared" si="215"/>
        <v>0</v>
      </c>
      <c r="N113" s="707"/>
      <c r="Q113" s="3">
        <f t="shared" si="216"/>
        <v>0</v>
      </c>
      <c r="S113" s="4"/>
      <c r="T113" s="707">
        <v>86</v>
      </c>
      <c r="U113" s="3">
        <v>8.25</v>
      </c>
      <c r="V113" s="3">
        <v>69.25</v>
      </c>
      <c r="W113" s="3">
        <f t="shared" si="217"/>
        <v>77.5</v>
      </c>
      <c r="X113" s="3">
        <v>5.2</v>
      </c>
      <c r="Y113" s="4">
        <v>450200</v>
      </c>
      <c r="Z113" s="707"/>
      <c r="AC113" s="3">
        <f t="shared" si="218"/>
        <v>0</v>
      </c>
      <c r="AE113" s="4"/>
      <c r="AI113" s="3">
        <f t="shared" si="229"/>
        <v>0</v>
      </c>
      <c r="AL113" s="707"/>
      <c r="AO113" s="3">
        <f t="shared" si="220"/>
        <v>0</v>
      </c>
      <c r="AQ113" s="4"/>
      <c r="AU113" s="3">
        <f t="shared" si="221"/>
        <v>0</v>
      </c>
      <c r="AX113" s="707"/>
      <c r="BA113" s="3">
        <f t="shared" si="222"/>
        <v>0</v>
      </c>
      <c r="BC113" s="4"/>
      <c r="BG113" s="3">
        <f t="shared" si="223"/>
        <v>0</v>
      </c>
      <c r="BJ113" s="707">
        <v>25</v>
      </c>
      <c r="BL113" s="3">
        <v>100</v>
      </c>
      <c r="BM113" s="3">
        <f t="shared" si="224"/>
        <v>100</v>
      </c>
      <c r="BN113" s="3">
        <v>210</v>
      </c>
      <c r="BO113" s="4">
        <v>3570000</v>
      </c>
      <c r="BP113" s="707"/>
      <c r="BS113" s="3">
        <f t="shared" si="225"/>
        <v>0</v>
      </c>
      <c r="BU113" s="4"/>
      <c r="BV113" s="707">
        <v>108</v>
      </c>
      <c r="BW113" s="3">
        <v>18.5</v>
      </c>
      <c r="BX113" s="3">
        <v>129.44999999999999</v>
      </c>
      <c r="BY113" s="3">
        <f t="shared" si="226"/>
        <v>147.94999999999999</v>
      </c>
      <c r="BZ113" s="3">
        <v>439.76</v>
      </c>
      <c r="CA113" s="4">
        <v>5277120</v>
      </c>
      <c r="CB113" s="707"/>
      <c r="CE113" s="3">
        <f t="shared" si="227"/>
        <v>0</v>
      </c>
      <c r="CG113" s="4"/>
      <c r="CH113" s="707"/>
      <c r="CK113" s="3">
        <f t="shared" si="228"/>
        <v>0</v>
      </c>
      <c r="CM113" s="4"/>
    </row>
    <row r="114" spans="1:91" x14ac:dyDescent="0.25">
      <c r="A114" s="719" t="s">
        <v>425</v>
      </c>
      <c r="E114" s="3">
        <f t="shared" si="214"/>
        <v>0</v>
      </c>
      <c r="H114" s="707"/>
      <c r="K114" s="3">
        <f t="shared" si="215"/>
        <v>0</v>
      </c>
      <c r="N114" s="707">
        <v>60</v>
      </c>
      <c r="O114" s="3">
        <v>63</v>
      </c>
      <c r="Q114" s="3">
        <f t="shared" si="216"/>
        <v>63</v>
      </c>
      <c r="R114" s="3">
        <v>198.8</v>
      </c>
      <c r="S114" s="4">
        <v>2385600</v>
      </c>
      <c r="T114" s="707"/>
      <c r="W114" s="3">
        <f t="shared" si="217"/>
        <v>0</v>
      </c>
      <c r="Y114" s="4"/>
      <c r="Z114" s="707"/>
      <c r="AC114" s="3">
        <f t="shared" si="218"/>
        <v>0</v>
      </c>
      <c r="AE114" s="4"/>
      <c r="AI114" s="3">
        <f t="shared" si="229"/>
        <v>0</v>
      </c>
      <c r="AL114" s="707"/>
      <c r="AO114" s="3">
        <f t="shared" si="220"/>
        <v>0</v>
      </c>
      <c r="AQ114" s="4"/>
      <c r="AU114" s="3">
        <f t="shared" si="221"/>
        <v>0</v>
      </c>
      <c r="AX114" s="707"/>
      <c r="BA114" s="3">
        <f t="shared" si="222"/>
        <v>0</v>
      </c>
      <c r="BC114" s="4"/>
      <c r="BD114" s="3">
        <v>530</v>
      </c>
      <c r="BE114" s="3">
        <v>67</v>
      </c>
      <c r="BF114" s="3">
        <v>202</v>
      </c>
      <c r="BG114" s="3">
        <f t="shared" si="223"/>
        <v>269</v>
      </c>
      <c r="BH114" s="3">
        <v>119.3</v>
      </c>
      <c r="BI114" s="3">
        <v>4173500</v>
      </c>
      <c r="BJ114" s="707">
        <v>620</v>
      </c>
      <c r="BL114" s="3">
        <v>397</v>
      </c>
      <c r="BM114" s="3">
        <f t="shared" si="224"/>
        <v>397</v>
      </c>
      <c r="BN114" s="3">
        <v>595.5</v>
      </c>
      <c r="BO114" s="4">
        <v>10123500</v>
      </c>
      <c r="BP114" s="707"/>
      <c r="BS114" s="3">
        <f t="shared" si="225"/>
        <v>0</v>
      </c>
      <c r="BU114" s="4"/>
      <c r="BV114" s="707">
        <v>88</v>
      </c>
      <c r="BW114" s="3">
        <v>54</v>
      </c>
      <c r="BX114" s="3">
        <v>50</v>
      </c>
      <c r="BY114" s="3">
        <f t="shared" si="226"/>
        <v>104</v>
      </c>
      <c r="BZ114" s="3">
        <v>374</v>
      </c>
      <c r="CA114" s="4">
        <v>5236000</v>
      </c>
      <c r="CB114" s="707">
        <v>140</v>
      </c>
      <c r="CC114" s="3">
        <v>100</v>
      </c>
      <c r="CD114" s="3">
        <v>40</v>
      </c>
      <c r="CE114" s="3">
        <f t="shared" si="227"/>
        <v>140</v>
      </c>
      <c r="CF114" s="3">
        <v>584</v>
      </c>
      <c r="CG114" s="4">
        <v>7568000</v>
      </c>
      <c r="CH114" s="707"/>
      <c r="CK114" s="3">
        <f t="shared" si="228"/>
        <v>0</v>
      </c>
      <c r="CM114" s="4"/>
    </row>
    <row r="115" spans="1:91" x14ac:dyDescent="0.25">
      <c r="A115" s="719" t="s">
        <v>426</v>
      </c>
      <c r="E115" s="3">
        <f t="shared" si="214"/>
        <v>0</v>
      </c>
      <c r="H115" s="707"/>
      <c r="K115" s="3">
        <f t="shared" si="215"/>
        <v>0</v>
      </c>
      <c r="N115" s="707"/>
      <c r="Q115" s="3">
        <f t="shared" si="216"/>
        <v>0</v>
      </c>
      <c r="S115" s="4"/>
      <c r="T115" s="707"/>
      <c r="W115" s="3">
        <f t="shared" si="217"/>
        <v>0</v>
      </c>
      <c r="Y115" s="4"/>
      <c r="Z115" s="707"/>
      <c r="AC115" s="3">
        <f t="shared" si="218"/>
        <v>0</v>
      </c>
      <c r="AE115" s="4"/>
      <c r="AI115" s="3">
        <f t="shared" si="229"/>
        <v>0</v>
      </c>
      <c r="AL115" s="707"/>
      <c r="AO115" s="3">
        <f t="shared" si="220"/>
        <v>0</v>
      </c>
      <c r="AQ115" s="4"/>
      <c r="AU115" s="3">
        <f t="shared" si="221"/>
        <v>0</v>
      </c>
      <c r="AX115" s="707"/>
      <c r="BA115" s="3">
        <f t="shared" si="222"/>
        <v>0</v>
      </c>
      <c r="BC115" s="4"/>
      <c r="BG115" s="3">
        <f t="shared" si="223"/>
        <v>0</v>
      </c>
      <c r="BJ115" s="707"/>
      <c r="BM115" s="3">
        <f t="shared" si="224"/>
        <v>0</v>
      </c>
      <c r="BO115" s="4"/>
      <c r="BP115" s="707"/>
      <c r="BS115" s="3">
        <f t="shared" si="225"/>
        <v>0</v>
      </c>
      <c r="BU115" s="4"/>
      <c r="BV115" s="707">
        <v>41</v>
      </c>
      <c r="BX115" s="3">
        <v>21.5</v>
      </c>
      <c r="BY115" s="3">
        <f t="shared" si="226"/>
        <v>21.5</v>
      </c>
      <c r="BZ115" s="3">
        <v>43</v>
      </c>
      <c r="CA115" s="4">
        <v>602000</v>
      </c>
      <c r="CB115" s="707"/>
      <c r="CE115" s="3">
        <f t="shared" si="227"/>
        <v>0</v>
      </c>
      <c r="CG115" s="4"/>
      <c r="CH115" s="707">
        <v>26</v>
      </c>
      <c r="CJ115" s="3">
        <v>34</v>
      </c>
      <c r="CK115" s="3">
        <f t="shared" si="228"/>
        <v>34</v>
      </c>
      <c r="CL115" s="3">
        <v>51</v>
      </c>
      <c r="CM115" s="4">
        <v>765000</v>
      </c>
    </row>
    <row r="116" spans="1:91" x14ac:dyDescent="0.25">
      <c r="A116" s="719" t="s">
        <v>427</v>
      </c>
      <c r="E116" s="3">
        <f t="shared" si="214"/>
        <v>0</v>
      </c>
      <c r="H116" s="707"/>
      <c r="K116" s="3">
        <f t="shared" si="215"/>
        <v>0</v>
      </c>
      <c r="N116" s="707"/>
      <c r="Q116" s="3">
        <f t="shared" si="216"/>
        <v>0</v>
      </c>
      <c r="S116" s="4"/>
      <c r="T116" s="707">
        <v>164</v>
      </c>
      <c r="U116" s="3">
        <v>64</v>
      </c>
      <c r="V116" s="3">
        <v>126</v>
      </c>
      <c r="W116" s="3">
        <f t="shared" si="217"/>
        <v>190</v>
      </c>
      <c r="Y116" s="4">
        <v>1137000</v>
      </c>
      <c r="Z116" s="707"/>
      <c r="AC116" s="3">
        <f t="shared" si="218"/>
        <v>0</v>
      </c>
      <c r="AE116" s="4"/>
      <c r="AI116" s="3">
        <f t="shared" si="229"/>
        <v>0</v>
      </c>
      <c r="AL116" s="707"/>
      <c r="AO116" s="3">
        <f t="shared" si="220"/>
        <v>0</v>
      </c>
      <c r="AQ116" s="4"/>
      <c r="AU116" s="3">
        <f t="shared" si="221"/>
        <v>0</v>
      </c>
      <c r="AX116" s="707"/>
      <c r="BA116" s="3">
        <f t="shared" si="222"/>
        <v>0</v>
      </c>
      <c r="BC116" s="4"/>
      <c r="BF116" s="3">
        <v>50</v>
      </c>
      <c r="BG116" s="3">
        <f t="shared" si="223"/>
        <v>50</v>
      </c>
      <c r="BI116" s="3">
        <v>75000</v>
      </c>
      <c r="BJ116" s="707"/>
      <c r="BM116" s="3">
        <f t="shared" si="224"/>
        <v>0</v>
      </c>
      <c r="BO116" s="4"/>
      <c r="BP116" s="707"/>
      <c r="BS116" s="3">
        <f t="shared" si="225"/>
        <v>0</v>
      </c>
      <c r="BU116" s="4"/>
      <c r="BV116" s="707">
        <v>103</v>
      </c>
      <c r="BW116" s="3">
        <v>32</v>
      </c>
      <c r="BX116" s="3">
        <v>17.3</v>
      </c>
      <c r="BY116" s="3">
        <f t="shared" si="226"/>
        <v>49.3</v>
      </c>
      <c r="BZ116" s="3">
        <v>114.45</v>
      </c>
      <c r="CA116" s="4">
        <v>1373400</v>
      </c>
      <c r="CB116" s="707"/>
      <c r="CE116" s="3">
        <f t="shared" si="227"/>
        <v>0</v>
      </c>
      <c r="CG116" s="4"/>
      <c r="CH116" s="707"/>
      <c r="CK116" s="3">
        <f t="shared" si="228"/>
        <v>0</v>
      </c>
      <c r="CM116" s="4"/>
    </row>
    <row r="117" spans="1:91" x14ac:dyDescent="0.25">
      <c r="A117" s="719" t="s">
        <v>428</v>
      </c>
      <c r="E117" s="3">
        <f t="shared" si="214"/>
        <v>0</v>
      </c>
      <c r="H117" s="707"/>
      <c r="K117" s="3">
        <f t="shared" si="215"/>
        <v>0</v>
      </c>
      <c r="N117" s="707"/>
      <c r="Q117" s="3">
        <f t="shared" si="216"/>
        <v>0</v>
      </c>
      <c r="S117" s="4"/>
      <c r="T117" s="707">
        <v>2</v>
      </c>
      <c r="V117" s="3">
        <v>2</v>
      </c>
      <c r="W117" s="3">
        <f t="shared" si="217"/>
        <v>2</v>
      </c>
      <c r="X117" s="3">
        <v>2.4</v>
      </c>
      <c r="Y117" s="4">
        <v>40800</v>
      </c>
      <c r="Z117" s="707"/>
      <c r="AC117" s="3">
        <f t="shared" si="218"/>
        <v>0</v>
      </c>
      <c r="AE117" s="4"/>
      <c r="AI117" s="3">
        <f t="shared" si="229"/>
        <v>0</v>
      </c>
      <c r="AL117" s="707"/>
      <c r="AO117" s="3">
        <f t="shared" si="220"/>
        <v>0</v>
      </c>
      <c r="AQ117" s="4"/>
      <c r="AU117" s="3">
        <f t="shared" si="221"/>
        <v>0</v>
      </c>
      <c r="AX117" s="707"/>
      <c r="BA117" s="3">
        <f t="shared" si="222"/>
        <v>0</v>
      </c>
      <c r="BC117" s="4"/>
      <c r="BD117" s="3">
        <v>12</v>
      </c>
      <c r="BF117" s="3">
        <v>12</v>
      </c>
      <c r="BG117" s="3">
        <f t="shared" si="223"/>
        <v>12</v>
      </c>
      <c r="BH117" s="3">
        <v>26.5</v>
      </c>
      <c r="BI117" s="3">
        <v>397500</v>
      </c>
      <c r="BJ117" s="707"/>
      <c r="BM117" s="3">
        <f t="shared" si="224"/>
        <v>0</v>
      </c>
      <c r="BO117" s="4"/>
      <c r="BP117" s="707"/>
      <c r="BS117" s="3">
        <f t="shared" si="225"/>
        <v>0</v>
      </c>
      <c r="BU117" s="4"/>
      <c r="BV117" s="707">
        <v>83</v>
      </c>
      <c r="BW117" s="3">
        <v>8</v>
      </c>
      <c r="BX117" s="3">
        <v>69.5</v>
      </c>
      <c r="BY117" s="3">
        <f t="shared" si="226"/>
        <v>77.5</v>
      </c>
      <c r="BZ117" s="3">
        <v>130.9</v>
      </c>
      <c r="CA117" s="4">
        <v>1601598.21</v>
      </c>
      <c r="CB117" s="707">
        <v>106</v>
      </c>
      <c r="CC117" s="3">
        <v>11</v>
      </c>
      <c r="CD117" s="3">
        <v>75.650000000000006</v>
      </c>
      <c r="CE117" s="3">
        <f t="shared" si="227"/>
        <v>86.65</v>
      </c>
      <c r="CF117" s="3">
        <v>117.37</v>
      </c>
      <c r="CG117" s="4">
        <v>1909692.5</v>
      </c>
      <c r="CH117" s="707">
        <v>12</v>
      </c>
      <c r="CI117" s="3">
        <v>10</v>
      </c>
      <c r="CK117" s="3">
        <f t="shared" si="228"/>
        <v>10</v>
      </c>
      <c r="CL117" s="3">
        <v>36</v>
      </c>
      <c r="CM117" s="4">
        <v>468000</v>
      </c>
    </row>
    <row r="118" spans="1:91" x14ac:dyDescent="0.25">
      <c r="A118" s="719" t="s">
        <v>429</v>
      </c>
      <c r="E118" s="3">
        <f t="shared" si="214"/>
        <v>0</v>
      </c>
      <c r="H118" s="707"/>
      <c r="K118" s="3">
        <f t="shared" si="215"/>
        <v>0</v>
      </c>
      <c r="N118" s="707"/>
      <c r="Q118" s="3">
        <f t="shared" si="216"/>
        <v>0</v>
      </c>
      <c r="S118" s="4"/>
      <c r="T118" s="707">
        <v>32</v>
      </c>
      <c r="U118" s="3">
        <v>12</v>
      </c>
      <c r="V118" s="3">
        <v>12</v>
      </c>
      <c r="W118" s="3">
        <f t="shared" si="217"/>
        <v>24</v>
      </c>
      <c r="X118" s="3">
        <v>20</v>
      </c>
      <c r="Y118" s="4">
        <v>462500</v>
      </c>
      <c r="Z118" s="707"/>
      <c r="AC118" s="3">
        <f t="shared" si="218"/>
        <v>0</v>
      </c>
      <c r="AE118" s="4"/>
      <c r="AI118" s="3">
        <f t="shared" si="229"/>
        <v>0</v>
      </c>
      <c r="AL118" s="707"/>
      <c r="AO118" s="3">
        <f t="shared" si="220"/>
        <v>0</v>
      </c>
      <c r="AQ118" s="4"/>
      <c r="AU118" s="3">
        <f t="shared" si="221"/>
        <v>0</v>
      </c>
      <c r="AX118" s="707"/>
      <c r="BA118" s="3">
        <f t="shared" si="222"/>
        <v>0</v>
      </c>
      <c r="BC118" s="4"/>
      <c r="BD118" s="3">
        <v>65</v>
      </c>
      <c r="BE118" s="3">
        <v>18.350000000000001</v>
      </c>
      <c r="BF118" s="3">
        <v>7.64</v>
      </c>
      <c r="BG118" s="3">
        <f t="shared" si="223"/>
        <v>25.990000000000002</v>
      </c>
      <c r="BH118" s="3">
        <v>1.2</v>
      </c>
      <c r="BI118" s="3">
        <v>80830</v>
      </c>
      <c r="BJ118" s="707">
        <v>9</v>
      </c>
      <c r="BL118" s="3">
        <v>4.95</v>
      </c>
      <c r="BM118" s="3">
        <f t="shared" si="224"/>
        <v>4.95</v>
      </c>
      <c r="BN118" s="3">
        <v>7.43</v>
      </c>
      <c r="BO118" s="4">
        <v>126225</v>
      </c>
      <c r="BP118" s="707"/>
      <c r="BS118" s="3">
        <f t="shared" si="225"/>
        <v>0</v>
      </c>
      <c r="BU118" s="4"/>
      <c r="BV118" s="707"/>
      <c r="BY118" s="3">
        <f t="shared" si="226"/>
        <v>0</v>
      </c>
      <c r="CA118" s="4"/>
      <c r="CB118" s="707"/>
      <c r="CE118" s="3">
        <f t="shared" si="227"/>
        <v>0</v>
      </c>
      <c r="CG118" s="4"/>
      <c r="CH118" s="707">
        <v>17</v>
      </c>
      <c r="CI118" s="3">
        <v>8.6999999999999993</v>
      </c>
      <c r="CK118" s="3">
        <f t="shared" si="228"/>
        <v>8.6999999999999993</v>
      </c>
      <c r="CL118" s="3">
        <v>24.6</v>
      </c>
      <c r="CM118" s="4">
        <v>418200</v>
      </c>
    </row>
    <row r="119" spans="1:91" x14ac:dyDescent="0.25">
      <c r="A119" s="719" t="s">
        <v>430</v>
      </c>
      <c r="E119" s="3">
        <f t="shared" si="214"/>
        <v>0</v>
      </c>
      <c r="H119" s="707"/>
      <c r="K119" s="3">
        <f t="shared" si="215"/>
        <v>0</v>
      </c>
      <c r="N119" s="707">
        <v>2519</v>
      </c>
      <c r="O119" s="3">
        <v>1012.5</v>
      </c>
      <c r="Q119" s="3">
        <f t="shared" si="216"/>
        <v>1012.5</v>
      </c>
      <c r="R119" s="3">
        <v>3543.75</v>
      </c>
      <c r="S119" s="4">
        <v>60243750</v>
      </c>
      <c r="T119" s="707">
        <v>537</v>
      </c>
      <c r="U119" s="3">
        <v>26.71</v>
      </c>
      <c r="V119" s="3">
        <v>100</v>
      </c>
      <c r="W119" s="3">
        <f t="shared" si="217"/>
        <v>126.71000000000001</v>
      </c>
      <c r="X119" s="3">
        <v>104.36</v>
      </c>
      <c r="Y119" s="4">
        <v>1549023.13</v>
      </c>
      <c r="Z119" s="707"/>
      <c r="AC119" s="3">
        <f t="shared" si="218"/>
        <v>0</v>
      </c>
      <c r="AE119" s="4"/>
      <c r="AI119" s="3">
        <f t="shared" si="229"/>
        <v>0</v>
      </c>
      <c r="AL119" s="707"/>
      <c r="AO119" s="3">
        <f t="shared" si="220"/>
        <v>0</v>
      </c>
      <c r="AQ119" s="4"/>
      <c r="AU119" s="3">
        <f t="shared" si="221"/>
        <v>0</v>
      </c>
      <c r="AX119" s="707"/>
      <c r="BA119" s="3">
        <f t="shared" si="222"/>
        <v>0</v>
      </c>
      <c r="BC119" s="4"/>
      <c r="BG119" s="3">
        <f t="shared" si="223"/>
        <v>0</v>
      </c>
      <c r="BJ119" s="707">
        <v>6</v>
      </c>
      <c r="BL119" s="3">
        <v>1.25</v>
      </c>
      <c r="BM119" s="3">
        <f t="shared" si="224"/>
        <v>1.25</v>
      </c>
      <c r="BN119" s="3">
        <v>0.96</v>
      </c>
      <c r="BO119" s="4">
        <v>13445.25</v>
      </c>
      <c r="BP119" s="707">
        <v>242</v>
      </c>
      <c r="BQ119" s="3">
        <v>49.26</v>
      </c>
      <c r="BR119" s="3">
        <v>88.41</v>
      </c>
      <c r="BS119" s="3">
        <f t="shared" si="225"/>
        <v>137.66999999999999</v>
      </c>
      <c r="BT119" s="3">
        <v>389.81</v>
      </c>
      <c r="BU119" s="4">
        <v>5067530</v>
      </c>
      <c r="BV119" s="707"/>
      <c r="BY119" s="3">
        <f t="shared" si="226"/>
        <v>0</v>
      </c>
      <c r="CA119" s="4"/>
      <c r="CB119" s="707">
        <v>14</v>
      </c>
      <c r="CD119" s="3">
        <v>11.8</v>
      </c>
      <c r="CE119" s="3">
        <f t="shared" si="227"/>
        <v>11.8</v>
      </c>
      <c r="CF119" s="3">
        <v>23.01</v>
      </c>
      <c r="CG119" s="4">
        <v>299130</v>
      </c>
      <c r="CH119" s="707"/>
      <c r="CK119" s="3">
        <f t="shared" si="228"/>
        <v>0</v>
      </c>
      <c r="CM119" s="4"/>
    </row>
    <row r="120" spans="1:91" x14ac:dyDescent="0.25">
      <c r="A120" s="719" t="s">
        <v>431</v>
      </c>
      <c r="E120" s="3">
        <f t="shared" si="214"/>
        <v>0</v>
      </c>
      <c r="H120" s="707"/>
      <c r="K120" s="3">
        <f t="shared" si="215"/>
        <v>0</v>
      </c>
      <c r="N120" s="707"/>
      <c r="Q120" s="3">
        <f t="shared" si="216"/>
        <v>0</v>
      </c>
      <c r="S120" s="4"/>
      <c r="T120" s="707">
        <v>40</v>
      </c>
      <c r="V120" s="3">
        <v>26.1</v>
      </c>
      <c r="W120" s="3">
        <f t="shared" si="217"/>
        <v>26.1</v>
      </c>
      <c r="X120" s="3">
        <v>46.33</v>
      </c>
      <c r="Y120" s="4">
        <v>39150</v>
      </c>
      <c r="Z120" s="707"/>
      <c r="AC120" s="3">
        <f t="shared" si="218"/>
        <v>0</v>
      </c>
      <c r="AE120" s="4"/>
      <c r="AI120" s="3">
        <f t="shared" si="229"/>
        <v>0</v>
      </c>
      <c r="AL120" s="707"/>
      <c r="AO120" s="3">
        <f t="shared" si="220"/>
        <v>0</v>
      </c>
      <c r="AQ120" s="4"/>
      <c r="AU120" s="3">
        <f t="shared" si="221"/>
        <v>0</v>
      </c>
      <c r="AX120" s="707"/>
      <c r="BA120" s="3">
        <f t="shared" si="222"/>
        <v>0</v>
      </c>
      <c r="BC120" s="4"/>
      <c r="BG120" s="3">
        <f t="shared" si="223"/>
        <v>0</v>
      </c>
      <c r="BJ120" s="707">
        <v>12</v>
      </c>
      <c r="BL120" s="3">
        <v>8.5</v>
      </c>
      <c r="BM120" s="3">
        <f t="shared" si="224"/>
        <v>8.5</v>
      </c>
      <c r="BO120" s="4">
        <v>85000</v>
      </c>
      <c r="BP120" s="707"/>
      <c r="BS120" s="3">
        <f t="shared" si="225"/>
        <v>0</v>
      </c>
      <c r="BU120" s="4"/>
      <c r="BV120" s="707">
        <v>9</v>
      </c>
      <c r="BX120" s="3">
        <v>5.6</v>
      </c>
      <c r="BY120" s="3">
        <f t="shared" si="226"/>
        <v>5.6</v>
      </c>
      <c r="BZ120" s="3">
        <v>4.99</v>
      </c>
      <c r="CA120" s="4">
        <v>84864</v>
      </c>
      <c r="CB120" s="707"/>
      <c r="CE120" s="3">
        <f t="shared" si="227"/>
        <v>0</v>
      </c>
      <c r="CG120" s="4"/>
      <c r="CH120" s="707">
        <v>12</v>
      </c>
      <c r="CI120" s="3">
        <v>1.5</v>
      </c>
      <c r="CJ120" s="3">
        <v>6</v>
      </c>
      <c r="CK120" s="3">
        <f t="shared" si="228"/>
        <v>7.5</v>
      </c>
      <c r="CL120" s="3">
        <v>8.4</v>
      </c>
      <c r="CM120" s="4">
        <v>142800</v>
      </c>
    </row>
    <row r="121" spans="1:91" x14ac:dyDescent="0.25">
      <c r="A121" s="719" t="s">
        <v>432</v>
      </c>
      <c r="E121" s="3">
        <f t="shared" si="214"/>
        <v>0</v>
      </c>
      <c r="H121" s="707"/>
      <c r="K121" s="3">
        <f t="shared" si="215"/>
        <v>0</v>
      </c>
      <c r="N121" s="707"/>
      <c r="Q121" s="3">
        <f t="shared" si="216"/>
        <v>0</v>
      </c>
      <c r="S121" s="4"/>
      <c r="T121" s="707"/>
      <c r="W121" s="3">
        <f t="shared" si="217"/>
        <v>0</v>
      </c>
      <c r="Y121" s="4"/>
      <c r="Z121" s="707"/>
      <c r="AC121" s="3">
        <f t="shared" si="218"/>
        <v>0</v>
      </c>
      <c r="AE121" s="4"/>
      <c r="AI121" s="3">
        <f t="shared" si="229"/>
        <v>0</v>
      </c>
      <c r="AL121" s="707"/>
      <c r="AO121" s="3">
        <f t="shared" si="220"/>
        <v>0</v>
      </c>
      <c r="AQ121" s="4"/>
      <c r="AU121" s="3">
        <f t="shared" si="221"/>
        <v>0</v>
      </c>
      <c r="AX121" s="707"/>
      <c r="BA121" s="3">
        <f t="shared" si="222"/>
        <v>0</v>
      </c>
      <c r="BC121" s="4"/>
      <c r="BG121" s="3">
        <f t="shared" si="223"/>
        <v>0</v>
      </c>
      <c r="BJ121" s="707"/>
      <c r="BM121" s="3">
        <f t="shared" si="224"/>
        <v>0</v>
      </c>
      <c r="BO121" s="4"/>
      <c r="BP121" s="707"/>
      <c r="BS121" s="3">
        <f t="shared" si="225"/>
        <v>0</v>
      </c>
      <c r="BU121" s="4"/>
      <c r="BV121" s="707"/>
      <c r="BY121" s="3">
        <f t="shared" si="226"/>
        <v>0</v>
      </c>
      <c r="CA121" s="4"/>
      <c r="CB121" s="707"/>
      <c r="CE121" s="3">
        <f t="shared" si="227"/>
        <v>0</v>
      </c>
      <c r="CG121" s="4"/>
      <c r="CH121" s="707"/>
      <c r="CK121" s="3">
        <f t="shared" si="228"/>
        <v>0</v>
      </c>
      <c r="CM121" s="4"/>
    </row>
    <row r="122" spans="1:91" x14ac:dyDescent="0.25">
      <c r="A122" s="719" t="s">
        <v>433</v>
      </c>
      <c r="E122" s="3">
        <f t="shared" si="214"/>
        <v>0</v>
      </c>
      <c r="H122" s="707">
        <v>35</v>
      </c>
      <c r="J122" s="3">
        <v>8</v>
      </c>
      <c r="K122" s="3">
        <f t="shared" si="215"/>
        <v>8</v>
      </c>
      <c r="L122" s="3">
        <v>16</v>
      </c>
      <c r="M122" s="3">
        <v>256000</v>
      </c>
      <c r="N122" s="707"/>
      <c r="Q122" s="3">
        <f t="shared" si="216"/>
        <v>0</v>
      </c>
      <c r="S122" s="4"/>
      <c r="T122" s="707">
        <v>774</v>
      </c>
      <c r="V122" s="3">
        <v>546</v>
      </c>
      <c r="W122" s="3">
        <f t="shared" si="217"/>
        <v>546</v>
      </c>
      <c r="Y122" s="4">
        <v>819000</v>
      </c>
      <c r="Z122" s="707">
        <v>775</v>
      </c>
      <c r="AB122" s="3">
        <v>494.95</v>
      </c>
      <c r="AC122" s="3">
        <f t="shared" si="218"/>
        <v>494.95</v>
      </c>
      <c r="AD122" s="3">
        <v>325.3</v>
      </c>
      <c r="AE122" s="4">
        <v>3903600</v>
      </c>
      <c r="AI122" s="3">
        <f t="shared" si="229"/>
        <v>0</v>
      </c>
      <c r="AL122" s="707"/>
      <c r="AO122" s="3">
        <f t="shared" si="220"/>
        <v>0</v>
      </c>
      <c r="AQ122" s="4"/>
      <c r="AU122" s="3">
        <f t="shared" si="221"/>
        <v>0</v>
      </c>
      <c r="AX122" s="707"/>
      <c r="BA122" s="3">
        <f t="shared" si="222"/>
        <v>0</v>
      </c>
      <c r="BC122" s="4"/>
      <c r="BD122" s="3">
        <v>790</v>
      </c>
      <c r="BF122" s="3">
        <v>442.38</v>
      </c>
      <c r="BG122" s="3">
        <f t="shared" si="223"/>
        <v>442.38</v>
      </c>
      <c r="BH122" s="3">
        <v>641.53</v>
      </c>
      <c r="BI122" s="3">
        <v>9238500</v>
      </c>
      <c r="BJ122" s="707">
        <v>200</v>
      </c>
      <c r="BL122" s="3">
        <v>185.48</v>
      </c>
      <c r="BM122" s="3">
        <f t="shared" si="224"/>
        <v>185.48</v>
      </c>
      <c r="BN122" s="3">
        <v>389.51</v>
      </c>
      <c r="BO122" s="4">
        <v>6621636</v>
      </c>
      <c r="BP122" s="707">
        <v>178</v>
      </c>
      <c r="BR122" s="3">
        <v>142.62</v>
      </c>
      <c r="BS122" s="3">
        <f t="shared" si="225"/>
        <v>142.62</v>
      </c>
      <c r="BT122" s="3">
        <v>188.35</v>
      </c>
      <c r="BU122" s="4">
        <v>2260173.6</v>
      </c>
      <c r="BV122" s="707">
        <v>421</v>
      </c>
      <c r="BW122" s="3">
        <v>11.5</v>
      </c>
      <c r="BX122" s="3">
        <v>365.08</v>
      </c>
      <c r="BY122" s="3">
        <f t="shared" si="226"/>
        <v>376.58</v>
      </c>
      <c r="BZ122" s="3">
        <v>491.78</v>
      </c>
      <c r="CA122" s="4">
        <v>5901345</v>
      </c>
      <c r="CB122" s="707">
        <v>987</v>
      </c>
      <c r="CC122" s="3">
        <v>922</v>
      </c>
      <c r="CE122" s="3">
        <f t="shared" si="227"/>
        <v>922</v>
      </c>
      <c r="CF122" s="3">
        <v>1798</v>
      </c>
      <c r="CG122" s="4">
        <v>23186000</v>
      </c>
      <c r="CH122" s="707"/>
      <c r="CK122" s="3">
        <f t="shared" si="228"/>
        <v>0</v>
      </c>
      <c r="CM122" s="4"/>
    </row>
    <row r="123" spans="1:91" x14ac:dyDescent="0.25">
      <c r="A123" s="719" t="s">
        <v>41</v>
      </c>
      <c r="E123" s="3">
        <f t="shared" si="214"/>
        <v>0</v>
      </c>
      <c r="H123" s="707"/>
      <c r="K123" s="3">
        <f t="shared" si="215"/>
        <v>0</v>
      </c>
      <c r="N123" s="707"/>
      <c r="Q123" s="3">
        <f t="shared" si="216"/>
        <v>0</v>
      </c>
      <c r="S123" s="4"/>
      <c r="T123" s="707">
        <v>5</v>
      </c>
      <c r="U123" s="3">
        <v>0.25</v>
      </c>
      <c r="V123" s="3">
        <v>2</v>
      </c>
      <c r="W123" s="3">
        <f t="shared" si="217"/>
        <v>2.25</v>
      </c>
      <c r="Y123" s="4">
        <v>14250</v>
      </c>
      <c r="Z123" s="707"/>
      <c r="AC123" s="3">
        <f t="shared" si="218"/>
        <v>0</v>
      </c>
      <c r="AE123" s="4"/>
      <c r="AI123" s="3">
        <f t="shared" si="229"/>
        <v>0</v>
      </c>
      <c r="AL123" s="707"/>
      <c r="AO123" s="3">
        <f t="shared" si="220"/>
        <v>0</v>
      </c>
      <c r="AQ123" s="4"/>
      <c r="AU123" s="3">
        <f t="shared" si="221"/>
        <v>0</v>
      </c>
      <c r="AX123" s="707"/>
      <c r="BA123" s="3">
        <f t="shared" si="222"/>
        <v>0</v>
      </c>
      <c r="BC123" s="4"/>
      <c r="BG123" s="3">
        <f t="shared" si="223"/>
        <v>0</v>
      </c>
      <c r="BJ123" s="707"/>
      <c r="BM123" s="3">
        <f t="shared" si="224"/>
        <v>0</v>
      </c>
      <c r="BO123" s="4"/>
      <c r="BP123" s="707"/>
      <c r="BS123" s="3">
        <f t="shared" si="225"/>
        <v>0</v>
      </c>
      <c r="BU123" s="4"/>
      <c r="BV123" s="707">
        <v>26</v>
      </c>
      <c r="BW123" s="3">
        <v>16</v>
      </c>
      <c r="BX123" s="3">
        <v>4</v>
      </c>
      <c r="BY123" s="3">
        <f t="shared" si="226"/>
        <v>20</v>
      </c>
      <c r="BZ123" s="3">
        <v>36.299999999999997</v>
      </c>
      <c r="CA123" s="4">
        <v>434300</v>
      </c>
      <c r="CB123" s="707"/>
      <c r="CE123" s="3">
        <f t="shared" si="227"/>
        <v>0</v>
      </c>
      <c r="CG123" s="4"/>
      <c r="CH123" s="707"/>
      <c r="CK123" s="3">
        <f t="shared" si="228"/>
        <v>0</v>
      </c>
      <c r="CM123" s="4"/>
    </row>
    <row r="124" spans="1:91" x14ac:dyDescent="0.25">
      <c r="A124" s="719" t="s">
        <v>434</v>
      </c>
      <c r="E124" s="3">
        <f t="shared" si="214"/>
        <v>0</v>
      </c>
      <c r="H124" s="707"/>
      <c r="K124" s="3">
        <f t="shared" si="215"/>
        <v>0</v>
      </c>
      <c r="N124" s="707"/>
      <c r="Q124" s="3">
        <f t="shared" si="216"/>
        <v>0</v>
      </c>
      <c r="S124" s="4"/>
      <c r="T124" s="707">
        <v>4</v>
      </c>
      <c r="U124" s="3">
        <v>4</v>
      </c>
      <c r="W124" s="3">
        <f t="shared" si="217"/>
        <v>4</v>
      </c>
      <c r="Y124" s="4">
        <v>60000</v>
      </c>
      <c r="Z124" s="707"/>
      <c r="AC124" s="3">
        <f t="shared" si="218"/>
        <v>0</v>
      </c>
      <c r="AE124" s="4"/>
      <c r="AI124" s="3">
        <f t="shared" si="229"/>
        <v>0</v>
      </c>
      <c r="AL124" s="707"/>
      <c r="AO124" s="3">
        <f t="shared" si="220"/>
        <v>0</v>
      </c>
      <c r="AQ124" s="4"/>
      <c r="AU124" s="3">
        <f t="shared" si="221"/>
        <v>0</v>
      </c>
      <c r="AX124" s="707"/>
      <c r="BA124" s="3">
        <f t="shared" si="222"/>
        <v>0</v>
      </c>
      <c r="BC124" s="4"/>
      <c r="BG124" s="3">
        <f t="shared" si="223"/>
        <v>0</v>
      </c>
      <c r="BJ124" s="707"/>
      <c r="BM124" s="3">
        <f t="shared" si="224"/>
        <v>0</v>
      </c>
      <c r="BO124" s="4"/>
      <c r="BP124" s="707"/>
      <c r="BS124" s="3">
        <f t="shared" si="225"/>
        <v>0</v>
      </c>
      <c r="BU124" s="4"/>
      <c r="BV124" s="707">
        <v>12</v>
      </c>
      <c r="BX124" s="3">
        <v>15</v>
      </c>
      <c r="BY124" s="3">
        <f t="shared" si="226"/>
        <v>15</v>
      </c>
      <c r="BZ124" s="3">
        <v>10.91</v>
      </c>
      <c r="CA124" s="4">
        <v>120000</v>
      </c>
      <c r="CB124" s="707"/>
      <c r="CE124" s="3">
        <f t="shared" si="227"/>
        <v>0</v>
      </c>
      <c r="CG124" s="4"/>
      <c r="CH124" s="707"/>
      <c r="CK124" s="3">
        <f t="shared" si="228"/>
        <v>0</v>
      </c>
      <c r="CM124" s="4"/>
    </row>
    <row r="125" spans="1:91" x14ac:dyDescent="0.25">
      <c r="A125" s="719" t="s">
        <v>435</v>
      </c>
      <c r="E125" s="3">
        <f t="shared" si="214"/>
        <v>0</v>
      </c>
      <c r="H125" s="707"/>
      <c r="K125" s="3">
        <f t="shared" si="215"/>
        <v>0</v>
      </c>
      <c r="N125" s="707"/>
      <c r="Q125" s="3">
        <f t="shared" si="216"/>
        <v>0</v>
      </c>
      <c r="S125" s="4"/>
      <c r="T125" s="707"/>
      <c r="W125" s="3">
        <f t="shared" si="217"/>
        <v>0</v>
      </c>
      <c r="Y125" s="4"/>
      <c r="Z125" s="707"/>
      <c r="AC125" s="3">
        <f t="shared" si="218"/>
        <v>0</v>
      </c>
      <c r="AE125" s="4"/>
      <c r="AI125" s="3">
        <f t="shared" si="229"/>
        <v>0</v>
      </c>
      <c r="AL125" s="707"/>
      <c r="AO125" s="3">
        <f t="shared" si="220"/>
        <v>0</v>
      </c>
      <c r="AQ125" s="4"/>
      <c r="AU125" s="3">
        <f t="shared" si="221"/>
        <v>0</v>
      </c>
      <c r="AX125" s="707"/>
      <c r="BA125" s="3">
        <f t="shared" si="222"/>
        <v>0</v>
      </c>
      <c r="BC125" s="4"/>
      <c r="BG125" s="3">
        <f t="shared" si="223"/>
        <v>0</v>
      </c>
      <c r="BJ125" s="707"/>
      <c r="BM125" s="3">
        <f t="shared" si="224"/>
        <v>0</v>
      </c>
      <c r="BO125" s="4"/>
      <c r="BP125" s="707"/>
      <c r="BS125" s="3">
        <f t="shared" si="225"/>
        <v>0</v>
      </c>
      <c r="BU125" s="4"/>
      <c r="BV125" s="707">
        <v>7</v>
      </c>
      <c r="BW125" s="3">
        <v>5</v>
      </c>
      <c r="BY125" s="3">
        <f t="shared" si="226"/>
        <v>5</v>
      </c>
      <c r="CA125" s="4">
        <v>125000</v>
      </c>
      <c r="CB125" s="707"/>
      <c r="CE125" s="3">
        <f t="shared" si="227"/>
        <v>0</v>
      </c>
      <c r="CG125" s="4"/>
      <c r="CH125" s="707">
        <v>1</v>
      </c>
      <c r="CI125" s="3">
        <v>2</v>
      </c>
      <c r="CK125" s="3">
        <f t="shared" si="228"/>
        <v>2</v>
      </c>
      <c r="CM125" s="4">
        <v>50000</v>
      </c>
    </row>
    <row r="126" spans="1:91" x14ac:dyDescent="0.25">
      <c r="A126" s="719" t="s">
        <v>436</v>
      </c>
      <c r="E126" s="3">
        <f t="shared" si="214"/>
        <v>0</v>
      </c>
      <c r="H126" s="707"/>
      <c r="K126" s="3">
        <f t="shared" si="215"/>
        <v>0</v>
      </c>
      <c r="N126" s="707"/>
      <c r="Q126" s="3">
        <f t="shared" si="216"/>
        <v>0</v>
      </c>
      <c r="S126" s="4"/>
      <c r="T126" s="707">
        <v>36</v>
      </c>
      <c r="U126" s="3">
        <v>54.25</v>
      </c>
      <c r="W126" s="3">
        <f t="shared" si="217"/>
        <v>54.25</v>
      </c>
      <c r="Y126" s="4">
        <v>1655750</v>
      </c>
      <c r="Z126" s="707"/>
      <c r="AC126" s="3">
        <f t="shared" si="218"/>
        <v>0</v>
      </c>
      <c r="AE126" s="4"/>
      <c r="AI126" s="3">
        <f t="shared" si="229"/>
        <v>0</v>
      </c>
      <c r="AL126" s="707"/>
      <c r="AO126" s="3">
        <f t="shared" si="220"/>
        <v>0</v>
      </c>
      <c r="AQ126" s="4"/>
      <c r="AU126" s="3">
        <f t="shared" si="221"/>
        <v>0</v>
      </c>
      <c r="AX126" s="707"/>
      <c r="BA126" s="3">
        <f t="shared" si="222"/>
        <v>0</v>
      </c>
      <c r="BC126" s="4"/>
      <c r="BG126" s="3">
        <f t="shared" si="223"/>
        <v>0</v>
      </c>
      <c r="BJ126" s="707"/>
      <c r="BM126" s="3">
        <f t="shared" si="224"/>
        <v>0</v>
      </c>
      <c r="BO126" s="4"/>
      <c r="BP126" s="707"/>
      <c r="BS126" s="3">
        <f t="shared" si="225"/>
        <v>0</v>
      </c>
      <c r="BU126" s="4"/>
      <c r="BV126" s="707"/>
      <c r="BY126" s="3">
        <f t="shared" si="226"/>
        <v>0</v>
      </c>
      <c r="CA126" s="4"/>
      <c r="CB126" s="707"/>
      <c r="CE126" s="3">
        <f t="shared" si="227"/>
        <v>0</v>
      </c>
      <c r="CG126" s="4"/>
      <c r="CH126" s="707"/>
      <c r="CK126" s="3">
        <f t="shared" si="228"/>
        <v>0</v>
      </c>
      <c r="CM126" s="4"/>
    </row>
    <row r="127" spans="1:91" x14ac:dyDescent="0.25">
      <c r="A127" s="719" t="s">
        <v>437</v>
      </c>
      <c r="E127" s="3">
        <f t="shared" si="214"/>
        <v>0</v>
      </c>
      <c r="H127" s="707"/>
      <c r="K127" s="3">
        <f t="shared" si="215"/>
        <v>0</v>
      </c>
      <c r="N127" s="707"/>
      <c r="Q127" s="3">
        <f t="shared" si="216"/>
        <v>0</v>
      </c>
      <c r="S127" s="4"/>
      <c r="T127" s="707">
        <v>12</v>
      </c>
      <c r="U127" s="3">
        <v>9</v>
      </c>
      <c r="W127" s="3">
        <f t="shared" si="217"/>
        <v>9</v>
      </c>
      <c r="Y127" s="4">
        <v>27000</v>
      </c>
      <c r="Z127" s="707"/>
      <c r="AC127" s="3">
        <f t="shared" si="218"/>
        <v>0</v>
      </c>
      <c r="AE127" s="4"/>
      <c r="AL127" s="707"/>
      <c r="AO127" s="3">
        <f t="shared" si="220"/>
        <v>0</v>
      </c>
      <c r="AQ127" s="4"/>
      <c r="AU127" s="3">
        <f t="shared" si="221"/>
        <v>0</v>
      </c>
      <c r="AX127" s="707"/>
      <c r="BC127" s="4"/>
      <c r="BD127" s="3">
        <v>35</v>
      </c>
      <c r="BE127" s="3">
        <v>6.5</v>
      </c>
      <c r="BF127" s="3">
        <v>25.5</v>
      </c>
      <c r="BG127" s="3">
        <f t="shared" si="223"/>
        <v>32</v>
      </c>
      <c r="BH127" s="3">
        <v>22.75</v>
      </c>
      <c r="BI127" s="3">
        <v>311250</v>
      </c>
      <c r="BJ127" s="707"/>
      <c r="BO127" s="4"/>
      <c r="BP127" s="707"/>
      <c r="BU127" s="4"/>
      <c r="BV127" s="707">
        <v>10</v>
      </c>
      <c r="BX127" s="3">
        <v>13.2</v>
      </c>
      <c r="BY127" s="3">
        <f t="shared" si="226"/>
        <v>13.2</v>
      </c>
      <c r="BZ127" s="3">
        <v>45.88</v>
      </c>
      <c r="CA127" s="4">
        <v>779999.46</v>
      </c>
      <c r="CB127" s="707">
        <v>7</v>
      </c>
      <c r="CC127" s="3">
        <v>7</v>
      </c>
      <c r="CE127" s="3">
        <f t="shared" si="227"/>
        <v>7</v>
      </c>
      <c r="CG127" s="4">
        <v>35000</v>
      </c>
      <c r="CH127" s="707"/>
      <c r="CM127" s="4"/>
    </row>
    <row r="128" spans="1:91" x14ac:dyDescent="0.25">
      <c r="A128" s="721" t="s">
        <v>74</v>
      </c>
      <c r="B128" s="705"/>
      <c r="C128" s="705"/>
      <c r="D128" s="705"/>
      <c r="E128" s="705">
        <f t="shared" si="214"/>
        <v>0</v>
      </c>
      <c r="F128" s="705"/>
      <c r="G128" s="705"/>
      <c r="H128" s="708"/>
      <c r="I128" s="705"/>
      <c r="J128" s="705"/>
      <c r="K128" s="705">
        <f t="shared" si="215"/>
        <v>0</v>
      </c>
      <c r="L128" s="705"/>
      <c r="M128" s="705"/>
      <c r="N128" s="708"/>
      <c r="O128" s="705"/>
      <c r="P128" s="705"/>
      <c r="Q128" s="705">
        <f t="shared" si="216"/>
        <v>0</v>
      </c>
      <c r="R128" s="705"/>
      <c r="S128" s="706"/>
      <c r="T128" s="708"/>
      <c r="U128" s="705"/>
      <c r="V128" s="705"/>
      <c r="W128" s="705">
        <f t="shared" si="217"/>
        <v>0</v>
      </c>
      <c r="X128" s="705"/>
      <c r="Y128" s="706"/>
      <c r="Z128" s="708"/>
      <c r="AA128" s="705"/>
      <c r="AB128" s="705"/>
      <c r="AC128" s="705">
        <f t="shared" si="218"/>
        <v>0</v>
      </c>
      <c r="AD128" s="705"/>
      <c r="AE128" s="706"/>
      <c r="AF128" s="705"/>
      <c r="AG128" s="705"/>
      <c r="AH128" s="705"/>
      <c r="AI128" s="705">
        <f t="shared" si="229"/>
        <v>0</v>
      </c>
      <c r="AJ128" s="705"/>
      <c r="AK128" s="705"/>
      <c r="AL128" s="708"/>
      <c r="AM128" s="705"/>
      <c r="AN128" s="705"/>
      <c r="AO128" s="705">
        <f t="shared" si="220"/>
        <v>0</v>
      </c>
      <c r="AP128" s="705"/>
      <c r="AQ128" s="706"/>
      <c r="AR128" s="705"/>
      <c r="AS128" s="705"/>
      <c r="AT128" s="705"/>
      <c r="AU128" s="705">
        <f t="shared" si="221"/>
        <v>0</v>
      </c>
      <c r="AV128" s="705"/>
      <c r="AW128" s="705"/>
      <c r="AX128" s="708">
        <v>2</v>
      </c>
      <c r="AY128" s="705">
        <v>1.5</v>
      </c>
      <c r="AZ128" s="705"/>
      <c r="BA128" s="705">
        <f t="shared" si="222"/>
        <v>1.5</v>
      </c>
      <c r="BB128" s="705">
        <v>5.73</v>
      </c>
      <c r="BC128" s="706">
        <v>126060</v>
      </c>
      <c r="BD128" s="705"/>
      <c r="BE128" s="705"/>
      <c r="BF128" s="705"/>
      <c r="BG128" s="705">
        <f t="shared" si="223"/>
        <v>0</v>
      </c>
      <c r="BH128" s="705"/>
      <c r="BI128" s="705"/>
      <c r="BJ128" s="708"/>
      <c r="BK128" s="705"/>
      <c r="BL128" s="705"/>
      <c r="BM128" s="705">
        <f t="shared" si="224"/>
        <v>0</v>
      </c>
      <c r="BN128" s="705"/>
      <c r="BO128" s="706"/>
      <c r="BP128" s="708"/>
      <c r="BQ128" s="705"/>
      <c r="BR128" s="705"/>
      <c r="BS128" s="705">
        <f t="shared" ref="BS128" si="230">SUM(BQ128:BR128)</f>
        <v>0</v>
      </c>
      <c r="BT128" s="705"/>
      <c r="BU128" s="706"/>
      <c r="BV128" s="708"/>
      <c r="BW128" s="705"/>
      <c r="BX128" s="705"/>
      <c r="BY128" s="705">
        <f t="shared" ref="BY128" si="231">SUM(BW128:BX128)</f>
        <v>0</v>
      </c>
      <c r="BZ128" s="705"/>
      <c r="CA128" s="706"/>
      <c r="CB128" s="708"/>
      <c r="CC128" s="705"/>
      <c r="CD128" s="705"/>
      <c r="CE128" s="705">
        <f t="shared" ref="CE128" si="232">SUM(CC128:CD128)</f>
        <v>0</v>
      </c>
      <c r="CF128" s="705"/>
      <c r="CG128" s="706"/>
      <c r="CH128" s="708"/>
      <c r="CI128" s="705"/>
      <c r="CJ128" s="705"/>
      <c r="CK128" s="705">
        <f t="shared" ref="CK128" si="233">SUM(CI128:CJ128)</f>
        <v>0</v>
      </c>
      <c r="CL128" s="705"/>
      <c r="CM128" s="706"/>
    </row>
  </sheetData>
  <mergeCells count="15">
    <mergeCell ref="T8:Y8"/>
    <mergeCell ref="AL8:AQ8"/>
    <mergeCell ref="N8:S8"/>
    <mergeCell ref="H8:M8"/>
    <mergeCell ref="B8:G8"/>
    <mergeCell ref="Z8:AE8"/>
    <mergeCell ref="AF8:AK8"/>
    <mergeCell ref="BV8:CA8"/>
    <mergeCell ref="CB8:CG8"/>
    <mergeCell ref="CH8:CM8"/>
    <mergeCell ref="AR8:AW8"/>
    <mergeCell ref="AX8:BC8"/>
    <mergeCell ref="BD8:BI8"/>
    <mergeCell ref="BJ8:BO8"/>
    <mergeCell ref="BP8:BU8"/>
  </mergeCells>
  <phoneticPr fontId="5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71575-302D-A441-9A99-CE2AA8B70705}">
  <dimension ref="A1:U81"/>
  <sheetViews>
    <sheetView showGridLines="0" zoomScaleNormal="100" zoomScaleSheetLayoutView="70" zoomScalePageLayoutView="115" workbookViewId="0">
      <selection activeCell="A63" sqref="A63"/>
    </sheetView>
  </sheetViews>
  <sheetFormatPr defaultColWidth="11.42578125" defaultRowHeight="18.75" customHeight="1" x14ac:dyDescent="0.25"/>
  <cols>
    <col min="1" max="1" width="24.42578125" style="10" customWidth="1"/>
    <col min="2" max="2" width="16.42578125" style="10" customWidth="1"/>
    <col min="3" max="3" width="15.28515625" style="18" customWidth="1"/>
    <col min="4" max="4" width="14.85546875" style="18" customWidth="1"/>
    <col min="5" max="5" width="20.85546875" style="11" customWidth="1"/>
    <col min="6" max="6" width="11.85546875" style="14" customWidth="1"/>
    <col min="7" max="7" width="12" style="14" customWidth="1"/>
    <col min="8" max="8" width="11" style="14" customWidth="1"/>
    <col min="9" max="9" width="11" style="10" bestFit="1" customWidth="1"/>
    <col min="10" max="10" width="12" style="17" customWidth="1"/>
    <col min="11" max="11" width="9.28515625" style="16" customWidth="1"/>
    <col min="12" max="12" width="14.85546875" style="15" customWidth="1"/>
    <col min="13" max="13" width="19.28515625" style="12" customWidth="1"/>
    <col min="14" max="14" width="11.42578125" style="14" customWidth="1"/>
    <col min="15" max="15" width="7.7109375" style="13" customWidth="1"/>
    <col min="16" max="16" width="18.140625" style="12" customWidth="1"/>
    <col min="17" max="17" width="15.42578125" style="12" customWidth="1"/>
    <col min="18" max="18" width="34.42578125" style="10" customWidth="1"/>
    <col min="19" max="19" width="18" style="10" customWidth="1"/>
    <col min="20" max="20" width="22.7109375" style="11" customWidth="1"/>
    <col min="21" max="21" width="29.28515625" style="10" customWidth="1"/>
    <col min="22" max="16384" width="11.42578125" style="10"/>
  </cols>
  <sheetData>
    <row r="1" spans="1:21" ht="36" customHeight="1" x14ac:dyDescent="0.25">
      <c r="A1" s="687" t="s">
        <v>184</v>
      </c>
      <c r="B1" s="687"/>
      <c r="C1" s="687"/>
      <c r="D1" s="687"/>
      <c r="E1" s="687"/>
      <c r="F1" s="687"/>
      <c r="G1" s="687"/>
      <c r="H1" s="687"/>
      <c r="I1" s="687"/>
      <c r="J1" s="687"/>
      <c r="K1" s="217"/>
      <c r="L1" s="687"/>
      <c r="M1" s="687"/>
      <c r="N1" s="688"/>
      <c r="O1" s="687"/>
      <c r="P1" s="687"/>
      <c r="Q1" s="687"/>
      <c r="R1" s="687"/>
    </row>
    <row r="2" spans="1:21" ht="18.75" customHeight="1" x14ac:dyDescent="0.25">
      <c r="A2" s="686" t="s">
        <v>320</v>
      </c>
      <c r="B2" s="217"/>
      <c r="C2" s="217"/>
      <c r="D2" s="217"/>
      <c r="E2" s="217"/>
      <c r="F2" s="217"/>
      <c r="G2" s="217"/>
      <c r="H2" s="217"/>
      <c r="I2" s="217"/>
      <c r="J2" s="217"/>
      <c r="K2" s="217"/>
      <c r="L2" s="217"/>
      <c r="M2" s="217"/>
      <c r="N2" s="275"/>
      <c r="O2" s="217"/>
      <c r="P2" s="217"/>
      <c r="Q2" s="217"/>
      <c r="R2" s="217"/>
    </row>
    <row r="3" spans="1:21" ht="18.75" customHeight="1" x14ac:dyDescent="0.25">
      <c r="A3" s="686" t="s">
        <v>319</v>
      </c>
      <c r="B3" s="217"/>
      <c r="C3" s="217"/>
      <c r="D3" s="217"/>
      <c r="E3" s="217"/>
      <c r="F3" s="217"/>
      <c r="G3" s="217"/>
      <c r="H3" s="217"/>
      <c r="I3" s="217"/>
      <c r="J3" s="217"/>
      <c r="K3" s="217"/>
      <c r="L3" s="217"/>
      <c r="M3" s="217"/>
      <c r="N3" s="275"/>
      <c r="O3" s="217"/>
      <c r="P3" s="217"/>
      <c r="Q3" s="217"/>
      <c r="R3" s="217"/>
    </row>
    <row r="4" spans="1:21" ht="18.75" customHeight="1" thickBot="1" x14ac:dyDescent="0.3">
      <c r="A4" s="182"/>
      <c r="B4" s="182"/>
      <c r="C4" s="218"/>
      <c r="D4" s="218"/>
      <c r="E4" s="190"/>
      <c r="F4" s="215"/>
      <c r="G4" s="215"/>
      <c r="H4" s="215"/>
      <c r="I4" s="217"/>
      <c r="J4" s="216"/>
      <c r="K4" s="182"/>
      <c r="L4" s="182"/>
      <c r="M4" s="215"/>
      <c r="N4" s="685"/>
      <c r="O4" s="182"/>
      <c r="P4" s="214"/>
      <c r="Q4" s="214"/>
      <c r="R4" s="182"/>
    </row>
    <row r="5" spans="1:21" ht="21" customHeight="1" x14ac:dyDescent="0.25">
      <c r="A5" s="213" t="s">
        <v>181</v>
      </c>
      <c r="B5" s="212"/>
      <c r="C5" s="211"/>
      <c r="D5" s="211"/>
      <c r="E5" s="210"/>
      <c r="F5" s="204"/>
      <c r="G5" s="204"/>
      <c r="H5" s="209" t="s">
        <v>180</v>
      </c>
      <c r="I5" s="208"/>
      <c r="J5" s="207"/>
      <c r="K5" s="203"/>
      <c r="L5" s="206"/>
      <c r="M5" s="205"/>
      <c r="N5" s="684"/>
      <c r="O5" s="203"/>
      <c r="P5" s="202"/>
      <c r="Q5" s="202"/>
      <c r="R5" s="201"/>
      <c r="T5" s="200"/>
    </row>
    <row r="6" spans="1:21" ht="18.75" customHeight="1" x14ac:dyDescent="0.25">
      <c r="A6" s="193"/>
      <c r="B6" s="192"/>
      <c r="C6" s="191"/>
      <c r="D6" s="191"/>
      <c r="E6" s="190"/>
      <c r="F6" s="189"/>
      <c r="G6" s="189"/>
      <c r="H6" s="199" t="s">
        <v>179</v>
      </c>
      <c r="I6" s="198"/>
      <c r="J6" s="197" t="s">
        <v>178</v>
      </c>
      <c r="K6" s="182"/>
      <c r="L6" s="182"/>
      <c r="M6" s="196"/>
      <c r="N6" s="683"/>
      <c r="O6" s="194"/>
      <c r="P6" s="181"/>
      <c r="Q6" s="181"/>
      <c r="R6" s="180"/>
    </row>
    <row r="7" spans="1:21" ht="18.75" customHeight="1" x14ac:dyDescent="0.25">
      <c r="A7" s="193"/>
      <c r="B7" s="192"/>
      <c r="C7" s="191"/>
      <c r="D7" s="191"/>
      <c r="E7" s="190"/>
      <c r="F7" s="189"/>
      <c r="G7" s="189"/>
      <c r="H7" s="187" t="s">
        <v>177</v>
      </c>
      <c r="I7" s="186"/>
      <c r="J7" s="185"/>
      <c r="K7" s="182" t="s">
        <v>176</v>
      </c>
      <c r="L7" s="182"/>
      <c r="M7" s="184"/>
      <c r="N7" s="183"/>
      <c r="O7" s="182"/>
      <c r="P7" s="181"/>
      <c r="Q7" s="181"/>
      <c r="R7" s="180"/>
    </row>
    <row r="8" spans="1:21" ht="18.75" customHeight="1" x14ac:dyDescent="0.25">
      <c r="A8" s="193"/>
      <c r="B8" s="192"/>
      <c r="C8" s="191"/>
      <c r="D8" s="191"/>
      <c r="E8" s="190"/>
      <c r="F8" s="189"/>
      <c r="G8" s="188"/>
      <c r="H8" s="187" t="s">
        <v>175</v>
      </c>
      <c r="I8" s="186"/>
      <c r="J8" s="185"/>
      <c r="K8" s="182" t="s">
        <v>174</v>
      </c>
      <c r="L8" s="182"/>
      <c r="M8" s="184"/>
      <c r="N8" s="183"/>
      <c r="O8" s="182"/>
      <c r="P8" s="181"/>
      <c r="Q8" s="181"/>
      <c r="R8" s="180"/>
    </row>
    <row r="9" spans="1:21" ht="18.75" customHeight="1" thickBot="1" x14ac:dyDescent="0.3">
      <c r="A9" s="179"/>
      <c r="B9" s="178"/>
      <c r="C9" s="177"/>
      <c r="D9" s="177"/>
      <c r="E9" s="176"/>
      <c r="F9" s="175"/>
      <c r="G9" s="175"/>
      <c r="H9" s="174" t="s">
        <v>173</v>
      </c>
      <c r="I9" s="173"/>
      <c r="J9" s="172"/>
      <c r="K9" s="169" t="s">
        <v>172</v>
      </c>
      <c r="L9" s="169"/>
      <c r="M9" s="171"/>
      <c r="N9" s="170"/>
      <c r="O9" s="169"/>
      <c r="P9" s="168"/>
      <c r="Q9" s="168"/>
      <c r="R9" s="167"/>
    </row>
    <row r="10" spans="1:21" ht="18.600000000000001" customHeight="1" thickBot="1" x14ac:dyDescent="0.3">
      <c r="A10" s="737" t="s">
        <v>171</v>
      </c>
      <c r="B10" s="738"/>
      <c r="C10" s="738"/>
      <c r="D10" s="738"/>
      <c r="E10" s="738"/>
      <c r="F10" s="738"/>
      <c r="G10" s="738"/>
      <c r="H10" s="738"/>
      <c r="I10" s="738"/>
      <c r="J10" s="738"/>
      <c r="K10" s="738"/>
      <c r="L10" s="738"/>
      <c r="M10" s="738"/>
      <c r="N10" s="738"/>
      <c r="O10" s="738"/>
      <c r="P10" s="738"/>
      <c r="Q10" s="738"/>
      <c r="R10" s="739"/>
      <c r="T10" s="166"/>
    </row>
    <row r="11" spans="1:21" ht="18.75" customHeight="1" x14ac:dyDescent="0.25">
      <c r="A11" s="740" t="s">
        <v>170</v>
      </c>
      <c r="B11" s="746" t="s">
        <v>169</v>
      </c>
      <c r="C11" s="743" t="s">
        <v>168</v>
      </c>
      <c r="D11" s="744" t="s">
        <v>167</v>
      </c>
      <c r="E11" s="752" t="s">
        <v>166</v>
      </c>
      <c r="F11" s="754" t="s">
        <v>165</v>
      </c>
      <c r="G11" s="755"/>
      <c r="H11" s="756"/>
      <c r="I11" s="760" t="s">
        <v>164</v>
      </c>
      <c r="J11" s="761"/>
      <c r="K11" s="764" t="s">
        <v>163</v>
      </c>
      <c r="L11" s="747" t="s">
        <v>162</v>
      </c>
      <c r="M11" s="748"/>
      <c r="N11" s="748"/>
      <c r="O11" s="748"/>
      <c r="P11" s="748"/>
      <c r="Q11" s="165"/>
      <c r="R11" s="749" t="s">
        <v>161</v>
      </c>
      <c r="T11" s="164"/>
    </row>
    <row r="12" spans="1:21" ht="15.75" customHeight="1" x14ac:dyDescent="0.25">
      <c r="A12" s="741"/>
      <c r="B12" s="746"/>
      <c r="C12" s="744"/>
      <c r="D12" s="744"/>
      <c r="E12" s="746"/>
      <c r="F12" s="757"/>
      <c r="G12" s="758"/>
      <c r="H12" s="759"/>
      <c r="I12" s="762"/>
      <c r="J12" s="763"/>
      <c r="K12" s="765"/>
      <c r="L12" s="767" t="s">
        <v>160</v>
      </c>
      <c r="M12" s="768"/>
      <c r="N12" s="767" t="s">
        <v>159</v>
      </c>
      <c r="O12" s="768"/>
      <c r="P12" s="769"/>
      <c r="Q12" s="770" t="s">
        <v>149</v>
      </c>
      <c r="R12" s="750"/>
    </row>
    <row r="13" spans="1:21" s="16" customFormat="1" ht="78.599999999999994" customHeight="1" thickBot="1" x14ac:dyDescent="0.3">
      <c r="A13" s="742"/>
      <c r="B13" s="746"/>
      <c r="C13" s="745"/>
      <c r="D13" s="744"/>
      <c r="E13" s="753"/>
      <c r="F13" s="163" t="s">
        <v>158</v>
      </c>
      <c r="G13" s="163" t="s">
        <v>157</v>
      </c>
      <c r="H13" s="163" t="s">
        <v>156</v>
      </c>
      <c r="I13" s="162" t="s">
        <v>155</v>
      </c>
      <c r="J13" s="161" t="s">
        <v>154</v>
      </c>
      <c r="K13" s="766"/>
      <c r="L13" s="160" t="s">
        <v>153</v>
      </c>
      <c r="M13" s="159" t="s">
        <v>152</v>
      </c>
      <c r="N13" s="682" t="s">
        <v>151</v>
      </c>
      <c r="O13" s="160" t="s">
        <v>150</v>
      </c>
      <c r="P13" s="159" t="s">
        <v>149</v>
      </c>
      <c r="Q13" s="771"/>
      <c r="R13" s="751"/>
    </row>
    <row r="14" spans="1:21" s="60" customFormat="1" ht="19.350000000000001" customHeight="1" x14ac:dyDescent="0.25">
      <c r="A14" s="158" t="s">
        <v>148</v>
      </c>
      <c r="B14" s="157"/>
      <c r="C14" s="156" t="s">
        <v>147</v>
      </c>
      <c r="D14" s="156"/>
      <c r="E14" s="155" t="s">
        <v>146</v>
      </c>
      <c r="F14" s="152" t="s">
        <v>145</v>
      </c>
      <c r="G14" s="152" t="s">
        <v>144</v>
      </c>
      <c r="H14" s="152" t="s">
        <v>143</v>
      </c>
      <c r="I14" s="153" t="s">
        <v>142</v>
      </c>
      <c r="J14" s="154" t="s">
        <v>141</v>
      </c>
      <c r="K14" s="153" t="s">
        <v>140</v>
      </c>
      <c r="L14" s="153" t="s">
        <v>139</v>
      </c>
      <c r="M14" s="152" t="s">
        <v>138</v>
      </c>
      <c r="N14" s="152" t="s">
        <v>137</v>
      </c>
      <c r="O14" s="153" t="s">
        <v>136</v>
      </c>
      <c r="P14" s="152" t="s">
        <v>135</v>
      </c>
      <c r="Q14" s="152" t="s">
        <v>134</v>
      </c>
      <c r="R14" s="151" t="s">
        <v>133</v>
      </c>
      <c r="S14" s="16"/>
      <c r="U14" s="61"/>
    </row>
    <row r="15" spans="1:21" s="60" customFormat="1" ht="19.350000000000001" customHeight="1" x14ac:dyDescent="0.25">
      <c r="A15" s="703" t="s">
        <v>301</v>
      </c>
      <c r="B15" s="703" t="s">
        <v>302</v>
      </c>
      <c r="C15" s="703" t="s">
        <v>303</v>
      </c>
      <c r="D15" s="703" t="s">
        <v>304</v>
      </c>
      <c r="E15" s="703" t="s">
        <v>305</v>
      </c>
      <c r="F15" s="703" t="s">
        <v>306</v>
      </c>
      <c r="G15" s="703" t="s">
        <v>307</v>
      </c>
      <c r="H15" s="703" t="s">
        <v>308</v>
      </c>
      <c r="I15" s="703" t="s">
        <v>309</v>
      </c>
      <c r="J15" s="703" t="s">
        <v>310</v>
      </c>
      <c r="K15" s="703" t="s">
        <v>311</v>
      </c>
      <c r="L15" s="703" t="s">
        <v>312</v>
      </c>
      <c r="M15" s="703" t="s">
        <v>313</v>
      </c>
      <c r="N15" s="703" t="s">
        <v>314</v>
      </c>
      <c r="O15" s="703" t="s">
        <v>315</v>
      </c>
      <c r="P15" s="703" t="s">
        <v>316</v>
      </c>
      <c r="Q15" s="703" t="s">
        <v>317</v>
      </c>
      <c r="R15" s="703" t="s">
        <v>321</v>
      </c>
      <c r="S15" s="16"/>
      <c r="U15" s="61"/>
    </row>
    <row r="16" spans="1:21" s="140" customFormat="1" ht="20.45" customHeight="1" x14ac:dyDescent="0.25">
      <c r="A16" s="148" t="s">
        <v>132</v>
      </c>
      <c r="B16" s="150"/>
      <c r="C16" s="149">
        <f>C51+C58+C64+C42+C17</f>
        <v>11589</v>
      </c>
      <c r="D16" s="149">
        <f>D51+D58+D64+D42+D17</f>
        <v>10710.58</v>
      </c>
      <c r="E16" s="148"/>
      <c r="F16" s="145">
        <f>F51+F58+F64+F42+F17</f>
        <v>3261.873</v>
      </c>
      <c r="G16" s="145">
        <f>G51+G58+G64+G42+G17</f>
        <v>5987.0969999999998</v>
      </c>
      <c r="H16" s="145">
        <f>H51+H58+H64+H42+H17</f>
        <v>9248.9700000000012</v>
      </c>
      <c r="I16" s="147"/>
      <c r="J16" s="145"/>
      <c r="K16" s="145"/>
      <c r="L16" s="146"/>
      <c r="M16" s="145">
        <f>M51+M58+M64+M42+M17</f>
        <v>145112569.89200136</v>
      </c>
      <c r="N16" s="223">
        <f>N51+N58+N64+N42+N17</f>
        <v>11.25</v>
      </c>
      <c r="O16" s="145"/>
      <c r="P16" s="145">
        <f>P51+P58+P64+P42+P17</f>
        <v>0</v>
      </c>
      <c r="Q16" s="144"/>
      <c r="R16" s="143"/>
      <c r="S16" s="142"/>
      <c r="U16" s="141"/>
    </row>
    <row r="17" spans="1:21" s="60" customFormat="1" ht="20.45" customHeight="1" x14ac:dyDescent="0.25">
      <c r="A17" s="129" t="s">
        <v>131</v>
      </c>
      <c r="B17" s="131"/>
      <c r="C17" s="130">
        <f>SUM(C18:C40)</f>
        <v>9920</v>
      </c>
      <c r="D17" s="130">
        <f>SUM(D18:D40)</f>
        <v>9140</v>
      </c>
      <c r="E17" s="129"/>
      <c r="F17" s="126">
        <f>SUM(F18:F40)</f>
        <v>2731.723</v>
      </c>
      <c r="G17" s="126">
        <f>SUM(G18:G40)</f>
        <v>5369.9070000000002</v>
      </c>
      <c r="H17" s="126">
        <f>SUM(H18:H40)</f>
        <v>8101.63</v>
      </c>
      <c r="I17" s="128"/>
      <c r="J17" s="126"/>
      <c r="K17" s="126"/>
      <c r="L17" s="127"/>
      <c r="M17" s="126">
        <f>SUM(M18:M40)</f>
        <v>135063496.29142159</v>
      </c>
      <c r="N17" s="229">
        <f>SUM(N18:N40)</f>
        <v>0</v>
      </c>
      <c r="O17" s="126"/>
      <c r="P17" s="126">
        <f>SUM(P18:P40)</f>
        <v>0</v>
      </c>
      <c r="Q17" s="125"/>
      <c r="R17" s="124"/>
      <c r="S17" s="16"/>
      <c r="U17" s="61"/>
    </row>
    <row r="18" spans="1:21" s="132" customFormat="1" ht="39.6" customHeight="1" x14ac:dyDescent="0.25">
      <c r="A18" s="29" t="s">
        <v>291</v>
      </c>
      <c r="B18" s="123"/>
      <c r="C18" s="122"/>
      <c r="D18" s="122"/>
      <c r="E18" s="678" t="s">
        <v>120</v>
      </c>
      <c r="F18" s="9">
        <f>230/10000</f>
        <v>2.3E-2</v>
      </c>
      <c r="G18" s="9">
        <f>9770/10000</f>
        <v>0.97699999999999998</v>
      </c>
      <c r="H18" s="9">
        <f>F18+G18</f>
        <v>1</v>
      </c>
      <c r="I18" s="90">
        <v>4.08</v>
      </c>
      <c r="J18" s="32">
        <v>1.3</v>
      </c>
      <c r="K18" s="23">
        <f>(I18-J18)/I18</f>
        <v>0.68137254901960786</v>
      </c>
      <c r="L18" s="22">
        <v>7470</v>
      </c>
      <c r="M18" s="21">
        <f>(F18*L18)+(G18*L18*K18)</f>
        <v>5144.5963235294121</v>
      </c>
      <c r="N18" s="233"/>
      <c r="O18" s="20"/>
      <c r="P18" s="5"/>
      <c r="Q18" s="5">
        <f>O18*1000*17</f>
        <v>0</v>
      </c>
      <c r="R18" s="19"/>
      <c r="S18" s="134"/>
      <c r="U18" s="133"/>
    </row>
    <row r="19" spans="1:21" s="132" customFormat="1" ht="25.35" customHeight="1" x14ac:dyDescent="0.25">
      <c r="A19" s="29" t="s">
        <v>7</v>
      </c>
      <c r="B19" s="123"/>
      <c r="C19" s="92">
        <v>64</v>
      </c>
      <c r="D19" s="92">
        <v>100</v>
      </c>
      <c r="E19" s="84" t="s">
        <v>117</v>
      </c>
      <c r="F19" s="34">
        <v>45.6</v>
      </c>
      <c r="G19" s="34">
        <v>8</v>
      </c>
      <c r="H19" s="33">
        <f>F19+G19</f>
        <v>53.6</v>
      </c>
      <c r="I19" s="25">
        <v>4.08</v>
      </c>
      <c r="J19" s="32">
        <v>1.3</v>
      </c>
      <c r="K19" s="75">
        <f>(I19-J19)/I19</f>
        <v>0.68137254901960786</v>
      </c>
      <c r="L19" s="88">
        <v>33464</v>
      </c>
      <c r="M19" s="87">
        <f>(F19*L19)+(G19*L19*K19)</f>
        <v>1708370.0078431375</v>
      </c>
      <c r="N19" s="245"/>
      <c r="O19" s="86"/>
      <c r="P19" s="85"/>
      <c r="Q19" s="5">
        <f>O19*1000*17</f>
        <v>0</v>
      </c>
      <c r="R19" s="19" t="s">
        <v>318</v>
      </c>
      <c r="S19" s="134"/>
      <c r="U19" s="133"/>
    </row>
    <row r="20" spans="1:21" s="697" customFormat="1" ht="25.35" customHeight="1" x14ac:dyDescent="0.25">
      <c r="A20" s="29" t="s">
        <v>26</v>
      </c>
      <c r="B20" s="690"/>
      <c r="C20" s="691">
        <v>482</v>
      </c>
      <c r="D20" s="691">
        <v>448</v>
      </c>
      <c r="E20" s="691">
        <v>0</v>
      </c>
      <c r="F20" s="691">
        <v>390.45</v>
      </c>
      <c r="G20" s="691">
        <v>13.3</v>
      </c>
      <c r="H20" s="691">
        <v>403.75</v>
      </c>
      <c r="I20" s="691">
        <v>8.16</v>
      </c>
      <c r="J20" s="691">
        <v>1.3</v>
      </c>
      <c r="K20" s="691">
        <v>1.6813725490196079</v>
      </c>
      <c r="L20" s="691">
        <v>33464</v>
      </c>
      <c r="M20" s="691">
        <v>13441070.098039215</v>
      </c>
      <c r="N20" s="700"/>
      <c r="O20" s="701"/>
      <c r="P20" s="702"/>
      <c r="Q20" s="694"/>
      <c r="R20" s="695"/>
      <c r="S20" s="696"/>
      <c r="U20" s="698"/>
    </row>
    <row r="21" spans="1:21" s="132" customFormat="1" ht="25.35" customHeight="1" x14ac:dyDescent="0.25">
      <c r="A21" s="29" t="s">
        <v>24</v>
      </c>
      <c r="B21" s="123"/>
      <c r="C21" s="92">
        <v>380</v>
      </c>
      <c r="D21" s="92">
        <v>471</v>
      </c>
      <c r="E21" s="678" t="s">
        <v>120</v>
      </c>
      <c r="F21" s="9">
        <v>320.18</v>
      </c>
      <c r="G21" s="9"/>
      <c r="H21" s="9">
        <f>F21+G21</f>
        <v>320.18</v>
      </c>
      <c r="I21" s="90">
        <v>4.08</v>
      </c>
      <c r="J21" s="32"/>
      <c r="K21" s="23">
        <f>(I21-J21)/I21</f>
        <v>1</v>
      </c>
      <c r="L21" s="22">
        <v>7470</v>
      </c>
      <c r="M21" s="21">
        <f>(F21*L21)+(G21*L21*K21)</f>
        <v>2391744.6</v>
      </c>
      <c r="N21" s="233"/>
      <c r="O21" s="20"/>
      <c r="P21" s="5"/>
      <c r="Q21" s="5">
        <f>O21*1000*17</f>
        <v>0</v>
      </c>
      <c r="R21" s="19" t="s">
        <v>318</v>
      </c>
      <c r="S21" s="134"/>
      <c r="U21" s="133"/>
    </row>
    <row r="22" spans="1:21" s="132" customFormat="1" ht="25.35" customHeight="1" x14ac:dyDescent="0.25">
      <c r="A22" s="29" t="s">
        <v>4</v>
      </c>
      <c r="B22" s="123"/>
      <c r="C22" s="92">
        <v>460</v>
      </c>
      <c r="D22" s="92">
        <v>429</v>
      </c>
      <c r="E22" s="678" t="s">
        <v>120</v>
      </c>
      <c r="F22" s="9">
        <v>429</v>
      </c>
      <c r="G22" s="9"/>
      <c r="H22" s="9">
        <f>F22+G22</f>
        <v>429</v>
      </c>
      <c r="I22" s="90">
        <v>4.08</v>
      </c>
      <c r="J22" s="32"/>
      <c r="K22" s="23">
        <f>(I22-J22)/I22</f>
        <v>1</v>
      </c>
      <c r="L22" s="22">
        <v>7470</v>
      </c>
      <c r="M22" s="21">
        <f>(F22*L22)+(G22*L22*K22)</f>
        <v>3204630</v>
      </c>
      <c r="N22" s="233"/>
      <c r="O22" s="20"/>
      <c r="P22" s="5"/>
      <c r="Q22" s="5">
        <f>O22*1000*17</f>
        <v>0</v>
      </c>
      <c r="R22" s="19" t="s">
        <v>318</v>
      </c>
      <c r="S22" s="134"/>
      <c r="U22" s="133"/>
    </row>
    <row r="23" spans="1:21" s="697" customFormat="1" ht="25.35" customHeight="1" x14ac:dyDescent="0.25">
      <c r="A23" s="29" t="s">
        <v>30</v>
      </c>
      <c r="B23" s="690"/>
      <c r="C23" s="691">
        <v>1280</v>
      </c>
      <c r="D23" s="691">
        <v>1162.5</v>
      </c>
      <c r="E23" s="691">
        <v>0</v>
      </c>
      <c r="F23" s="691">
        <v>245</v>
      </c>
      <c r="G23" s="691">
        <v>866.1</v>
      </c>
      <c r="H23" s="691">
        <v>1111.0999999999999</v>
      </c>
      <c r="I23" s="691">
        <v>8.16</v>
      </c>
      <c r="J23" s="691">
        <v>2.6</v>
      </c>
      <c r="K23" s="691">
        <v>1.3627450980392157</v>
      </c>
      <c r="L23" s="691">
        <v>40934</v>
      </c>
      <c r="M23" s="691">
        <v>14304180.473529413</v>
      </c>
      <c r="N23" s="692"/>
      <c r="O23" s="693"/>
      <c r="P23" s="694"/>
      <c r="Q23" s="694"/>
      <c r="R23" s="695"/>
      <c r="S23" s="696"/>
      <c r="U23" s="698"/>
    </row>
    <row r="24" spans="1:21" s="697" customFormat="1" ht="25.35" customHeight="1" x14ac:dyDescent="0.25">
      <c r="A24" s="29" t="s">
        <v>293</v>
      </c>
      <c r="B24" s="690"/>
      <c r="C24" s="691">
        <v>595</v>
      </c>
      <c r="D24" s="691">
        <v>511</v>
      </c>
      <c r="E24" s="691">
        <v>0</v>
      </c>
      <c r="F24" s="691">
        <v>65</v>
      </c>
      <c r="G24" s="691">
        <v>446</v>
      </c>
      <c r="H24" s="691">
        <v>511</v>
      </c>
      <c r="I24" s="691">
        <v>8.16</v>
      </c>
      <c r="J24" s="691">
        <v>2.6</v>
      </c>
      <c r="K24" s="691">
        <v>1.3627450980392157</v>
      </c>
      <c r="L24" s="691">
        <v>40934</v>
      </c>
      <c r="M24" s="691">
        <v>8841533.3725490198</v>
      </c>
      <c r="N24" s="700"/>
      <c r="O24" s="701"/>
      <c r="P24" s="702"/>
      <c r="Q24" s="694"/>
      <c r="R24" s="695"/>
      <c r="S24" s="696"/>
      <c r="U24" s="698"/>
    </row>
    <row r="25" spans="1:21" s="697" customFormat="1" ht="25.35" customHeight="1" x14ac:dyDescent="0.25">
      <c r="A25" s="29" t="s">
        <v>21</v>
      </c>
      <c r="B25" s="690"/>
      <c r="C25" s="691">
        <v>600</v>
      </c>
      <c r="D25" s="691">
        <v>500</v>
      </c>
      <c r="E25" s="691">
        <v>0</v>
      </c>
      <c r="F25" s="691">
        <v>0</v>
      </c>
      <c r="G25" s="691">
        <v>500</v>
      </c>
      <c r="H25" s="691">
        <v>500</v>
      </c>
      <c r="I25" s="691">
        <v>8.16</v>
      </c>
      <c r="J25" s="691">
        <v>2.6</v>
      </c>
      <c r="K25" s="691">
        <v>1.3627450980392157</v>
      </c>
      <c r="L25" s="691">
        <v>40934</v>
      </c>
      <c r="M25" s="691">
        <v>9098217.7450980395</v>
      </c>
      <c r="N25" s="700"/>
      <c r="O25" s="701"/>
      <c r="P25" s="702"/>
      <c r="Q25" s="694"/>
      <c r="R25" s="695"/>
      <c r="S25" s="696"/>
      <c r="U25" s="698"/>
    </row>
    <row r="26" spans="1:21" s="132" customFormat="1" ht="25.35" customHeight="1" x14ac:dyDescent="0.25">
      <c r="A26" s="29" t="s">
        <v>266</v>
      </c>
      <c r="B26" s="123"/>
      <c r="C26" s="92">
        <v>588</v>
      </c>
      <c r="D26" s="92">
        <v>490</v>
      </c>
      <c r="E26" s="678" t="s">
        <v>120</v>
      </c>
      <c r="F26" s="9"/>
      <c r="G26" s="9">
        <v>490</v>
      </c>
      <c r="H26" s="9">
        <f>F26+G26</f>
        <v>490</v>
      </c>
      <c r="I26" s="90">
        <v>4.08</v>
      </c>
      <c r="J26" s="32">
        <v>1.3</v>
      </c>
      <c r="K26" s="23">
        <f>(I26-J26)/I26</f>
        <v>0.68137254901960786</v>
      </c>
      <c r="L26" s="22">
        <v>7470</v>
      </c>
      <c r="M26" s="21">
        <f>(F26*L26)+(G26*L26*K26)</f>
        <v>2494027.9411764708</v>
      </c>
      <c r="N26" s="233"/>
      <c r="O26" s="20"/>
      <c r="P26" s="5"/>
      <c r="Q26" s="5">
        <f>O26*1000*17</f>
        <v>0</v>
      </c>
      <c r="R26" s="19" t="s">
        <v>318</v>
      </c>
      <c r="S26" s="134"/>
      <c r="U26" s="133"/>
    </row>
    <row r="27" spans="1:21" s="132" customFormat="1" ht="25.35" customHeight="1" x14ac:dyDescent="0.25">
      <c r="A27" s="29" t="s">
        <v>9</v>
      </c>
      <c r="B27" s="123"/>
      <c r="C27" s="92">
        <v>61</v>
      </c>
      <c r="D27" s="92">
        <v>51</v>
      </c>
      <c r="E27" s="678" t="s">
        <v>120</v>
      </c>
      <c r="F27" s="9"/>
      <c r="G27" s="9">
        <v>51</v>
      </c>
      <c r="H27" s="9">
        <f>F27+G27</f>
        <v>51</v>
      </c>
      <c r="I27" s="90">
        <v>4.08</v>
      </c>
      <c r="J27" s="32">
        <v>1.3</v>
      </c>
      <c r="K27" s="23">
        <f>(I27-J27)/I27</f>
        <v>0.68137254901960786</v>
      </c>
      <c r="L27" s="22">
        <v>7470</v>
      </c>
      <c r="M27" s="21">
        <f>(F27*L27)+(G27*L27*K27)</f>
        <v>259582.5</v>
      </c>
      <c r="N27" s="233"/>
      <c r="O27" s="20"/>
      <c r="P27" s="5"/>
      <c r="Q27" s="5">
        <f>O27*1000*17</f>
        <v>0</v>
      </c>
      <c r="R27" s="19" t="s">
        <v>318</v>
      </c>
      <c r="S27" s="134"/>
      <c r="U27" s="133"/>
    </row>
    <row r="28" spans="1:21" s="697" customFormat="1" ht="25.35" customHeight="1" x14ac:dyDescent="0.25">
      <c r="A28" s="689" t="s">
        <v>11</v>
      </c>
      <c r="B28" s="690"/>
      <c r="C28" s="691">
        <v>11</v>
      </c>
      <c r="D28" s="691">
        <v>12</v>
      </c>
      <c r="E28" s="691">
        <v>0</v>
      </c>
      <c r="F28" s="691">
        <v>5</v>
      </c>
      <c r="G28" s="691">
        <v>7</v>
      </c>
      <c r="H28" s="691">
        <v>12</v>
      </c>
      <c r="I28" s="691">
        <v>8.16</v>
      </c>
      <c r="J28" s="691">
        <v>1.3</v>
      </c>
      <c r="K28" s="691">
        <v>1.6813725490196079</v>
      </c>
      <c r="L28" s="691">
        <v>40934</v>
      </c>
      <c r="M28" s="691">
        <v>196960.15686274509</v>
      </c>
      <c r="N28" s="692"/>
      <c r="O28" s="693"/>
      <c r="P28" s="694"/>
      <c r="Q28" s="694"/>
      <c r="R28" s="695"/>
      <c r="S28" s="696"/>
      <c r="U28" s="698"/>
    </row>
    <row r="29" spans="1:21" s="697" customFormat="1" ht="25.35" customHeight="1" x14ac:dyDescent="0.25">
      <c r="A29" s="29" t="s">
        <v>14</v>
      </c>
      <c r="B29" s="690"/>
      <c r="C29" s="691">
        <v>65</v>
      </c>
      <c r="D29" s="691">
        <v>60</v>
      </c>
      <c r="E29" s="691">
        <v>0</v>
      </c>
      <c r="F29" s="691">
        <v>1.72</v>
      </c>
      <c r="G29" s="691">
        <v>58.28</v>
      </c>
      <c r="H29" s="691">
        <v>60</v>
      </c>
      <c r="I29" s="691">
        <v>8.16</v>
      </c>
      <c r="J29" s="691">
        <v>2.6</v>
      </c>
      <c r="K29" s="691">
        <v>1.3627450980392157</v>
      </c>
      <c r="L29" s="691">
        <v>40934</v>
      </c>
      <c r="M29" s="691">
        <v>642539.52549019619</v>
      </c>
      <c r="N29" s="700"/>
      <c r="O29" s="701"/>
      <c r="P29" s="702"/>
      <c r="Q29" s="694"/>
      <c r="R29" s="695"/>
      <c r="S29" s="696"/>
      <c r="U29" s="698"/>
    </row>
    <row r="30" spans="1:21" s="132" customFormat="1" ht="28.35" customHeight="1" x14ac:dyDescent="0.25">
      <c r="A30" s="29" t="s">
        <v>12</v>
      </c>
      <c r="B30" s="123"/>
      <c r="C30" s="92">
        <v>1300</v>
      </c>
      <c r="D30" s="92">
        <v>1200</v>
      </c>
      <c r="E30" s="84" t="s">
        <v>117</v>
      </c>
      <c r="F30" s="34"/>
      <c r="G30" s="681">
        <v>1200</v>
      </c>
      <c r="H30" s="33">
        <f>F30+G30</f>
        <v>1200</v>
      </c>
      <c r="I30" s="25">
        <v>4.08</v>
      </c>
      <c r="J30" s="32">
        <v>1.3</v>
      </c>
      <c r="K30" s="75">
        <f>(I30-J30)/I30</f>
        <v>0.68137254901960786</v>
      </c>
      <c r="L30" s="88">
        <v>33464</v>
      </c>
      <c r="M30" s="87">
        <f>(F30*L30)+(G30*L30*K30)</f>
        <v>27361741.176470589</v>
      </c>
      <c r="N30" s="245"/>
      <c r="O30" s="86"/>
      <c r="P30" s="85"/>
      <c r="Q30" s="5">
        <f>O30*1000*17</f>
        <v>0</v>
      </c>
      <c r="R30" s="19" t="s">
        <v>318</v>
      </c>
      <c r="S30" s="134"/>
      <c r="U30" s="133"/>
    </row>
    <row r="31" spans="1:21" s="132" customFormat="1" ht="25.35" customHeight="1" x14ac:dyDescent="0.25">
      <c r="A31" s="29" t="s">
        <v>13</v>
      </c>
      <c r="B31" s="123"/>
      <c r="C31" s="92">
        <v>1241</v>
      </c>
      <c r="D31" s="92">
        <v>497</v>
      </c>
      <c r="E31" s="678" t="s">
        <v>120</v>
      </c>
      <c r="F31" s="118"/>
      <c r="G31" s="9">
        <v>497</v>
      </c>
      <c r="H31" s="9">
        <f>F31+G31</f>
        <v>497</v>
      </c>
      <c r="I31" s="90">
        <v>4.08</v>
      </c>
      <c r="J31" s="32">
        <v>2.04</v>
      </c>
      <c r="K31" s="23">
        <f>(I31-J31)/I31</f>
        <v>0.5</v>
      </c>
      <c r="L31" s="22">
        <v>7470</v>
      </c>
      <c r="M31" s="21">
        <f>(F31*L31)+(G31*L31*K31)</f>
        <v>1856295</v>
      </c>
      <c r="N31" s="233"/>
      <c r="O31" s="20"/>
      <c r="P31" s="5"/>
      <c r="Q31" s="5">
        <f>O31*1000*17</f>
        <v>0</v>
      </c>
      <c r="R31" s="19" t="s">
        <v>318</v>
      </c>
      <c r="S31" s="134"/>
      <c r="U31" s="133"/>
    </row>
    <row r="32" spans="1:21" s="132" customFormat="1" ht="25.35" customHeight="1" x14ac:dyDescent="0.25">
      <c r="A32" s="29" t="s">
        <v>15</v>
      </c>
      <c r="B32" s="123"/>
      <c r="C32" s="92">
        <v>275</v>
      </c>
      <c r="D32" s="92">
        <v>247</v>
      </c>
      <c r="E32" s="678" t="s">
        <v>120</v>
      </c>
      <c r="F32" s="9"/>
      <c r="G32" s="9">
        <v>247</v>
      </c>
      <c r="H32" s="9">
        <f>F32+G32</f>
        <v>247</v>
      </c>
      <c r="I32" s="90">
        <v>4.08</v>
      </c>
      <c r="J32" s="32">
        <v>1.3</v>
      </c>
      <c r="K32" s="23">
        <f>(I32-J32)/I32</f>
        <v>0.68137254901960786</v>
      </c>
      <c r="L32" s="22">
        <v>7470</v>
      </c>
      <c r="M32" s="21">
        <f>(F32*L32)+(G32*L32*K32)</f>
        <v>1257193.6764705882</v>
      </c>
      <c r="N32" s="233"/>
      <c r="O32" s="20"/>
      <c r="P32" s="5"/>
      <c r="Q32" s="5">
        <f>O32*1000*17</f>
        <v>0</v>
      </c>
      <c r="R32" s="19" t="s">
        <v>318</v>
      </c>
      <c r="S32" s="134"/>
      <c r="U32" s="133"/>
    </row>
    <row r="33" spans="1:21" s="697" customFormat="1" ht="25.35" customHeight="1" x14ac:dyDescent="0.25">
      <c r="A33" s="29" t="s">
        <v>19</v>
      </c>
      <c r="B33" s="690"/>
      <c r="C33" s="691">
        <v>35</v>
      </c>
      <c r="D33" s="691">
        <v>28</v>
      </c>
      <c r="E33" s="691">
        <v>0</v>
      </c>
      <c r="F33" s="691">
        <v>28</v>
      </c>
      <c r="G33" s="691">
        <v>0</v>
      </c>
      <c r="H33" s="691">
        <v>28</v>
      </c>
      <c r="I33" s="691">
        <v>12.24</v>
      </c>
      <c r="J33" s="691">
        <v>0</v>
      </c>
      <c r="K33" s="691">
        <v>3</v>
      </c>
      <c r="L33" s="691">
        <v>40934</v>
      </c>
      <c r="M33" s="691">
        <v>644868</v>
      </c>
      <c r="N33" s="692"/>
      <c r="O33" s="693"/>
      <c r="P33" s="694"/>
      <c r="Q33" s="694"/>
      <c r="R33" s="695"/>
      <c r="S33" s="696"/>
      <c r="U33" s="698"/>
    </row>
    <row r="34" spans="1:21" s="697" customFormat="1" ht="25.35" customHeight="1" x14ac:dyDescent="0.25">
      <c r="A34" s="689" t="s">
        <v>25</v>
      </c>
      <c r="B34" s="690"/>
      <c r="C34" s="691">
        <v>270</v>
      </c>
      <c r="D34" s="691">
        <v>220</v>
      </c>
      <c r="E34" s="691">
        <v>0</v>
      </c>
      <c r="F34" s="691">
        <v>0</v>
      </c>
      <c r="G34" s="691">
        <v>220</v>
      </c>
      <c r="H34" s="691">
        <v>220</v>
      </c>
      <c r="I34" s="691">
        <v>8.16</v>
      </c>
      <c r="J34" s="691">
        <v>3.34</v>
      </c>
      <c r="K34" s="691">
        <v>1.1813725490196079</v>
      </c>
      <c r="L34" s="691">
        <v>40934</v>
      </c>
      <c r="M34" s="691">
        <v>1012364.5098039216</v>
      </c>
      <c r="N34" s="692"/>
      <c r="O34" s="693"/>
      <c r="P34" s="694"/>
      <c r="Q34" s="694"/>
      <c r="R34" s="695"/>
      <c r="S34" s="696"/>
      <c r="U34" s="698"/>
    </row>
    <row r="35" spans="1:21" s="132" customFormat="1" ht="25.35" customHeight="1" x14ac:dyDescent="0.25">
      <c r="A35" s="29" t="s">
        <v>18</v>
      </c>
      <c r="B35" s="123"/>
      <c r="C35" s="92">
        <v>2</v>
      </c>
      <c r="D35" s="92">
        <v>94</v>
      </c>
      <c r="E35" s="678" t="s">
        <v>120</v>
      </c>
      <c r="F35" s="9"/>
      <c r="G35" s="9">
        <v>4</v>
      </c>
      <c r="H35" s="9">
        <f>F35+G35</f>
        <v>4</v>
      </c>
      <c r="I35" s="90">
        <v>4.08</v>
      </c>
      <c r="J35" s="32">
        <v>2.04</v>
      </c>
      <c r="K35" s="23">
        <f>(I35-J35)/I35</f>
        <v>0.5</v>
      </c>
      <c r="L35" s="22">
        <v>7470</v>
      </c>
      <c r="M35" s="21">
        <f>(F35*L35)+(G35*L35*K35)</f>
        <v>14940</v>
      </c>
      <c r="N35" s="233"/>
      <c r="O35" s="20"/>
      <c r="P35" s="5"/>
      <c r="Q35" s="5">
        <f>O35*1000*17</f>
        <v>0</v>
      </c>
      <c r="R35" s="19" t="s">
        <v>318</v>
      </c>
      <c r="S35" s="134"/>
      <c r="U35" s="133"/>
    </row>
    <row r="36" spans="1:21" s="697" customFormat="1" ht="25.35" customHeight="1" x14ac:dyDescent="0.25">
      <c r="A36" s="689" t="s">
        <v>290</v>
      </c>
      <c r="B36" s="690"/>
      <c r="C36" s="691">
        <v>514</v>
      </c>
      <c r="D36" s="691">
        <v>1135</v>
      </c>
      <c r="E36" s="691">
        <v>0</v>
      </c>
      <c r="F36" s="691">
        <v>495.75</v>
      </c>
      <c r="G36" s="691">
        <v>1.25</v>
      </c>
      <c r="H36" s="691">
        <v>497</v>
      </c>
      <c r="I36" s="691">
        <v>8.16</v>
      </c>
      <c r="J36" s="691">
        <v>2.6</v>
      </c>
      <c r="K36" s="691">
        <v>1.3627450980392157</v>
      </c>
      <c r="L36" s="691">
        <v>33464</v>
      </c>
      <c r="M36" s="691">
        <v>16675775</v>
      </c>
      <c r="N36" s="692"/>
      <c r="O36" s="693"/>
      <c r="P36" s="694"/>
      <c r="Q36" s="694"/>
      <c r="R36" s="695"/>
      <c r="S36" s="696"/>
      <c r="U36" s="698"/>
    </row>
    <row r="37" spans="1:21" s="697" customFormat="1" ht="25.35" customHeight="1" x14ac:dyDescent="0.25">
      <c r="A37" s="29" t="s">
        <v>256</v>
      </c>
      <c r="B37" s="690"/>
      <c r="C37" s="691">
        <v>54</v>
      </c>
      <c r="D37" s="691">
        <v>50.5</v>
      </c>
      <c r="E37" s="691">
        <v>0</v>
      </c>
      <c r="F37" s="691">
        <v>34</v>
      </c>
      <c r="G37" s="691">
        <v>0</v>
      </c>
      <c r="H37" s="691">
        <v>34</v>
      </c>
      <c r="I37" s="691">
        <v>12.24</v>
      </c>
      <c r="J37" s="691">
        <v>0</v>
      </c>
      <c r="K37" s="691">
        <v>3</v>
      </c>
      <c r="L37" s="691">
        <v>40934</v>
      </c>
      <c r="M37" s="691">
        <v>1516540</v>
      </c>
      <c r="N37" s="692"/>
      <c r="O37" s="693"/>
      <c r="P37" s="694"/>
      <c r="Q37" s="694"/>
      <c r="R37" s="695"/>
      <c r="S37" s="696"/>
      <c r="U37" s="698"/>
    </row>
    <row r="38" spans="1:21" s="697" customFormat="1" ht="25.35" customHeight="1" x14ac:dyDescent="0.25">
      <c r="A38" s="29" t="s">
        <v>23</v>
      </c>
      <c r="B38" s="690"/>
      <c r="C38" s="691">
        <v>1165</v>
      </c>
      <c r="D38" s="691">
        <v>987</v>
      </c>
      <c r="E38" s="691">
        <v>0</v>
      </c>
      <c r="F38" s="691">
        <v>671</v>
      </c>
      <c r="G38" s="691">
        <v>314</v>
      </c>
      <c r="H38" s="691">
        <v>985</v>
      </c>
      <c r="I38" s="691">
        <v>8.16</v>
      </c>
      <c r="J38" s="691">
        <v>2.6</v>
      </c>
      <c r="K38" s="691">
        <v>1.3627450980392157</v>
      </c>
      <c r="L38" s="691">
        <v>40934</v>
      </c>
      <c r="M38" s="691">
        <v>20641864.696078431</v>
      </c>
      <c r="N38" s="692"/>
      <c r="O38" s="693"/>
      <c r="P38" s="694"/>
      <c r="Q38" s="694"/>
      <c r="R38" s="695"/>
      <c r="S38" s="696"/>
      <c r="U38" s="699"/>
    </row>
    <row r="39" spans="1:21" s="697" customFormat="1" ht="25.35" customHeight="1" x14ac:dyDescent="0.25">
      <c r="A39" s="689" t="s">
        <v>17</v>
      </c>
      <c r="B39" s="690"/>
      <c r="C39" s="691">
        <v>450</v>
      </c>
      <c r="D39" s="691">
        <v>434</v>
      </c>
      <c r="E39" s="691">
        <v>0</v>
      </c>
      <c r="F39" s="691">
        <v>0</v>
      </c>
      <c r="G39" s="691">
        <v>434</v>
      </c>
      <c r="H39" s="691">
        <v>434</v>
      </c>
      <c r="I39" s="691">
        <v>8.16</v>
      </c>
      <c r="J39" s="691">
        <v>1.3</v>
      </c>
      <c r="K39" s="691">
        <v>1.6813725490196079</v>
      </c>
      <c r="L39" s="691">
        <v>40934</v>
      </c>
      <c r="M39" s="691">
        <v>7212825.8039215691</v>
      </c>
      <c r="N39" s="692"/>
      <c r="O39" s="693"/>
      <c r="P39" s="694"/>
      <c r="Q39" s="694"/>
      <c r="R39" s="695"/>
      <c r="S39" s="696"/>
      <c r="U39" s="698"/>
    </row>
    <row r="40" spans="1:21" s="697" customFormat="1" ht="25.35" customHeight="1" x14ac:dyDescent="0.25">
      <c r="A40" s="689" t="s">
        <v>8</v>
      </c>
      <c r="B40" s="690"/>
      <c r="C40" s="691">
        <v>28</v>
      </c>
      <c r="D40" s="691">
        <v>13</v>
      </c>
      <c r="E40" s="691">
        <v>0</v>
      </c>
      <c r="F40" s="691">
        <v>1</v>
      </c>
      <c r="G40" s="691">
        <v>12</v>
      </c>
      <c r="H40" s="691">
        <v>13</v>
      </c>
      <c r="I40" s="691">
        <v>8.16</v>
      </c>
      <c r="J40" s="691">
        <v>1.3</v>
      </c>
      <c r="K40" s="691">
        <v>1.6813725490196079</v>
      </c>
      <c r="L40" s="691">
        <v>40934</v>
      </c>
      <c r="M40" s="691">
        <v>281087.4117647059</v>
      </c>
      <c r="N40" s="700"/>
      <c r="O40" s="701"/>
      <c r="P40" s="702"/>
      <c r="Q40" s="694"/>
      <c r="R40" s="695"/>
      <c r="S40" s="696"/>
      <c r="U40" s="698"/>
    </row>
    <row r="41" spans="1:21" s="132" customFormat="1" ht="15.75" x14ac:dyDescent="0.25">
      <c r="A41" s="121"/>
      <c r="B41" s="123"/>
      <c r="C41" s="679"/>
      <c r="D41" s="679"/>
      <c r="E41" s="679"/>
      <c r="F41" s="679"/>
      <c r="G41" s="679"/>
      <c r="H41" s="679"/>
      <c r="I41" s="679"/>
      <c r="J41" s="679"/>
      <c r="K41" s="679"/>
      <c r="L41" s="679"/>
      <c r="M41" s="679"/>
      <c r="N41" s="680"/>
      <c r="O41" s="679"/>
      <c r="P41" s="679"/>
      <c r="Q41" s="679"/>
      <c r="R41" s="679"/>
      <c r="S41" s="134"/>
      <c r="U41" s="133"/>
    </row>
    <row r="42" spans="1:21" s="60" customFormat="1" ht="20.45" customHeight="1" x14ac:dyDescent="0.25">
      <c r="A42" s="129" t="s">
        <v>48</v>
      </c>
      <c r="B42" s="131"/>
      <c r="C42" s="130">
        <f>SUM(C43:C49)</f>
        <v>1114</v>
      </c>
      <c r="D42" s="130">
        <f>SUM(D43:D49)</f>
        <v>745.75</v>
      </c>
      <c r="E42" s="129"/>
      <c r="F42" s="126">
        <f>SUM(F43:F49)</f>
        <v>523.15000000000009</v>
      </c>
      <c r="G42" s="126">
        <f>SUM(G43:G49)</f>
        <v>231.35000000000002</v>
      </c>
      <c r="H42" s="126">
        <f>SUM(H43:H49)</f>
        <v>754.5</v>
      </c>
      <c r="I42" s="128"/>
      <c r="J42" s="126"/>
      <c r="K42" s="126"/>
      <c r="L42" s="127"/>
      <c r="M42" s="126">
        <f>SUM(M43:M49)</f>
        <v>7877378.5417777775</v>
      </c>
      <c r="N42" s="229">
        <f>SUM(N43:N49)</f>
        <v>11.25</v>
      </c>
      <c r="O42" s="126"/>
      <c r="P42" s="126">
        <f>SUM(P43:P49)</f>
        <v>0</v>
      </c>
      <c r="Q42" s="125"/>
      <c r="R42" s="124"/>
      <c r="S42" s="16"/>
      <c r="U42" s="61"/>
    </row>
    <row r="43" spans="1:21" s="132" customFormat="1" ht="20.45" customHeight="1" x14ac:dyDescent="0.25">
      <c r="A43" s="83" t="s">
        <v>47</v>
      </c>
      <c r="B43" s="82"/>
      <c r="C43" s="81">
        <v>16</v>
      </c>
      <c r="D43" s="81">
        <v>14</v>
      </c>
      <c r="E43" s="678" t="s">
        <v>120</v>
      </c>
      <c r="F43" s="9">
        <v>14</v>
      </c>
      <c r="G43" s="9"/>
      <c r="H43" s="9">
        <f>F43+G43</f>
        <v>14</v>
      </c>
      <c r="I43" s="90">
        <v>4.5</v>
      </c>
      <c r="J43" s="32"/>
      <c r="K43" s="23">
        <f>(I43-J43)/I43</f>
        <v>1</v>
      </c>
      <c r="L43" s="22">
        <v>7470</v>
      </c>
      <c r="M43" s="21">
        <f>(F43*L43)+(G43*L43*K43)</f>
        <v>104580</v>
      </c>
      <c r="N43" s="233"/>
      <c r="O43" s="20"/>
      <c r="P43" s="5"/>
      <c r="Q43" s="5">
        <f>O43*1000*17</f>
        <v>0</v>
      </c>
      <c r="R43" s="19" t="s">
        <v>318</v>
      </c>
      <c r="S43" s="134"/>
      <c r="U43" s="133"/>
    </row>
    <row r="44" spans="1:21" s="132" customFormat="1" ht="20.45" customHeight="1" x14ac:dyDescent="0.25">
      <c r="A44" s="83" t="s">
        <v>48</v>
      </c>
      <c r="B44" s="82"/>
      <c r="C44" s="81">
        <v>1</v>
      </c>
      <c r="D44" s="81">
        <v>1</v>
      </c>
      <c r="E44" s="678" t="s">
        <v>120</v>
      </c>
      <c r="F44" s="9">
        <v>0.75</v>
      </c>
      <c r="G44" s="9"/>
      <c r="H44" s="9">
        <f>F44+G44</f>
        <v>0.75</v>
      </c>
      <c r="I44" s="90">
        <v>4.5</v>
      </c>
      <c r="J44" s="32"/>
      <c r="K44" s="23">
        <f>(I44-J44)/I44</f>
        <v>1</v>
      </c>
      <c r="L44" s="22">
        <v>7470</v>
      </c>
      <c r="M44" s="21">
        <f>(F44*L44)+(G44*L44*K44)</f>
        <v>5602.5</v>
      </c>
      <c r="N44" s="233"/>
      <c r="O44" s="20"/>
      <c r="P44" s="5"/>
      <c r="Q44" s="5">
        <f>O44*1000*17</f>
        <v>0</v>
      </c>
      <c r="R44" s="19" t="s">
        <v>318</v>
      </c>
      <c r="S44" s="134"/>
      <c r="U44" s="133"/>
    </row>
    <row r="45" spans="1:21" s="132" customFormat="1" ht="20.45" customHeight="1" x14ac:dyDescent="0.25">
      <c r="A45" s="83" t="s">
        <v>49</v>
      </c>
      <c r="B45" s="82"/>
      <c r="C45" s="81">
        <v>3</v>
      </c>
      <c r="D45" s="81">
        <v>5</v>
      </c>
      <c r="E45" s="678" t="s">
        <v>120</v>
      </c>
      <c r="F45" s="9">
        <v>5</v>
      </c>
      <c r="G45" s="9"/>
      <c r="H45" s="9">
        <f>F45+G45</f>
        <v>5</v>
      </c>
      <c r="I45" s="90">
        <v>4.5</v>
      </c>
      <c r="J45" s="32"/>
      <c r="K45" s="23">
        <f>(I45-J45)/I45</f>
        <v>1</v>
      </c>
      <c r="L45" s="22">
        <v>7470</v>
      </c>
      <c r="M45" s="21">
        <f>(F45*L45)+(G45*L45*K45)</f>
        <v>37350</v>
      </c>
      <c r="N45" s="233"/>
      <c r="O45" s="20"/>
      <c r="P45" s="5"/>
      <c r="Q45" s="5">
        <f>O45*1000*17</f>
        <v>0</v>
      </c>
      <c r="R45" s="19" t="s">
        <v>318</v>
      </c>
      <c r="S45" s="134"/>
      <c r="U45" s="133"/>
    </row>
    <row r="46" spans="1:21" s="697" customFormat="1" ht="20.45" customHeight="1" x14ac:dyDescent="0.25">
      <c r="A46" s="655" t="s">
        <v>51</v>
      </c>
      <c r="B46" s="647"/>
      <c r="C46" s="691">
        <v>75</v>
      </c>
      <c r="D46" s="691">
        <v>56</v>
      </c>
      <c r="E46" s="691">
        <v>0</v>
      </c>
      <c r="F46" s="691">
        <v>56</v>
      </c>
      <c r="G46" s="691">
        <v>17</v>
      </c>
      <c r="H46" s="691">
        <v>73</v>
      </c>
      <c r="I46" s="691">
        <v>9</v>
      </c>
      <c r="J46" s="691">
        <v>1.3</v>
      </c>
      <c r="K46" s="691">
        <v>1.7111111111111112</v>
      </c>
      <c r="L46" s="691">
        <v>7470</v>
      </c>
      <c r="M46" s="691">
        <v>1060864</v>
      </c>
      <c r="N46" s="692"/>
      <c r="O46" s="693"/>
      <c r="P46" s="694"/>
      <c r="Q46" s="694"/>
      <c r="R46" s="695"/>
      <c r="S46" s="696"/>
      <c r="U46" s="698"/>
    </row>
    <row r="47" spans="1:21" s="132" customFormat="1" ht="23.45" customHeight="1" x14ac:dyDescent="0.25">
      <c r="A47" s="83" t="s">
        <v>52</v>
      </c>
      <c r="B47" s="123"/>
      <c r="C47" s="92">
        <v>1</v>
      </c>
      <c r="D47" s="92">
        <v>2.5</v>
      </c>
      <c r="E47" s="27" t="s">
        <v>104</v>
      </c>
      <c r="F47" s="9">
        <v>2.5</v>
      </c>
      <c r="G47" s="9"/>
      <c r="H47" s="26">
        <f>F47+G47</f>
        <v>2.5</v>
      </c>
      <c r="I47" s="90">
        <v>4.5</v>
      </c>
      <c r="J47" s="24"/>
      <c r="K47" s="23">
        <f>(I47-J47)/I47</f>
        <v>1</v>
      </c>
      <c r="L47" s="22"/>
      <c r="M47" s="5">
        <f>N47*1000*O47</f>
        <v>191250</v>
      </c>
      <c r="N47" s="233">
        <f>(F47*I47)+(G47*K47*I47)</f>
        <v>11.25</v>
      </c>
      <c r="O47" s="20">
        <v>17</v>
      </c>
      <c r="Q47" s="5">
        <f>O47*1000*17</f>
        <v>289000</v>
      </c>
      <c r="R47" s="19" t="s">
        <v>318</v>
      </c>
      <c r="S47" s="134"/>
      <c r="U47" s="133"/>
    </row>
    <row r="48" spans="1:21" s="132" customFormat="1" ht="20.45" customHeight="1" x14ac:dyDescent="0.25">
      <c r="A48" s="83" t="s">
        <v>53</v>
      </c>
      <c r="B48" s="82"/>
      <c r="C48" s="81">
        <v>368</v>
      </c>
      <c r="D48" s="81">
        <v>123.25</v>
      </c>
      <c r="E48" s="678" t="s">
        <v>120</v>
      </c>
      <c r="F48" s="9">
        <v>97.86</v>
      </c>
      <c r="G48" s="9">
        <v>25.39</v>
      </c>
      <c r="H48" s="9">
        <f>F48+G48</f>
        <v>123.25</v>
      </c>
      <c r="I48" s="90">
        <v>4.5</v>
      </c>
      <c r="J48" s="32">
        <v>1.3</v>
      </c>
      <c r="K48" s="23">
        <f>(I48-J48)/I48</f>
        <v>0.71111111111111114</v>
      </c>
      <c r="L48" s="22">
        <v>7470</v>
      </c>
      <c r="M48" s="21">
        <f>(F48*L48)+(G48*L48*K48)</f>
        <v>865885.88</v>
      </c>
      <c r="N48" s="233"/>
      <c r="O48" s="20"/>
      <c r="P48" s="5"/>
      <c r="Q48" s="5">
        <f>O48*1000*17</f>
        <v>0</v>
      </c>
      <c r="R48" s="19" t="s">
        <v>318</v>
      </c>
      <c r="S48" s="134"/>
      <c r="U48" s="133"/>
    </row>
    <row r="49" spans="1:21" s="697" customFormat="1" ht="20.45" customHeight="1" x14ac:dyDescent="0.25">
      <c r="A49" s="655" t="s">
        <v>50</v>
      </c>
      <c r="B49" s="647"/>
      <c r="C49" s="691">
        <v>650</v>
      </c>
      <c r="D49" s="691">
        <v>544</v>
      </c>
      <c r="E49" s="691">
        <v>0</v>
      </c>
      <c r="F49" s="691">
        <v>347.04</v>
      </c>
      <c r="G49" s="691">
        <v>188.96</v>
      </c>
      <c r="H49" s="691">
        <v>536</v>
      </c>
      <c r="I49" s="691">
        <v>9</v>
      </c>
      <c r="J49" s="691">
        <v>2.6</v>
      </c>
      <c r="K49" s="691">
        <v>1.4222222222222223</v>
      </c>
      <c r="L49" s="691">
        <v>40934</v>
      </c>
      <c r="M49" s="691">
        <v>5611846.1617777776</v>
      </c>
      <c r="N49" s="691">
        <v>0</v>
      </c>
      <c r="O49" s="691">
        <v>0</v>
      </c>
      <c r="P49" s="691">
        <v>0</v>
      </c>
      <c r="Q49" s="694"/>
      <c r="R49" s="695"/>
      <c r="S49" s="696"/>
      <c r="U49" s="698"/>
    </row>
    <row r="50" spans="1:21" s="132" customFormat="1" ht="20.45" customHeight="1" x14ac:dyDescent="0.25">
      <c r="A50" s="121"/>
      <c r="B50" s="123"/>
      <c r="C50" s="122"/>
      <c r="D50" s="122"/>
      <c r="E50" s="121"/>
      <c r="F50" s="118"/>
      <c r="G50" s="118"/>
      <c r="H50" s="118"/>
      <c r="I50" s="120"/>
      <c r="J50" s="118"/>
      <c r="K50" s="118"/>
      <c r="L50" s="119"/>
      <c r="M50" s="118"/>
      <c r="N50" s="9"/>
      <c r="O50" s="118"/>
      <c r="P50" s="118"/>
      <c r="Q50" s="117"/>
      <c r="R50" s="116"/>
      <c r="S50" s="134"/>
      <c r="U50" s="133"/>
    </row>
    <row r="51" spans="1:21" s="60" customFormat="1" ht="20.45" customHeight="1" x14ac:dyDescent="0.25">
      <c r="A51" s="129" t="s">
        <v>128</v>
      </c>
      <c r="B51" s="131"/>
      <c r="C51" s="130">
        <f>SUM(C52:C56)</f>
        <v>244</v>
      </c>
      <c r="D51" s="130">
        <f>SUM(D52:D56)</f>
        <v>563</v>
      </c>
      <c r="E51" s="129"/>
      <c r="F51" s="126">
        <f>SUM(F52:F56)</f>
        <v>0</v>
      </c>
      <c r="G51" s="126">
        <f>SUM(G52:G56)</f>
        <v>163.01</v>
      </c>
      <c r="H51" s="126">
        <f>SUM(H52:H56)</f>
        <v>163.01</v>
      </c>
      <c r="I51" s="128"/>
      <c r="J51" s="126"/>
      <c r="K51" s="126"/>
      <c r="L51" s="127"/>
      <c r="M51" s="126">
        <f>SUM(M52:M56)</f>
        <v>1276792.4493680298</v>
      </c>
      <c r="N51" s="229">
        <f>SUM(N52:N52)</f>
        <v>0</v>
      </c>
      <c r="O51" s="126"/>
      <c r="P51" s="126">
        <f>SUM(P52:P52)</f>
        <v>0</v>
      </c>
      <c r="Q51" s="125"/>
      <c r="R51" s="124"/>
      <c r="S51" s="16"/>
      <c r="U51" s="61"/>
    </row>
    <row r="52" spans="1:21" s="60" customFormat="1" ht="19.5" customHeight="1" x14ac:dyDescent="0.25">
      <c r="A52" s="29" t="s">
        <v>123</v>
      </c>
      <c r="B52" s="123"/>
      <c r="C52" s="92">
        <v>40</v>
      </c>
      <c r="D52" s="92">
        <v>290</v>
      </c>
      <c r="E52" s="678" t="s">
        <v>120</v>
      </c>
      <c r="F52" s="118"/>
      <c r="G52" s="9">
        <v>10</v>
      </c>
      <c r="H52" s="33">
        <f>F52+G52</f>
        <v>10</v>
      </c>
      <c r="I52" s="90">
        <v>2.69</v>
      </c>
      <c r="J52" s="32">
        <v>1.88</v>
      </c>
      <c r="K52" s="23">
        <f>(I52-J52)/I52</f>
        <v>0.30111524163568776</v>
      </c>
      <c r="L52" s="22">
        <v>7470</v>
      </c>
      <c r="M52" s="21">
        <f>(F52*L52)+(G52*L52*K52)</f>
        <v>22493.308550185877</v>
      </c>
      <c r="N52" s="233"/>
      <c r="O52" s="20"/>
      <c r="P52" s="5"/>
      <c r="Q52" s="5">
        <f>O52*1000*17</f>
        <v>0</v>
      </c>
      <c r="R52" s="19" t="s">
        <v>318</v>
      </c>
      <c r="S52" s="16"/>
      <c r="U52" s="61"/>
    </row>
    <row r="53" spans="1:21" s="60" customFormat="1" ht="19.5" customHeight="1" x14ac:dyDescent="0.25">
      <c r="A53" s="29" t="s">
        <v>62</v>
      </c>
      <c r="B53" s="123"/>
      <c r="C53" s="92">
        <v>30</v>
      </c>
      <c r="D53" s="92">
        <v>150</v>
      </c>
      <c r="E53" s="84" t="s">
        <v>117</v>
      </c>
      <c r="F53" s="34"/>
      <c r="G53" s="34">
        <v>29.01</v>
      </c>
      <c r="H53" s="33">
        <f>F53+G53</f>
        <v>29.01</v>
      </c>
      <c r="I53" s="90">
        <v>2.69</v>
      </c>
      <c r="J53" s="32">
        <v>2.02</v>
      </c>
      <c r="K53" s="75">
        <f>(I53-J53)/I53</f>
        <v>0.24907063197026019</v>
      </c>
      <c r="L53" s="88">
        <v>33464</v>
      </c>
      <c r="M53" s="87">
        <f>(F53*L53)+(G53*L53*K53)</f>
        <v>241795.43821561337</v>
      </c>
      <c r="N53" s="245"/>
      <c r="O53" s="86"/>
      <c r="P53" s="85"/>
      <c r="Q53" s="5">
        <f>O53*1000*17</f>
        <v>0</v>
      </c>
      <c r="R53" s="19" t="s">
        <v>318</v>
      </c>
      <c r="S53" s="16"/>
      <c r="U53" s="61"/>
    </row>
    <row r="54" spans="1:21" s="60" customFormat="1" ht="19.5" customHeight="1" x14ac:dyDescent="0.25">
      <c r="A54" s="29" t="s">
        <v>272</v>
      </c>
      <c r="B54" s="123"/>
      <c r="C54" s="92">
        <v>12</v>
      </c>
      <c r="D54" s="92">
        <v>68</v>
      </c>
      <c r="E54" s="84" t="s">
        <v>117</v>
      </c>
      <c r="F54" s="34"/>
      <c r="G54" s="34">
        <v>15</v>
      </c>
      <c r="H54" s="33">
        <f>F54+G54</f>
        <v>15</v>
      </c>
      <c r="I54" s="90">
        <v>2.69</v>
      </c>
      <c r="J54" s="32">
        <v>1.35</v>
      </c>
      <c r="K54" s="75">
        <f>(I54-J54)/I54</f>
        <v>0.49814126394052038</v>
      </c>
      <c r="L54" s="88">
        <v>33464</v>
      </c>
      <c r="M54" s="87">
        <f>(F54*L54)+(G54*L54*K54)</f>
        <v>250046.98884758362</v>
      </c>
      <c r="N54" s="245"/>
      <c r="O54" s="86"/>
      <c r="P54" s="85"/>
      <c r="Q54" s="5">
        <f>O54*1000*17</f>
        <v>0</v>
      </c>
      <c r="R54" s="19" t="s">
        <v>318</v>
      </c>
      <c r="S54" s="16"/>
      <c r="U54" s="61"/>
    </row>
    <row r="55" spans="1:21" s="60" customFormat="1" ht="19.5" customHeight="1" x14ac:dyDescent="0.25">
      <c r="A55" s="29" t="s">
        <v>69</v>
      </c>
      <c r="B55" s="123"/>
      <c r="C55" s="92">
        <v>150</v>
      </c>
      <c r="D55" s="92">
        <v>25</v>
      </c>
      <c r="E55" s="84" t="s">
        <v>117</v>
      </c>
      <c r="F55" s="34"/>
      <c r="G55" s="34">
        <v>100</v>
      </c>
      <c r="H55" s="33">
        <f>F55+G55</f>
        <v>100</v>
      </c>
      <c r="I55" s="90">
        <v>2.69</v>
      </c>
      <c r="J55" s="32">
        <v>2.15</v>
      </c>
      <c r="K55" s="75">
        <f>(I55-J55)/I55</f>
        <v>0.20074349442379183</v>
      </c>
      <c r="L55" s="88">
        <v>33464</v>
      </c>
      <c r="M55" s="87">
        <f>(F55*L55)+(G55*L55*K55)</f>
        <v>671768.02973977698</v>
      </c>
      <c r="N55" s="245"/>
      <c r="O55" s="86"/>
      <c r="P55" s="85"/>
      <c r="Q55" s="5">
        <f>O55*1000*17</f>
        <v>0</v>
      </c>
      <c r="R55" s="19" t="s">
        <v>318</v>
      </c>
      <c r="S55" s="16"/>
      <c r="U55" s="61"/>
    </row>
    <row r="56" spans="1:21" s="60" customFormat="1" ht="19.5" customHeight="1" x14ac:dyDescent="0.25">
      <c r="A56" s="29" t="s">
        <v>70</v>
      </c>
      <c r="B56" s="123"/>
      <c r="C56" s="92">
        <v>12</v>
      </c>
      <c r="D56" s="92">
        <v>30</v>
      </c>
      <c r="E56" s="84" t="s">
        <v>117</v>
      </c>
      <c r="F56" s="34"/>
      <c r="G56" s="34">
        <v>9</v>
      </c>
      <c r="H56" s="33">
        <f>F56+G56</f>
        <v>9</v>
      </c>
      <c r="I56" s="90">
        <v>2.69</v>
      </c>
      <c r="J56" s="32">
        <v>1.88</v>
      </c>
      <c r="K56" s="75">
        <f>(I56-J56)/I56</f>
        <v>0.30111524163568776</v>
      </c>
      <c r="L56" s="88">
        <v>33464</v>
      </c>
      <c r="M56" s="87">
        <f>(F56*L56)+(G56*L56*K56)</f>
        <v>90688.684014869898</v>
      </c>
      <c r="N56" s="245"/>
      <c r="O56" s="86"/>
      <c r="P56" s="85"/>
      <c r="Q56" s="5">
        <f>O56*1000*17</f>
        <v>0</v>
      </c>
      <c r="R56" s="19" t="s">
        <v>318</v>
      </c>
      <c r="S56" s="16"/>
      <c r="U56" s="61"/>
    </row>
    <row r="57" spans="1:21" s="57" customFormat="1" ht="19.5" customHeight="1" x14ac:dyDescent="0.25">
      <c r="A57" s="83"/>
      <c r="B57" s="82"/>
      <c r="C57" s="81"/>
      <c r="D57" s="81"/>
      <c r="E57" s="80"/>
      <c r="F57" s="79"/>
      <c r="G57" s="79"/>
      <c r="H57" s="78"/>
      <c r="I57" s="77"/>
      <c r="J57" s="76"/>
      <c r="K57" s="75"/>
      <c r="L57" s="74"/>
      <c r="M57" s="73"/>
      <c r="N57" s="236"/>
      <c r="O57" s="72"/>
      <c r="P57" s="71"/>
      <c r="Q57" s="71"/>
      <c r="R57" s="70"/>
      <c r="S57" s="59"/>
      <c r="U57" s="58"/>
    </row>
    <row r="58" spans="1:21" s="60" customFormat="1" ht="20.45" customHeight="1" x14ac:dyDescent="0.25">
      <c r="A58" s="67" t="s">
        <v>118</v>
      </c>
      <c r="B58" s="69"/>
      <c r="C58" s="68">
        <f>SUM(C59:C63)</f>
        <v>311</v>
      </c>
      <c r="D58" s="68">
        <f>SUM(D59:D63)</f>
        <v>261.83000000000004</v>
      </c>
      <c r="E58" s="67"/>
      <c r="F58" s="64">
        <f>SUM(F59:F63)</f>
        <v>7</v>
      </c>
      <c r="G58" s="64">
        <f>SUM(G59:G63)</f>
        <v>222.83</v>
      </c>
      <c r="H58" s="64">
        <f>SUM(H59:H63)</f>
        <v>229.83</v>
      </c>
      <c r="I58" s="66"/>
      <c r="J58" s="64"/>
      <c r="K58" s="64"/>
      <c r="L58" s="65"/>
      <c r="M58" s="64">
        <f>SUM(M59:M63)</f>
        <v>894902.60943396227</v>
      </c>
      <c r="N58" s="243"/>
      <c r="O58" s="64"/>
      <c r="P58" s="63">
        <f>SUM(P59:P63)</f>
        <v>0</v>
      </c>
      <c r="Q58" s="63"/>
      <c r="R58" s="62"/>
      <c r="S58" s="16"/>
      <c r="U58" s="61"/>
    </row>
    <row r="59" spans="1:21" s="57" customFormat="1" ht="19.5" customHeight="1" x14ac:dyDescent="0.25">
      <c r="A59" s="29" t="s">
        <v>76</v>
      </c>
      <c r="B59" s="123"/>
      <c r="C59" s="92">
        <v>30</v>
      </c>
      <c r="D59" s="92">
        <v>10</v>
      </c>
      <c r="E59" s="678" t="s">
        <v>120</v>
      </c>
      <c r="F59" s="118"/>
      <c r="G59" s="9">
        <v>10</v>
      </c>
      <c r="H59" s="9">
        <f>F59+G59</f>
        <v>10</v>
      </c>
      <c r="I59" s="90">
        <v>2.65</v>
      </c>
      <c r="J59" s="32"/>
      <c r="K59" s="23">
        <f>(I59-J59)/I59</f>
        <v>1</v>
      </c>
      <c r="L59" s="22">
        <v>7470</v>
      </c>
      <c r="M59" s="21">
        <f>(F59*L59)+(G59*L59*K59)</f>
        <v>74700</v>
      </c>
      <c r="N59" s="233"/>
      <c r="O59" s="20"/>
      <c r="P59" s="5"/>
      <c r="Q59" s="5">
        <f>O59*1000*17</f>
        <v>0</v>
      </c>
      <c r="R59" s="19" t="s">
        <v>318</v>
      </c>
      <c r="S59" s="59"/>
      <c r="U59" s="58"/>
    </row>
    <row r="60" spans="1:21" s="132" customFormat="1" ht="21.6" customHeight="1" x14ac:dyDescent="0.25">
      <c r="A60" s="83" t="s">
        <v>248</v>
      </c>
      <c r="B60" s="123"/>
      <c r="C60" s="92">
        <v>3</v>
      </c>
      <c r="D60" s="92">
        <v>3</v>
      </c>
      <c r="E60" s="84" t="s">
        <v>117</v>
      </c>
      <c r="F60" s="34">
        <v>3</v>
      </c>
      <c r="G60" s="34"/>
      <c r="H60" s="33">
        <f>F60+G60</f>
        <v>3</v>
      </c>
      <c r="I60" s="90">
        <v>2.65</v>
      </c>
      <c r="J60" s="32"/>
      <c r="K60" s="75">
        <f>(I60-J60)/I60</f>
        <v>1</v>
      </c>
      <c r="L60" s="88">
        <v>33464</v>
      </c>
      <c r="M60" s="87">
        <f>(F60*L60)+(G60*L60*K60)</f>
        <v>100392</v>
      </c>
      <c r="N60" s="245"/>
      <c r="O60" s="86"/>
      <c r="P60" s="85"/>
      <c r="Q60" s="5">
        <f>O60*1000*17</f>
        <v>0</v>
      </c>
      <c r="R60" s="19" t="s">
        <v>318</v>
      </c>
      <c r="S60" s="134"/>
      <c r="U60" s="133"/>
    </row>
    <row r="61" spans="1:21" s="57" customFormat="1" ht="19.5" customHeight="1" x14ac:dyDescent="0.25">
      <c r="A61" s="29" t="s">
        <v>81</v>
      </c>
      <c r="B61" s="123"/>
      <c r="C61" s="92">
        <v>254</v>
      </c>
      <c r="D61" s="92">
        <v>193.83</v>
      </c>
      <c r="E61" s="678" t="s">
        <v>120</v>
      </c>
      <c r="F61" s="118"/>
      <c r="G61" s="9">
        <v>193.83</v>
      </c>
      <c r="H61" s="9">
        <f>F61+G61</f>
        <v>193.83</v>
      </c>
      <c r="I61" s="90">
        <v>2.65</v>
      </c>
      <c r="J61" s="32">
        <v>1.5</v>
      </c>
      <c r="K61" s="23">
        <f>(I61-J61)/I61</f>
        <v>0.43396226415094336</v>
      </c>
      <c r="L61" s="22">
        <v>7470</v>
      </c>
      <c r="M61" s="21">
        <f>(F61*L61)+(G61*L61*K61)</f>
        <v>628338.34528301889</v>
      </c>
      <c r="N61" s="233"/>
      <c r="O61" s="20"/>
      <c r="P61" s="5"/>
      <c r="Q61" s="5">
        <f>O61*1000*17</f>
        <v>0</v>
      </c>
      <c r="R61" s="19" t="s">
        <v>318</v>
      </c>
      <c r="S61" s="59"/>
      <c r="U61" s="58"/>
    </row>
    <row r="62" spans="1:21" s="57" customFormat="1" ht="19.5" customHeight="1" x14ac:dyDescent="0.25">
      <c r="A62" s="29" t="s">
        <v>322</v>
      </c>
      <c r="B62" s="123"/>
      <c r="C62" s="92">
        <v>24</v>
      </c>
      <c r="D62" s="92">
        <v>55</v>
      </c>
      <c r="E62" s="678" t="s">
        <v>120</v>
      </c>
      <c r="F62" s="9">
        <v>4</v>
      </c>
      <c r="G62" s="9">
        <v>19</v>
      </c>
      <c r="H62" s="9">
        <f>F62+G62</f>
        <v>23</v>
      </c>
      <c r="I62" s="90">
        <v>2.65</v>
      </c>
      <c r="J62" s="32">
        <v>1.5</v>
      </c>
      <c r="K62" s="23">
        <f>(I62-J62)/I62</f>
        <v>0.43396226415094336</v>
      </c>
      <c r="L62" s="22">
        <v>7470</v>
      </c>
      <c r="M62" s="21">
        <f>(F62*L62)+(G62*L62*K62)</f>
        <v>91472.264150943389</v>
      </c>
      <c r="N62" s="233"/>
      <c r="O62" s="20"/>
      <c r="P62" s="5"/>
      <c r="Q62" s="5">
        <f>O62*1000*17</f>
        <v>0</v>
      </c>
      <c r="R62" s="19" t="s">
        <v>318</v>
      </c>
      <c r="S62" s="59"/>
      <c r="U62" s="58"/>
    </row>
    <row r="63" spans="1:21" s="57" customFormat="1" ht="19.350000000000001" customHeight="1" x14ac:dyDescent="0.25">
      <c r="A63" s="83"/>
      <c r="B63" s="82"/>
      <c r="C63" s="81"/>
      <c r="D63" s="81"/>
      <c r="E63" s="80"/>
      <c r="F63" s="79"/>
      <c r="G63" s="79"/>
      <c r="H63" s="78"/>
      <c r="I63" s="77"/>
      <c r="J63" s="76"/>
      <c r="K63" s="75"/>
      <c r="L63" s="74"/>
      <c r="M63" s="73"/>
      <c r="N63" s="236"/>
      <c r="O63" s="72"/>
      <c r="P63" s="71"/>
      <c r="Q63" s="71"/>
      <c r="R63" s="70"/>
      <c r="S63" s="59"/>
      <c r="U63" s="58"/>
    </row>
    <row r="64" spans="1:21" s="60" customFormat="1" ht="20.45" hidden="1" customHeight="1" x14ac:dyDescent="0.25">
      <c r="A64" s="67" t="s">
        <v>112</v>
      </c>
      <c r="B64" s="69"/>
      <c r="C64" s="68">
        <f>SUM(C65:C65)</f>
        <v>0</v>
      </c>
      <c r="D64" s="68">
        <f>SUM(D65:D65)</f>
        <v>0</v>
      </c>
      <c r="E64" s="67"/>
      <c r="F64" s="64">
        <f>SUM(F65:F65)</f>
        <v>0</v>
      </c>
      <c r="G64" s="64">
        <f>SUM(G65:G65)</f>
        <v>0</v>
      </c>
      <c r="H64" s="64">
        <f>SUM(H65:H65)</f>
        <v>0</v>
      </c>
      <c r="I64" s="66"/>
      <c r="J64" s="64"/>
      <c r="K64" s="64"/>
      <c r="L64" s="65"/>
      <c r="M64" s="64">
        <f>SUM(M65:M65)</f>
        <v>0</v>
      </c>
      <c r="N64" s="240">
        <f>SUM(N65:N65)</f>
        <v>0</v>
      </c>
      <c r="O64" s="64"/>
      <c r="P64" s="64">
        <f>SUM(P65:P65)</f>
        <v>0</v>
      </c>
      <c r="Q64" s="63"/>
      <c r="R64" s="62"/>
      <c r="S64" s="16"/>
      <c r="U64" s="61"/>
    </row>
    <row r="65" spans="1:21" s="57" customFormat="1" ht="19.350000000000001" hidden="1" customHeight="1" x14ac:dyDescent="0.25">
      <c r="A65" s="29"/>
      <c r="B65" s="28" t="s">
        <v>5</v>
      </c>
      <c r="C65" s="7"/>
      <c r="D65" s="6"/>
      <c r="E65" s="27" t="s">
        <v>104</v>
      </c>
      <c r="F65" s="9"/>
      <c r="G65" s="9"/>
      <c r="H65" s="26">
        <f>F65+G65</f>
        <v>0</v>
      </c>
      <c r="I65" s="25">
        <v>2.73</v>
      </c>
      <c r="J65" s="24"/>
      <c r="K65" s="23">
        <f>(I65-J65)/I65</f>
        <v>1</v>
      </c>
      <c r="L65" s="22"/>
      <c r="M65" s="21"/>
      <c r="N65" s="233">
        <f>(F65*I65)+(G65*K65*I65)</f>
        <v>0</v>
      </c>
      <c r="O65" s="20">
        <v>17</v>
      </c>
      <c r="P65" s="5">
        <f>N65*1000*O65</f>
        <v>0</v>
      </c>
      <c r="Q65" s="5">
        <f>O65*1000*17</f>
        <v>289000</v>
      </c>
      <c r="R65" s="19"/>
      <c r="S65" s="59"/>
      <c r="U65" s="58"/>
    </row>
    <row r="66" spans="1:21" s="57" customFormat="1" ht="19.350000000000001" hidden="1" customHeight="1" x14ac:dyDescent="0.25">
      <c r="A66" s="29"/>
      <c r="B66" s="28"/>
      <c r="C66" s="7"/>
      <c r="D66" s="6"/>
      <c r="E66" s="27"/>
      <c r="F66" s="9"/>
      <c r="G66" s="9"/>
      <c r="H66" s="26"/>
      <c r="I66" s="25"/>
      <c r="J66" s="24"/>
      <c r="K66" s="23"/>
      <c r="L66" s="22"/>
      <c r="M66" s="21"/>
      <c r="N66" s="233"/>
      <c r="O66" s="20"/>
      <c r="P66" s="5"/>
      <c r="Q66" s="5"/>
      <c r="R66" s="19"/>
      <c r="S66" s="59"/>
      <c r="U66" s="58"/>
    </row>
    <row r="67" spans="1:21" s="57" customFormat="1" ht="19.350000000000001" hidden="1" customHeight="1" x14ac:dyDescent="0.25">
      <c r="A67" s="29"/>
      <c r="B67" s="28"/>
      <c r="C67" s="7"/>
      <c r="D67" s="6"/>
      <c r="E67" s="27"/>
      <c r="F67" s="9"/>
      <c r="G67" s="9"/>
      <c r="H67" s="26"/>
      <c r="I67" s="25"/>
      <c r="J67" s="24"/>
      <c r="K67" s="23"/>
      <c r="L67" s="22"/>
      <c r="M67" s="21"/>
      <c r="N67" s="233"/>
      <c r="O67" s="20"/>
      <c r="P67" s="5"/>
      <c r="Q67" s="5"/>
      <c r="R67" s="19"/>
      <c r="S67" s="59"/>
      <c r="U67" s="58"/>
    </row>
    <row r="68" spans="1:21" s="57" customFormat="1" ht="19.350000000000001" hidden="1" customHeight="1" x14ac:dyDescent="0.25">
      <c r="A68" s="29"/>
      <c r="B68" s="28"/>
      <c r="C68" s="7"/>
      <c r="D68" s="6"/>
      <c r="E68" s="27"/>
      <c r="F68" s="9"/>
      <c r="G68" s="9"/>
      <c r="H68" s="26"/>
      <c r="I68" s="25"/>
      <c r="J68" s="24"/>
      <c r="K68" s="23"/>
      <c r="L68" s="22"/>
      <c r="M68" s="21"/>
      <c r="N68" s="233"/>
      <c r="O68" s="20"/>
      <c r="P68" s="5"/>
      <c r="Q68" s="5"/>
      <c r="R68" s="19"/>
      <c r="S68" s="59"/>
      <c r="U68" s="58"/>
    </row>
    <row r="69" spans="1:21" s="57" customFormat="1" ht="19.350000000000001" hidden="1" customHeight="1" x14ac:dyDescent="0.25">
      <c r="A69" s="29"/>
      <c r="B69" s="28"/>
      <c r="C69" s="7"/>
      <c r="D69" s="6"/>
      <c r="E69" s="27"/>
      <c r="F69" s="9"/>
      <c r="G69" s="9"/>
      <c r="H69" s="26"/>
      <c r="I69" s="25"/>
      <c r="J69" s="24"/>
      <c r="K69" s="23"/>
      <c r="L69" s="22"/>
      <c r="M69" s="21"/>
      <c r="N69" s="233"/>
      <c r="O69" s="20"/>
      <c r="P69" s="5"/>
      <c r="Q69" s="5"/>
      <c r="R69" s="19"/>
      <c r="S69" s="59"/>
      <c r="U69" s="58"/>
    </row>
    <row r="70" spans="1:21" s="57" customFormat="1" ht="19.350000000000001" hidden="1" customHeight="1" x14ac:dyDescent="0.25">
      <c r="A70" s="29"/>
      <c r="B70" s="28"/>
      <c r="C70" s="7"/>
      <c r="D70" s="6"/>
      <c r="E70" s="27"/>
      <c r="F70" s="9"/>
      <c r="G70" s="9"/>
      <c r="H70" s="26"/>
      <c r="I70" s="25"/>
      <c r="J70" s="24"/>
      <c r="K70" s="23"/>
      <c r="L70" s="22"/>
      <c r="M70" s="21"/>
      <c r="N70" s="233"/>
      <c r="O70" s="20"/>
      <c r="P70" s="5"/>
      <c r="Q70" s="5"/>
      <c r="R70" s="19"/>
      <c r="S70" s="59"/>
      <c r="U70" s="58"/>
    </row>
    <row r="71" spans="1:21" s="40" customFormat="1" ht="19.5" hidden="1" customHeight="1" x14ac:dyDescent="0.25">
      <c r="A71" s="56"/>
      <c r="B71" s="56"/>
      <c r="C71" s="55"/>
      <c r="D71" s="54"/>
      <c r="E71" s="53"/>
      <c r="F71" s="52"/>
      <c r="G71" s="52"/>
      <c r="H71" s="51"/>
      <c r="I71" s="50"/>
      <c r="J71" s="49"/>
      <c r="K71" s="677"/>
      <c r="L71" s="47"/>
      <c r="M71" s="46"/>
      <c r="N71" s="246"/>
      <c r="O71" s="45"/>
      <c r="P71" s="44"/>
      <c r="Q71" s="44"/>
      <c r="R71" s="43"/>
      <c r="S71" s="42"/>
      <c r="U71" s="41"/>
    </row>
    <row r="72" spans="1:21" s="30" customFormat="1" ht="18.75" customHeight="1" x14ac:dyDescent="0.25">
      <c r="C72" s="676"/>
      <c r="D72" s="676"/>
      <c r="E72" s="31"/>
      <c r="F72" s="673"/>
      <c r="G72" s="673"/>
      <c r="H72" s="673"/>
      <c r="J72" s="675"/>
      <c r="K72" s="16"/>
      <c r="L72" s="674"/>
      <c r="M72" s="671"/>
      <c r="N72" s="673"/>
      <c r="O72" s="672"/>
      <c r="P72" s="671"/>
      <c r="Q72" s="671"/>
      <c r="T72" s="31"/>
    </row>
    <row r="73" spans="1:21" s="30" customFormat="1" ht="18.75" customHeight="1" x14ac:dyDescent="0.25">
      <c r="C73" s="676"/>
      <c r="D73" s="676"/>
      <c r="E73" s="31"/>
      <c r="F73" s="673"/>
      <c r="G73" s="673"/>
      <c r="H73" s="673"/>
      <c r="J73" s="675"/>
      <c r="K73" s="16"/>
      <c r="L73" s="674"/>
      <c r="M73" s="671"/>
      <c r="N73" s="673"/>
      <c r="O73" s="672"/>
      <c r="P73" s="671"/>
      <c r="Q73" s="671"/>
      <c r="T73" s="31"/>
    </row>
    <row r="74" spans="1:21" s="30" customFormat="1" ht="18.75" customHeight="1" x14ac:dyDescent="0.25">
      <c r="C74" s="676"/>
      <c r="D74" s="676"/>
      <c r="E74" s="31"/>
      <c r="F74" s="673"/>
      <c r="G74" s="673"/>
      <c r="H74" s="673"/>
      <c r="J74" s="675"/>
      <c r="K74" s="16"/>
      <c r="L74" s="674"/>
      <c r="M74" s="671"/>
      <c r="N74" s="673"/>
      <c r="O74" s="672"/>
      <c r="P74" s="671"/>
      <c r="Q74" s="671"/>
      <c r="T74" s="31"/>
    </row>
    <row r="75" spans="1:21" s="30" customFormat="1" ht="18.75" customHeight="1" x14ac:dyDescent="0.25">
      <c r="C75" s="676"/>
      <c r="D75" s="676"/>
      <c r="E75" s="31"/>
      <c r="F75" s="673"/>
      <c r="G75" s="673"/>
      <c r="H75" s="673"/>
      <c r="J75" s="675"/>
      <c r="K75" s="16"/>
      <c r="L75" s="674"/>
      <c r="M75" s="671"/>
      <c r="N75" s="673"/>
      <c r="O75" s="672"/>
      <c r="P75" s="671"/>
      <c r="Q75" s="671"/>
      <c r="T75" s="31"/>
    </row>
    <row r="76" spans="1:21" s="30" customFormat="1" ht="18.75" customHeight="1" x14ac:dyDescent="0.25">
      <c r="C76" s="676"/>
      <c r="D76" s="676"/>
      <c r="E76" s="31"/>
      <c r="F76" s="673"/>
      <c r="G76" s="673"/>
      <c r="H76" s="673"/>
      <c r="J76" s="675"/>
      <c r="K76" s="16"/>
      <c r="L76" s="674"/>
      <c r="M76" s="671"/>
      <c r="N76" s="673"/>
      <c r="O76" s="672"/>
      <c r="P76" s="671"/>
      <c r="Q76" s="671"/>
      <c r="T76" s="31"/>
    </row>
    <row r="77" spans="1:21" s="30" customFormat="1" ht="18.75" customHeight="1" x14ac:dyDescent="0.25">
      <c r="C77" s="676"/>
      <c r="D77" s="676"/>
      <c r="E77" s="31"/>
      <c r="F77" s="673"/>
      <c r="G77" s="673"/>
      <c r="H77" s="673"/>
      <c r="J77" s="675"/>
      <c r="K77" s="16"/>
      <c r="L77" s="674"/>
      <c r="M77" s="671"/>
      <c r="N77" s="673"/>
      <c r="O77" s="672"/>
      <c r="P77" s="671"/>
      <c r="Q77" s="671"/>
      <c r="T77" s="31"/>
    </row>
    <row r="78" spans="1:21" s="30" customFormat="1" ht="18.75" customHeight="1" x14ac:dyDescent="0.25">
      <c r="C78" s="676"/>
      <c r="D78" s="676"/>
      <c r="E78" s="31"/>
      <c r="F78" s="673"/>
      <c r="G78" s="673"/>
      <c r="H78" s="673"/>
      <c r="J78" s="675"/>
      <c r="K78" s="16"/>
      <c r="L78" s="674"/>
      <c r="M78" s="671"/>
      <c r="N78" s="673"/>
      <c r="O78" s="672"/>
      <c r="P78" s="671"/>
      <c r="Q78" s="671"/>
      <c r="T78" s="31"/>
    </row>
    <row r="79" spans="1:21" s="30" customFormat="1" ht="18.75" customHeight="1" x14ac:dyDescent="0.25">
      <c r="C79" s="676"/>
      <c r="D79" s="676"/>
      <c r="E79" s="31"/>
      <c r="F79" s="673"/>
      <c r="G79" s="673"/>
      <c r="H79" s="673"/>
      <c r="J79" s="675"/>
      <c r="K79" s="16"/>
      <c r="L79" s="674"/>
      <c r="M79" s="671"/>
      <c r="N79" s="673"/>
      <c r="O79" s="672"/>
      <c r="P79" s="671"/>
      <c r="Q79" s="671"/>
      <c r="T79" s="31"/>
    </row>
    <row r="80" spans="1:21" s="30" customFormat="1" ht="18.75" customHeight="1" x14ac:dyDescent="0.25">
      <c r="C80" s="676"/>
      <c r="D80" s="676"/>
      <c r="E80" s="31"/>
      <c r="F80" s="673"/>
      <c r="G80" s="673"/>
      <c r="H80" s="673"/>
      <c r="J80" s="675"/>
      <c r="K80" s="16"/>
      <c r="L80" s="674"/>
      <c r="M80" s="671"/>
      <c r="N80" s="673"/>
      <c r="O80" s="672"/>
      <c r="P80" s="671"/>
      <c r="Q80" s="671"/>
      <c r="T80" s="31"/>
    </row>
    <row r="81" spans="3:20" s="30" customFormat="1" ht="18.75" customHeight="1" x14ac:dyDescent="0.25">
      <c r="C81" s="676"/>
      <c r="D81" s="676"/>
      <c r="E81" s="31"/>
      <c r="F81" s="673"/>
      <c r="G81" s="673"/>
      <c r="H81" s="673"/>
      <c r="J81" s="675"/>
      <c r="K81" s="16"/>
      <c r="L81" s="674"/>
      <c r="M81" s="671"/>
      <c r="N81" s="673"/>
      <c r="O81" s="672"/>
      <c r="P81" s="671"/>
      <c r="Q81" s="671"/>
      <c r="T81" s="31"/>
    </row>
  </sheetData>
  <mergeCells count="14">
    <mergeCell ref="A10:R10"/>
    <mergeCell ref="A11:A13"/>
    <mergeCell ref="C11:C13"/>
    <mergeCell ref="B11:B13"/>
    <mergeCell ref="L11:P11"/>
    <mergeCell ref="R11:R13"/>
    <mergeCell ref="D11:D13"/>
    <mergeCell ref="E11:E13"/>
    <mergeCell ref="F11:H12"/>
    <mergeCell ref="I11:J12"/>
    <mergeCell ref="K11:K13"/>
    <mergeCell ref="L12:M12"/>
    <mergeCell ref="N12:P12"/>
    <mergeCell ref="Q12:Q13"/>
  </mergeCells>
  <phoneticPr fontId="53" type="noConversion"/>
  <printOptions horizontalCentered="1"/>
  <pageMargins left="0.19685039370078741" right="1.1811023622047245" top="0.39370078740157483" bottom="0.78740157480314965" header="0" footer="0"/>
  <pageSetup paperSize="5" scale="60" fitToHeight="0" orientation="landscape"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12E2A-98C2-DF49-A40A-A3AF3FFF1909}">
  <dimension ref="A1:U173"/>
  <sheetViews>
    <sheetView zoomScale="85" zoomScaleNormal="85" zoomScaleSheetLayoutView="90" workbookViewId="0">
      <pane xSplit="2" ySplit="14" topLeftCell="C94" activePane="bottomRight" state="frozen"/>
      <selection pane="topRight" activeCell="C1" sqref="C1"/>
      <selection pane="bottomLeft" activeCell="A15" sqref="A15"/>
      <selection pane="bottomRight" activeCell="A127" sqref="A127"/>
    </sheetView>
  </sheetViews>
  <sheetFormatPr defaultColWidth="11.42578125" defaultRowHeight="18.75" customHeight="1" x14ac:dyDescent="0.25"/>
  <cols>
    <col min="1" max="1" width="27.140625" style="10" customWidth="1"/>
    <col min="2" max="2" width="16.42578125" style="10" customWidth="1"/>
    <col min="3" max="3" width="15" style="249" customWidth="1"/>
    <col min="4" max="4" width="15.85546875" style="546" customWidth="1"/>
    <col min="5" max="5" width="18.42578125" style="16" customWidth="1"/>
    <col min="6" max="6" width="15.42578125" style="12" bestFit="1" customWidth="1"/>
    <col min="7" max="7" width="13.85546875" style="12" bestFit="1" customWidth="1"/>
    <col min="8" max="8" width="15.85546875" style="12" customWidth="1"/>
    <col min="9" max="9" width="15" style="10" customWidth="1"/>
    <col min="10" max="10" width="13.42578125" style="10" customWidth="1"/>
    <col min="11" max="11" width="11.140625" style="10" customWidth="1"/>
    <col min="12" max="12" width="20" style="15" customWidth="1"/>
    <col min="13" max="13" width="22.28515625" style="12" customWidth="1"/>
    <col min="14" max="14" width="15.42578125" style="15" customWidth="1"/>
    <col min="15" max="15" width="12.140625" style="15" customWidth="1"/>
    <col min="16" max="16" width="19.7109375" style="12" customWidth="1"/>
    <col min="17" max="17" width="22.85546875" style="12" bestFit="1" customWidth="1"/>
    <col min="18" max="18" width="41.28515625" style="10" customWidth="1"/>
    <col min="19" max="19" width="18" style="10" customWidth="1"/>
    <col min="20" max="20" width="22.7109375" style="11" customWidth="1"/>
    <col min="21" max="21" width="29.28515625" style="10" customWidth="1"/>
    <col min="22" max="16384" width="11.42578125" style="10"/>
  </cols>
  <sheetData>
    <row r="1" spans="1:21" ht="17.25" customHeight="1" x14ac:dyDescent="0.25">
      <c r="A1" s="781" t="s">
        <v>300</v>
      </c>
      <c r="B1" s="781"/>
      <c r="C1" s="781"/>
      <c r="D1" s="781"/>
      <c r="E1" s="781"/>
      <c r="F1" s="781"/>
      <c r="G1" s="781"/>
      <c r="H1" s="781"/>
      <c r="I1" s="781"/>
      <c r="J1" s="781"/>
      <c r="K1" s="781"/>
      <c r="L1" s="781"/>
      <c r="M1" s="781"/>
      <c r="N1" s="781"/>
      <c r="O1" s="781"/>
      <c r="P1" s="781"/>
      <c r="Q1" s="781"/>
      <c r="R1" s="781"/>
    </row>
    <row r="2" spans="1:21" ht="18.75" hidden="1" customHeight="1" x14ac:dyDescent="0.25">
      <c r="A2" s="781" t="s">
        <v>299</v>
      </c>
      <c r="B2" s="781"/>
      <c r="C2" s="781"/>
      <c r="D2" s="781"/>
      <c r="E2" s="781"/>
      <c r="F2" s="781"/>
      <c r="G2" s="781"/>
      <c r="H2" s="781"/>
      <c r="I2" s="781"/>
      <c r="J2" s="781"/>
      <c r="K2" s="781"/>
      <c r="L2" s="781"/>
      <c r="M2" s="781"/>
      <c r="N2" s="781"/>
      <c r="O2" s="781"/>
      <c r="P2" s="781"/>
      <c r="Q2" s="781"/>
      <c r="R2" s="781"/>
    </row>
    <row r="3" spans="1:21" ht="18.75" hidden="1" customHeight="1" x14ac:dyDescent="0.25">
      <c r="A3" s="781" t="s">
        <v>298</v>
      </c>
      <c r="B3" s="781"/>
      <c r="C3" s="781"/>
      <c r="D3" s="781"/>
      <c r="E3" s="781"/>
      <c r="F3" s="781"/>
      <c r="G3" s="781"/>
      <c r="H3" s="781"/>
      <c r="I3" s="781"/>
      <c r="J3" s="781"/>
      <c r="K3" s="781"/>
      <c r="L3" s="781"/>
      <c r="M3" s="781"/>
      <c r="N3" s="781"/>
      <c r="O3" s="781"/>
      <c r="P3" s="781"/>
      <c r="Q3" s="781"/>
      <c r="R3" s="781"/>
    </row>
    <row r="4" spans="1:21" ht="18.75" hidden="1" customHeight="1" x14ac:dyDescent="0.25">
      <c r="A4" s="781" t="s">
        <v>297</v>
      </c>
      <c r="B4" s="781"/>
      <c r="C4" s="781"/>
      <c r="D4" s="781"/>
      <c r="E4" s="781"/>
      <c r="F4" s="781"/>
      <c r="G4" s="781"/>
      <c r="H4" s="781"/>
      <c r="I4" s="781"/>
      <c r="J4" s="781"/>
      <c r="K4" s="781"/>
      <c r="L4" s="781"/>
      <c r="M4" s="781"/>
      <c r="N4" s="781"/>
      <c r="O4" s="781"/>
      <c r="P4" s="781"/>
      <c r="Q4" s="781"/>
      <c r="R4" s="781"/>
    </row>
    <row r="5" spans="1:21" ht="18.75" hidden="1" customHeight="1" thickBot="1" x14ac:dyDescent="0.3">
      <c r="A5" s="182"/>
      <c r="B5" s="182"/>
      <c r="C5" s="639"/>
      <c r="D5" s="284"/>
      <c r="E5" s="182"/>
      <c r="F5" s="214"/>
      <c r="G5" s="214"/>
      <c r="H5" s="214"/>
      <c r="I5" s="217"/>
      <c r="J5" s="217"/>
      <c r="K5" s="217"/>
      <c r="L5" s="182"/>
      <c r="M5" s="215"/>
      <c r="N5" s="182"/>
      <c r="O5" s="182"/>
      <c r="P5" s="214"/>
      <c r="Q5" s="214"/>
      <c r="R5" s="182"/>
    </row>
    <row r="6" spans="1:21" ht="18.75" hidden="1" customHeight="1" x14ac:dyDescent="0.25">
      <c r="A6" s="213" t="s">
        <v>229</v>
      </c>
      <c r="B6" s="212"/>
      <c r="C6" s="644"/>
      <c r="D6" s="441"/>
      <c r="E6" s="203"/>
      <c r="F6" s="202"/>
      <c r="G6" s="202"/>
      <c r="H6" s="643" t="s">
        <v>180</v>
      </c>
      <c r="I6" s="208"/>
      <c r="J6" s="208"/>
      <c r="K6" s="208"/>
      <c r="L6" s="206"/>
      <c r="M6" s="205"/>
      <c r="N6" s="203"/>
      <c r="O6" s="203"/>
      <c r="P6" s="202"/>
      <c r="Q6" s="202"/>
      <c r="R6" s="201"/>
    </row>
    <row r="7" spans="1:21" ht="18.75" hidden="1" customHeight="1" x14ac:dyDescent="0.25">
      <c r="A7" s="193"/>
      <c r="B7" s="192"/>
      <c r="C7" s="639"/>
      <c r="D7" s="284"/>
      <c r="E7" s="182"/>
      <c r="F7" s="181"/>
      <c r="G7" s="181"/>
      <c r="H7" s="642" t="s">
        <v>179</v>
      </c>
      <c r="I7" s="198"/>
      <c r="J7" s="198" t="s">
        <v>178</v>
      </c>
      <c r="K7" s="217"/>
      <c r="L7" s="182"/>
      <c r="M7" s="196"/>
      <c r="N7" s="641"/>
      <c r="O7" s="640"/>
      <c r="P7" s="181"/>
      <c r="Q7" s="181"/>
      <c r="R7" s="180"/>
    </row>
    <row r="8" spans="1:21" ht="18.75" hidden="1" customHeight="1" x14ac:dyDescent="0.25">
      <c r="A8" s="193"/>
      <c r="B8" s="192"/>
      <c r="C8" s="639"/>
      <c r="D8" s="284"/>
      <c r="E8" s="182"/>
      <c r="F8" s="181"/>
      <c r="G8" s="181"/>
      <c r="H8" s="638"/>
      <c r="I8" s="186"/>
      <c r="J8" s="217"/>
      <c r="K8" s="217" t="s">
        <v>176</v>
      </c>
      <c r="L8" s="182"/>
      <c r="M8" s="184"/>
      <c r="N8" s="186"/>
      <c r="O8" s="182"/>
      <c r="P8" s="181"/>
      <c r="Q8" s="181"/>
      <c r="R8" s="180"/>
    </row>
    <row r="9" spans="1:21" ht="18.75" hidden="1" customHeight="1" x14ac:dyDescent="0.25">
      <c r="A9" s="193"/>
      <c r="B9" s="192"/>
      <c r="C9" s="639"/>
      <c r="D9" s="284"/>
      <c r="E9" s="182"/>
      <c r="F9" s="181"/>
      <c r="G9" s="181"/>
      <c r="H9" s="638" t="s">
        <v>296</v>
      </c>
      <c r="I9" s="186"/>
      <c r="J9" s="217"/>
      <c r="K9" s="217" t="s">
        <v>174</v>
      </c>
      <c r="L9" s="182"/>
      <c r="M9" s="184"/>
      <c r="N9" s="186"/>
      <c r="O9" s="182"/>
      <c r="P9" s="181"/>
      <c r="Q9" s="181"/>
      <c r="R9" s="180"/>
    </row>
    <row r="10" spans="1:21" ht="18.75" hidden="1" customHeight="1" thickBot="1" x14ac:dyDescent="0.3">
      <c r="A10" s="179"/>
      <c r="B10" s="178"/>
      <c r="C10" s="637"/>
      <c r="D10" s="636"/>
      <c r="E10" s="169"/>
      <c r="F10" s="168"/>
      <c r="G10" s="168"/>
      <c r="H10" s="635" t="s">
        <v>295</v>
      </c>
      <c r="I10" s="173"/>
      <c r="J10" s="634"/>
      <c r="K10" s="634" t="s">
        <v>172</v>
      </c>
      <c r="L10" s="169"/>
      <c r="M10" s="171"/>
      <c r="N10" s="173"/>
      <c r="O10" s="169"/>
      <c r="P10" s="168"/>
      <c r="Q10" s="168"/>
      <c r="R10" s="167"/>
    </row>
    <row r="11" spans="1:21" ht="18.75" customHeight="1" thickBot="1" x14ac:dyDescent="0.3">
      <c r="A11" s="737" t="s">
        <v>171</v>
      </c>
      <c r="B11" s="738"/>
      <c r="C11" s="738"/>
      <c r="D11" s="738"/>
      <c r="E11" s="738"/>
      <c r="F11" s="738"/>
      <c r="G11" s="738"/>
      <c r="H11" s="738"/>
      <c r="I11" s="738"/>
      <c r="J11" s="738"/>
      <c r="K11" s="738"/>
      <c r="L11" s="738"/>
      <c r="M11" s="738"/>
      <c r="N11" s="738"/>
      <c r="O11" s="738"/>
      <c r="P11" s="738"/>
      <c r="Q11" s="738"/>
      <c r="R11" s="739"/>
      <c r="T11" s="166"/>
    </row>
    <row r="12" spans="1:21" ht="18.75" customHeight="1" x14ac:dyDescent="0.25">
      <c r="A12" s="740" t="s">
        <v>170</v>
      </c>
      <c r="B12" s="746" t="s">
        <v>169</v>
      </c>
      <c r="C12" s="775" t="s">
        <v>168</v>
      </c>
      <c r="D12" s="774" t="s">
        <v>167</v>
      </c>
      <c r="E12" s="752" t="s">
        <v>166</v>
      </c>
      <c r="F12" s="754" t="s">
        <v>165</v>
      </c>
      <c r="G12" s="755"/>
      <c r="H12" s="756"/>
      <c r="I12" s="760" t="s">
        <v>164</v>
      </c>
      <c r="J12" s="761"/>
      <c r="K12" s="764" t="s">
        <v>163</v>
      </c>
      <c r="L12" s="747" t="s">
        <v>162</v>
      </c>
      <c r="M12" s="748"/>
      <c r="N12" s="748"/>
      <c r="O12" s="748"/>
      <c r="P12" s="748"/>
      <c r="Q12" s="778"/>
      <c r="R12" s="749" t="s">
        <v>161</v>
      </c>
      <c r="T12" s="164"/>
    </row>
    <row r="13" spans="1:21" ht="15.75" x14ac:dyDescent="0.25">
      <c r="A13" s="741"/>
      <c r="B13" s="746"/>
      <c r="C13" s="776"/>
      <c r="D13" s="774"/>
      <c r="E13" s="746"/>
      <c r="F13" s="757"/>
      <c r="G13" s="758"/>
      <c r="H13" s="759"/>
      <c r="I13" s="762"/>
      <c r="J13" s="763"/>
      <c r="K13" s="765"/>
      <c r="L13" s="773" t="s">
        <v>160</v>
      </c>
      <c r="M13" s="773"/>
      <c r="N13" s="773" t="s">
        <v>228</v>
      </c>
      <c r="O13" s="773"/>
      <c r="P13" s="773"/>
      <c r="Q13" s="779" t="s">
        <v>294</v>
      </c>
      <c r="R13" s="750"/>
    </row>
    <row r="14" spans="1:21" s="16" customFormat="1" ht="48" thickBot="1" x14ac:dyDescent="0.3">
      <c r="A14" s="742"/>
      <c r="B14" s="746"/>
      <c r="C14" s="777"/>
      <c r="D14" s="774"/>
      <c r="E14" s="753"/>
      <c r="F14" s="163" t="s">
        <v>158</v>
      </c>
      <c r="G14" s="163" t="s">
        <v>157</v>
      </c>
      <c r="H14" s="163" t="s">
        <v>156</v>
      </c>
      <c r="I14" s="162" t="s">
        <v>155</v>
      </c>
      <c r="J14" s="162" t="s">
        <v>154</v>
      </c>
      <c r="K14" s="766"/>
      <c r="L14" s="160" t="s">
        <v>153</v>
      </c>
      <c r="M14" s="159" t="s">
        <v>152</v>
      </c>
      <c r="N14" s="633" t="s">
        <v>151</v>
      </c>
      <c r="O14" s="633" t="s">
        <v>150</v>
      </c>
      <c r="P14" s="159" t="s">
        <v>149</v>
      </c>
      <c r="Q14" s="780"/>
      <c r="R14" s="751"/>
    </row>
    <row r="15" spans="1:21" s="60" customFormat="1" ht="19.5" customHeight="1" x14ac:dyDescent="0.25">
      <c r="A15" s="632" t="s">
        <v>148</v>
      </c>
      <c r="B15" s="631"/>
      <c r="C15" s="630" t="s">
        <v>147</v>
      </c>
      <c r="D15" s="425"/>
      <c r="E15" s="423" t="s">
        <v>146</v>
      </c>
      <c r="F15" s="629" t="s">
        <v>145</v>
      </c>
      <c r="G15" s="629" t="s">
        <v>144</v>
      </c>
      <c r="H15" s="629" t="s">
        <v>143</v>
      </c>
      <c r="I15" s="423" t="s">
        <v>142</v>
      </c>
      <c r="J15" s="423" t="s">
        <v>141</v>
      </c>
      <c r="K15" s="423" t="s">
        <v>140</v>
      </c>
      <c r="L15" s="423" t="s">
        <v>139</v>
      </c>
      <c r="M15" s="629" t="s">
        <v>138</v>
      </c>
      <c r="N15" s="423" t="s">
        <v>137</v>
      </c>
      <c r="O15" s="423" t="s">
        <v>136</v>
      </c>
      <c r="P15" s="629" t="s">
        <v>135</v>
      </c>
      <c r="Q15" s="628" t="s">
        <v>226</v>
      </c>
      <c r="R15" s="627" t="s">
        <v>133</v>
      </c>
      <c r="S15" s="16"/>
      <c r="U15" s="61"/>
    </row>
    <row r="16" spans="1:21" s="60" customFormat="1" ht="19.5" customHeight="1" x14ac:dyDescent="0.25">
      <c r="A16" s="669" t="s">
        <v>301</v>
      </c>
      <c r="B16" s="669" t="s">
        <v>302</v>
      </c>
      <c r="C16" s="669" t="s">
        <v>303</v>
      </c>
      <c r="D16" s="669" t="s">
        <v>304</v>
      </c>
      <c r="E16" s="669" t="s">
        <v>305</v>
      </c>
      <c r="F16" s="669" t="s">
        <v>306</v>
      </c>
      <c r="G16" s="669" t="s">
        <v>307</v>
      </c>
      <c r="H16" s="669" t="s">
        <v>308</v>
      </c>
      <c r="I16" s="669" t="s">
        <v>309</v>
      </c>
      <c r="J16" s="669" t="s">
        <v>310</v>
      </c>
      <c r="K16" s="669" t="s">
        <v>311</v>
      </c>
      <c r="L16" s="669" t="s">
        <v>312</v>
      </c>
      <c r="M16" s="669" t="s">
        <v>313</v>
      </c>
      <c r="N16" s="669" t="s">
        <v>314</v>
      </c>
      <c r="O16" s="669" t="s">
        <v>315</v>
      </c>
      <c r="P16" s="669" t="s">
        <v>316</v>
      </c>
      <c r="Q16" s="669" t="s">
        <v>317</v>
      </c>
      <c r="R16" s="670"/>
      <c r="S16" s="16"/>
      <c r="U16" s="61"/>
    </row>
    <row r="17" spans="1:21" s="547" customFormat="1" ht="26.25" customHeight="1" x14ac:dyDescent="0.25">
      <c r="A17" s="626" t="s">
        <v>132</v>
      </c>
      <c r="B17" s="626"/>
      <c r="C17" s="625" t="e">
        <f>SUM(C18,C63,C73,C94,C122,C147)</f>
        <v>#REF!</v>
      </c>
      <c r="D17" s="622"/>
      <c r="E17" s="622"/>
      <c r="F17" s="624" t="e">
        <f>SUM(F18,F63,F73,F94,F122,F147)</f>
        <v>#REF!</v>
      </c>
      <c r="G17" s="624" t="e">
        <f>SUM(G18,G63,G73,G94,G122,G147)</f>
        <v>#REF!</v>
      </c>
      <c r="H17" s="624" t="e">
        <f>SUM(H18,H63,H73,H94,H122,H147)</f>
        <v>#REF!</v>
      </c>
      <c r="I17" s="624"/>
      <c r="J17" s="624"/>
      <c r="K17" s="623"/>
      <c r="L17" s="622" t="e">
        <f>SUM(L18,L63,L73,L94,L122,L147)</f>
        <v>#REF!</v>
      </c>
      <c r="M17" s="622" t="e">
        <f>SUM(M18,M63,M73,M94,M122,M147)</f>
        <v>#REF!</v>
      </c>
      <c r="N17" s="622" t="e">
        <f>SUM(N18,N63,N73,N94,N122,N147)</f>
        <v>#REF!</v>
      </c>
      <c r="O17" s="622" t="e">
        <f>AVERAGE(O18,O63,O73,O94,O122,O147)</f>
        <v>#REF!</v>
      </c>
      <c r="P17" s="622" t="e">
        <f>SUM(P18,P63,P73,P94,P122,P147)</f>
        <v>#REF!</v>
      </c>
      <c r="Q17" s="621" t="e">
        <f>P17+M17</f>
        <v>#REF!</v>
      </c>
      <c r="R17" s="620"/>
    </row>
    <row r="18" spans="1:21" s="568" customFormat="1" ht="16.5" x14ac:dyDescent="0.25">
      <c r="A18" s="574" t="s">
        <v>224</v>
      </c>
      <c r="B18" s="574"/>
      <c r="C18" s="592" t="e">
        <f>SUM(#REF!,#REF!,#REF!,#REF!,#REF!)</f>
        <v>#REF!</v>
      </c>
      <c r="D18" s="571"/>
      <c r="E18" s="571"/>
      <c r="F18" s="573" t="e">
        <f>SUM(#REF!,#REF!,#REF!,#REF!,#REF!)</f>
        <v>#REF!</v>
      </c>
      <c r="G18" s="573" t="e">
        <f>SUM(#REF!,#REF!,#REF!,#REF!,#REF!)</f>
        <v>#REF!</v>
      </c>
      <c r="H18" s="573" t="e">
        <f>SUM(#REF!,#REF!,#REF!,#REF!,#REF!)</f>
        <v>#REF!</v>
      </c>
      <c r="I18" s="573"/>
      <c r="J18" s="573"/>
      <c r="K18" s="572"/>
      <c r="L18" s="571" t="e">
        <f>SUM(#REF!,#REF!,#REF!,#REF!,#REF!)</f>
        <v>#REF!</v>
      </c>
      <c r="M18" s="571" t="e">
        <f>SUM(#REF!,#REF!,#REF!,#REF!,#REF!)</f>
        <v>#REF!</v>
      </c>
      <c r="N18" s="571" t="e">
        <f>SUM(#REF!,#REF!,#REF!,#REF!,#REF!)</f>
        <v>#REF!</v>
      </c>
      <c r="O18" s="571" t="e">
        <f>AVERAGE(#REF!,#REF!,#REF!,#REF!,#REF!)</f>
        <v>#REF!</v>
      </c>
      <c r="P18" s="571" t="e">
        <f>SUM(#REF!,#REF!,#REF!,#REF!,#REF!)</f>
        <v>#REF!</v>
      </c>
      <c r="Q18" s="570" t="e">
        <f>P18+M18</f>
        <v>#REF!</v>
      </c>
      <c r="R18" s="569"/>
    </row>
    <row r="19" spans="1:21" s="547" customFormat="1" ht="15.75" customHeight="1" x14ac:dyDescent="0.25">
      <c r="A19" s="83" t="s">
        <v>7</v>
      </c>
      <c r="B19" s="83"/>
      <c r="C19" s="587">
        <v>614</v>
      </c>
      <c r="D19" s="79"/>
      <c r="E19" s="79" t="s">
        <v>222</v>
      </c>
      <c r="F19" s="551">
        <v>586</v>
      </c>
      <c r="G19" s="551"/>
      <c r="H19" s="549">
        <f>F19+G19</f>
        <v>586</v>
      </c>
      <c r="I19" s="551">
        <v>4.08</v>
      </c>
      <c r="J19" s="555">
        <v>0</v>
      </c>
      <c r="K19" s="554">
        <f>(I19-J19)/I19</f>
        <v>1</v>
      </c>
      <c r="L19" s="553">
        <v>7470</v>
      </c>
      <c r="M19" s="553">
        <f>(H19*L19)*K19</f>
        <v>4377420</v>
      </c>
      <c r="N19" s="550"/>
      <c r="O19" s="549"/>
      <c r="P19" s="549">
        <f>N19*1000*17</f>
        <v>0</v>
      </c>
      <c r="Q19" s="549">
        <f>M19+P19</f>
        <v>4377420</v>
      </c>
      <c r="R19" s="548"/>
    </row>
    <row r="20" spans="1:21" s="557" customFormat="1" ht="15" x14ac:dyDescent="0.25">
      <c r="A20" s="563" t="s">
        <v>261</v>
      </c>
      <c r="B20" s="563"/>
      <c r="C20" s="615">
        <v>120</v>
      </c>
      <c r="D20" s="561"/>
      <c r="E20" s="82" t="s">
        <v>222</v>
      </c>
      <c r="F20" s="551">
        <v>150</v>
      </c>
      <c r="G20" s="551"/>
      <c r="H20" s="549">
        <f>F20+G20</f>
        <v>150</v>
      </c>
      <c r="I20" s="556">
        <v>4.08</v>
      </c>
      <c r="J20" s="555">
        <v>0</v>
      </c>
      <c r="K20" s="554">
        <f>(I20-J20)/I20</f>
        <v>1</v>
      </c>
      <c r="L20" s="553">
        <v>7470</v>
      </c>
      <c r="M20" s="553">
        <f>(H20*L20)*K20</f>
        <v>1120500</v>
      </c>
      <c r="N20" s="560"/>
      <c r="O20" s="560"/>
      <c r="P20" s="549">
        <f>N20*1000*17</f>
        <v>0</v>
      </c>
      <c r="Q20" s="549">
        <f>M20+P20</f>
        <v>1120500</v>
      </c>
      <c r="R20" s="559"/>
      <c r="S20" s="616"/>
      <c r="T20" s="472"/>
      <c r="U20" s="472"/>
    </row>
    <row r="21" spans="1:21" s="557" customFormat="1" ht="15" x14ac:dyDescent="0.25">
      <c r="A21" s="563" t="s">
        <v>24</v>
      </c>
      <c r="B21" s="563"/>
      <c r="C21" s="615">
        <v>112</v>
      </c>
      <c r="D21" s="561"/>
      <c r="E21" s="82" t="s">
        <v>222</v>
      </c>
      <c r="F21" s="619">
        <v>140</v>
      </c>
      <c r="G21" s="551"/>
      <c r="H21" s="549">
        <f>F21+G21</f>
        <v>140</v>
      </c>
      <c r="I21" s="556">
        <v>4.08</v>
      </c>
      <c r="J21" s="555">
        <v>0</v>
      </c>
      <c r="K21" s="554">
        <f>(I21-J21)/I21</f>
        <v>1</v>
      </c>
      <c r="L21" s="553">
        <v>7470</v>
      </c>
      <c r="M21" s="553">
        <f>(H21*L21)*K21</f>
        <v>1045800</v>
      </c>
      <c r="N21" s="560"/>
      <c r="O21" s="560"/>
      <c r="P21" s="549">
        <f>N21*1000*17</f>
        <v>0</v>
      </c>
      <c r="Q21" s="549">
        <f>M21+P21</f>
        <v>1045800</v>
      </c>
      <c r="R21" s="559"/>
      <c r="S21" s="558"/>
      <c r="T21" s="472"/>
      <c r="U21" s="472"/>
    </row>
    <row r="22" spans="1:21" s="557" customFormat="1" ht="15" x14ac:dyDescent="0.25">
      <c r="A22" s="563" t="s">
        <v>26</v>
      </c>
      <c r="B22" s="563"/>
      <c r="C22" s="615">
        <v>600</v>
      </c>
      <c r="D22" s="561"/>
      <c r="E22" s="82" t="s">
        <v>222</v>
      </c>
      <c r="F22" s="551">
        <v>750</v>
      </c>
      <c r="G22" s="551"/>
      <c r="H22" s="549">
        <f>F22+G22</f>
        <v>750</v>
      </c>
      <c r="I22" s="556">
        <v>4.08</v>
      </c>
      <c r="J22" s="555">
        <v>0</v>
      </c>
      <c r="K22" s="554">
        <f>(I22-J22)/I22</f>
        <v>1</v>
      </c>
      <c r="L22" s="553">
        <v>7470</v>
      </c>
      <c r="M22" s="553">
        <f>(H22*L22)*K22</f>
        <v>5602500</v>
      </c>
      <c r="N22" s="560"/>
      <c r="O22" s="560"/>
      <c r="P22" s="549">
        <f>N22*1000*17</f>
        <v>0</v>
      </c>
      <c r="Q22" s="549">
        <f>M22+P22</f>
        <v>5602500</v>
      </c>
      <c r="R22" s="559"/>
      <c r="S22" s="558"/>
      <c r="T22" s="472"/>
      <c r="U22" s="472"/>
    </row>
    <row r="23" spans="1:21" s="654" customFormat="1" ht="15" x14ac:dyDescent="0.25">
      <c r="A23" s="645" t="s">
        <v>4</v>
      </c>
      <c r="B23" s="645"/>
      <c r="C23" s="646">
        <v>1217</v>
      </c>
      <c r="D23" s="646">
        <v>0</v>
      </c>
      <c r="E23" s="646">
        <v>0</v>
      </c>
      <c r="F23" s="646">
        <v>1636</v>
      </c>
      <c r="G23" s="646">
        <v>0</v>
      </c>
      <c r="H23" s="646">
        <v>1636</v>
      </c>
      <c r="I23" s="646">
        <v>8.16</v>
      </c>
      <c r="J23" s="646">
        <v>0</v>
      </c>
      <c r="K23" s="646">
        <v>2</v>
      </c>
      <c r="L23" s="646">
        <v>7470</v>
      </c>
      <c r="M23" s="646">
        <v>12041640</v>
      </c>
      <c r="N23" s="646">
        <v>97.92</v>
      </c>
      <c r="O23" s="646">
        <v>17</v>
      </c>
      <c r="P23" s="646">
        <v>1664640</v>
      </c>
      <c r="Q23" s="646">
        <v>13706280</v>
      </c>
      <c r="R23" s="652"/>
      <c r="S23" s="653"/>
      <c r="T23" s="520"/>
      <c r="U23" s="520"/>
    </row>
    <row r="24" spans="1:21" s="547" customFormat="1" ht="15.75" customHeight="1" x14ac:dyDescent="0.25">
      <c r="A24" s="83" t="s">
        <v>29</v>
      </c>
      <c r="B24" s="83"/>
      <c r="C24" s="587">
        <v>241</v>
      </c>
      <c r="D24" s="79"/>
      <c r="E24" s="82" t="s">
        <v>222</v>
      </c>
      <c r="F24" s="551">
        <v>347</v>
      </c>
      <c r="G24" s="551"/>
      <c r="H24" s="549">
        <f>F24+G24</f>
        <v>347</v>
      </c>
      <c r="I24" s="556">
        <v>4.08</v>
      </c>
      <c r="J24" s="555">
        <v>0</v>
      </c>
      <c r="K24" s="554">
        <f>(I24-J24)/I24</f>
        <v>1</v>
      </c>
      <c r="L24" s="553">
        <v>7470</v>
      </c>
      <c r="M24" s="553">
        <f>(H24*L24)*K24</f>
        <v>2592090</v>
      </c>
      <c r="N24" s="550"/>
      <c r="O24" s="549"/>
      <c r="P24" s="549">
        <f>N24*1000*17</f>
        <v>0</v>
      </c>
      <c r="Q24" s="549">
        <f>M24+P24</f>
        <v>2592090</v>
      </c>
      <c r="R24" s="548"/>
    </row>
    <row r="25" spans="1:21" s="557" customFormat="1" ht="15" x14ac:dyDescent="0.25">
      <c r="A25" s="563" t="s">
        <v>30</v>
      </c>
      <c r="B25" s="580"/>
      <c r="C25" s="615">
        <v>500</v>
      </c>
      <c r="D25" s="561"/>
      <c r="E25" s="82" t="s">
        <v>222</v>
      </c>
      <c r="F25" s="551">
        <v>342</v>
      </c>
      <c r="G25" s="551"/>
      <c r="H25" s="549">
        <f>F25+G25</f>
        <v>342</v>
      </c>
      <c r="I25" s="556">
        <v>4.08</v>
      </c>
      <c r="J25" s="555">
        <v>0</v>
      </c>
      <c r="K25" s="554">
        <f>(I25-J25)/I25</f>
        <v>1</v>
      </c>
      <c r="L25" s="553">
        <v>7470</v>
      </c>
      <c r="M25" s="553">
        <f>(H25*L25)*K25</f>
        <v>2554740</v>
      </c>
      <c r="N25" s="560"/>
      <c r="O25" s="560"/>
      <c r="P25" s="549">
        <f>N25*1000*17</f>
        <v>0</v>
      </c>
      <c r="Q25" s="549">
        <f>M25+P25</f>
        <v>2554740</v>
      </c>
      <c r="R25" s="559"/>
      <c r="S25" s="558"/>
      <c r="T25" s="472"/>
      <c r="U25" s="472"/>
    </row>
    <row r="26" spans="1:21" s="547" customFormat="1" ht="15.75" customHeight="1" x14ac:dyDescent="0.25">
      <c r="A26" s="83" t="s">
        <v>293</v>
      </c>
      <c r="B26" s="83"/>
      <c r="C26" s="587">
        <v>438</v>
      </c>
      <c r="D26" s="79"/>
      <c r="E26" s="79" t="s">
        <v>222</v>
      </c>
      <c r="F26" s="551">
        <v>391</v>
      </c>
      <c r="G26" s="551"/>
      <c r="H26" s="549">
        <f>F26+G26</f>
        <v>391</v>
      </c>
      <c r="I26" s="556">
        <v>4.08</v>
      </c>
      <c r="J26" s="555">
        <v>0</v>
      </c>
      <c r="K26" s="554">
        <f>(I26-J26)/I26</f>
        <v>1</v>
      </c>
      <c r="L26" s="553">
        <v>7470</v>
      </c>
      <c r="M26" s="553">
        <f>(H26*L26)*K26</f>
        <v>2920770</v>
      </c>
      <c r="N26" s="550"/>
      <c r="O26" s="549"/>
      <c r="P26" s="549">
        <f>N26*1000*17</f>
        <v>0</v>
      </c>
      <c r="Q26" s="549">
        <f>M26+P26</f>
        <v>2920770</v>
      </c>
      <c r="R26" s="548"/>
    </row>
    <row r="27" spans="1:21" s="547" customFormat="1" ht="15.75" hidden="1" customHeight="1" x14ac:dyDescent="0.25">
      <c r="A27" s="83" t="s">
        <v>9</v>
      </c>
      <c r="B27" s="83"/>
      <c r="C27" s="587"/>
      <c r="D27" s="79"/>
      <c r="E27" s="79"/>
      <c r="F27" s="551"/>
      <c r="G27" s="551"/>
      <c r="H27" s="549">
        <f>F27+G27</f>
        <v>0</v>
      </c>
      <c r="I27" s="551"/>
      <c r="J27" s="551"/>
      <c r="K27" s="554"/>
      <c r="L27" s="79"/>
      <c r="M27" s="553">
        <f>(H27*L27)*K27</f>
        <v>0</v>
      </c>
      <c r="N27" s="550"/>
      <c r="O27" s="549"/>
      <c r="P27" s="549">
        <f>N27*1000*17</f>
        <v>0</v>
      </c>
      <c r="Q27" s="549">
        <f>M27+P27</f>
        <v>0</v>
      </c>
      <c r="R27" s="548"/>
    </row>
    <row r="28" spans="1:21" s="660" customFormat="1" ht="15.75" customHeight="1" x14ac:dyDescent="0.25">
      <c r="A28" s="655" t="s">
        <v>11</v>
      </c>
      <c r="B28" s="655"/>
      <c r="C28" s="656">
        <v>60</v>
      </c>
      <c r="D28" s="657"/>
      <c r="E28" s="657">
        <v>60</v>
      </c>
      <c r="F28" s="648">
        <v>60</v>
      </c>
      <c r="G28" s="648">
        <v>60</v>
      </c>
      <c r="H28" s="649">
        <v>60</v>
      </c>
      <c r="I28" s="648">
        <v>60</v>
      </c>
      <c r="J28" s="648">
        <v>60</v>
      </c>
      <c r="K28" s="650">
        <v>60</v>
      </c>
      <c r="L28" s="657">
        <v>60</v>
      </c>
      <c r="M28" s="651">
        <v>60</v>
      </c>
      <c r="N28" s="658">
        <v>60</v>
      </c>
      <c r="O28" s="649">
        <v>60</v>
      </c>
      <c r="P28" s="649">
        <v>60</v>
      </c>
      <c r="Q28" s="649">
        <v>60</v>
      </c>
      <c r="R28" s="659"/>
    </row>
    <row r="29" spans="1:21" s="557" customFormat="1" ht="15" x14ac:dyDescent="0.25">
      <c r="A29" s="563" t="s">
        <v>266</v>
      </c>
      <c r="B29" s="563"/>
      <c r="C29" s="615">
        <v>470.40000000000003</v>
      </c>
      <c r="D29" s="561"/>
      <c r="E29" s="82" t="s">
        <v>222</v>
      </c>
      <c r="F29" s="551">
        <v>588</v>
      </c>
      <c r="G29" s="551"/>
      <c r="H29" s="549">
        <f>F29+G29</f>
        <v>588</v>
      </c>
      <c r="I29" s="556">
        <v>4.08</v>
      </c>
      <c r="J29" s="555">
        <v>0</v>
      </c>
      <c r="K29" s="554">
        <f>(I29-J29)/I29</f>
        <v>1</v>
      </c>
      <c r="L29" s="553">
        <v>7470</v>
      </c>
      <c r="M29" s="553">
        <f>(H29*L29)*K29</f>
        <v>4392360</v>
      </c>
      <c r="N29" s="560"/>
      <c r="O29" s="560"/>
      <c r="P29" s="549">
        <f>N29*1000*17</f>
        <v>0</v>
      </c>
      <c r="Q29" s="549">
        <f>M29+P29</f>
        <v>4392360</v>
      </c>
      <c r="R29" s="559"/>
      <c r="S29" s="558"/>
      <c r="T29" s="472"/>
      <c r="U29" s="472"/>
    </row>
    <row r="30" spans="1:21" s="557" customFormat="1" ht="15" x14ac:dyDescent="0.25">
      <c r="A30" s="563" t="s">
        <v>12</v>
      </c>
      <c r="B30" s="563"/>
      <c r="C30" s="615">
        <v>1978</v>
      </c>
      <c r="D30" s="561"/>
      <c r="E30" s="82" t="s">
        <v>222</v>
      </c>
      <c r="F30" s="551">
        <v>1742</v>
      </c>
      <c r="G30" s="551"/>
      <c r="H30" s="549">
        <f>F30+G30</f>
        <v>1742</v>
      </c>
      <c r="I30" s="556">
        <v>4.08</v>
      </c>
      <c r="J30" s="555">
        <v>0</v>
      </c>
      <c r="K30" s="554">
        <f>(I30-J30)/I30</f>
        <v>1</v>
      </c>
      <c r="L30" s="553">
        <v>7470</v>
      </c>
      <c r="M30" s="553">
        <f>(H30*L30)*K30</f>
        <v>13012740</v>
      </c>
      <c r="N30" s="560"/>
      <c r="O30" s="560"/>
      <c r="P30" s="549">
        <f>N30*1000*17</f>
        <v>0</v>
      </c>
      <c r="Q30" s="549">
        <f>M30+P30</f>
        <v>13012740</v>
      </c>
      <c r="R30" s="559"/>
      <c r="S30" s="558"/>
      <c r="T30" s="472"/>
      <c r="U30" s="472"/>
    </row>
    <row r="31" spans="1:21" s="557" customFormat="1" ht="15" x14ac:dyDescent="0.25">
      <c r="A31" s="563" t="s">
        <v>13</v>
      </c>
      <c r="B31" s="563"/>
      <c r="C31" s="615">
        <v>286.40000000000003</v>
      </c>
      <c r="D31" s="561"/>
      <c r="E31" s="82" t="s">
        <v>222</v>
      </c>
      <c r="F31" s="551">
        <v>358</v>
      </c>
      <c r="G31" s="551"/>
      <c r="H31" s="549">
        <f>F31+G31</f>
        <v>358</v>
      </c>
      <c r="I31" s="556">
        <v>4.08</v>
      </c>
      <c r="J31" s="555">
        <v>0</v>
      </c>
      <c r="K31" s="554">
        <f>(I31-J31)/I31</f>
        <v>1</v>
      </c>
      <c r="L31" s="553">
        <v>7470</v>
      </c>
      <c r="M31" s="553">
        <f>(H31*L31)*K31</f>
        <v>2674260</v>
      </c>
      <c r="N31" s="560"/>
      <c r="O31" s="560"/>
      <c r="P31" s="549">
        <f>N31*1000*17</f>
        <v>0</v>
      </c>
      <c r="Q31" s="549">
        <f>M31+P31</f>
        <v>2674260</v>
      </c>
      <c r="R31" s="559"/>
      <c r="S31" s="558"/>
      <c r="T31" s="472"/>
      <c r="U31" s="472"/>
    </row>
    <row r="32" spans="1:21" s="654" customFormat="1" ht="15" x14ac:dyDescent="0.25">
      <c r="A32" s="645" t="s">
        <v>14</v>
      </c>
      <c r="B32" s="645"/>
      <c r="C32" s="646">
        <v>864</v>
      </c>
      <c r="D32" s="646">
        <v>0</v>
      </c>
      <c r="E32" s="646">
        <v>0</v>
      </c>
      <c r="F32" s="646">
        <v>925</v>
      </c>
      <c r="G32" s="646">
        <v>231</v>
      </c>
      <c r="H32" s="646">
        <v>1156</v>
      </c>
      <c r="I32" s="646">
        <v>8.16</v>
      </c>
      <c r="J32" s="646">
        <v>1.22</v>
      </c>
      <c r="K32" s="646">
        <v>1.7009803921568629</v>
      </c>
      <c r="L32" s="646">
        <v>14940</v>
      </c>
      <c r="M32" s="646">
        <v>8119340.7352941176</v>
      </c>
      <c r="N32" s="646">
        <v>0</v>
      </c>
      <c r="O32" s="646">
        <v>0</v>
      </c>
      <c r="P32" s="646">
        <v>0</v>
      </c>
      <c r="Q32" s="646">
        <v>8119340.7352941176</v>
      </c>
      <c r="R32" s="652"/>
      <c r="S32" s="653"/>
      <c r="T32" s="520"/>
      <c r="U32" s="520"/>
    </row>
    <row r="33" spans="1:21" s="547" customFormat="1" ht="15.75" hidden="1" customHeight="1" x14ac:dyDescent="0.25">
      <c r="A33" s="83" t="s">
        <v>15</v>
      </c>
      <c r="B33" s="83"/>
      <c r="C33" s="587"/>
      <c r="D33" s="79"/>
      <c r="E33" s="79"/>
      <c r="F33" s="551"/>
      <c r="G33" s="551"/>
      <c r="H33" s="549">
        <f t="shared" ref="H33:H47" si="0">F33+G33</f>
        <v>0</v>
      </c>
      <c r="I33" s="551"/>
      <c r="J33" s="551"/>
      <c r="K33" s="554"/>
      <c r="L33" s="79"/>
      <c r="M33" s="553">
        <f t="shared" ref="M33:M38" si="1">(H33*L33)*K33</f>
        <v>0</v>
      </c>
      <c r="N33" s="550"/>
      <c r="O33" s="549"/>
      <c r="P33" s="549">
        <f t="shared" ref="P33:P38" si="2">N33*1000*17</f>
        <v>0</v>
      </c>
      <c r="Q33" s="549">
        <f t="shared" ref="Q33:Q38" si="3">M33+P33</f>
        <v>0</v>
      </c>
      <c r="R33" s="548"/>
    </row>
    <row r="34" spans="1:21" s="547" customFormat="1" ht="15.75" hidden="1" customHeight="1" x14ac:dyDescent="0.25">
      <c r="A34" s="83" t="s">
        <v>16</v>
      </c>
      <c r="B34" s="83"/>
      <c r="C34" s="587"/>
      <c r="D34" s="79"/>
      <c r="E34" s="79"/>
      <c r="F34" s="551"/>
      <c r="G34" s="551"/>
      <c r="H34" s="549">
        <f t="shared" si="0"/>
        <v>0</v>
      </c>
      <c r="I34" s="551"/>
      <c r="J34" s="551"/>
      <c r="K34" s="554"/>
      <c r="L34" s="79"/>
      <c r="M34" s="553">
        <f t="shared" si="1"/>
        <v>0</v>
      </c>
      <c r="N34" s="550"/>
      <c r="O34" s="549"/>
      <c r="P34" s="549">
        <f t="shared" si="2"/>
        <v>0</v>
      </c>
      <c r="Q34" s="549">
        <f t="shared" si="3"/>
        <v>0</v>
      </c>
      <c r="R34" s="548"/>
    </row>
    <row r="35" spans="1:21" s="557" customFormat="1" ht="15" x14ac:dyDescent="0.25">
      <c r="A35" s="563" t="s">
        <v>18</v>
      </c>
      <c r="B35" s="82"/>
      <c r="C35" s="615">
        <v>160</v>
      </c>
      <c r="D35" s="561"/>
      <c r="E35" s="82" t="s">
        <v>222</v>
      </c>
      <c r="F35" s="561">
        <v>200</v>
      </c>
      <c r="G35" s="561"/>
      <c r="H35" s="549">
        <f t="shared" si="0"/>
        <v>200</v>
      </c>
      <c r="I35" s="556">
        <v>4.08</v>
      </c>
      <c r="J35" s="555">
        <v>0</v>
      </c>
      <c r="K35" s="554">
        <f>(I35-J35)/I35</f>
        <v>1</v>
      </c>
      <c r="L35" s="553">
        <v>7470</v>
      </c>
      <c r="M35" s="553">
        <f t="shared" si="1"/>
        <v>1494000</v>
      </c>
      <c r="N35" s="560"/>
      <c r="O35" s="560"/>
      <c r="P35" s="549">
        <f t="shared" si="2"/>
        <v>0</v>
      </c>
      <c r="Q35" s="549">
        <f t="shared" si="3"/>
        <v>1494000</v>
      </c>
      <c r="R35" s="559"/>
      <c r="S35" s="558"/>
      <c r="T35" s="472"/>
      <c r="U35" s="472"/>
    </row>
    <row r="36" spans="1:21" s="547" customFormat="1" ht="15.75" customHeight="1" x14ac:dyDescent="0.25">
      <c r="A36" s="83" t="s">
        <v>20</v>
      </c>
      <c r="B36" s="83"/>
      <c r="C36" s="587">
        <v>285</v>
      </c>
      <c r="D36" s="79"/>
      <c r="E36" s="79" t="s">
        <v>222</v>
      </c>
      <c r="F36" s="551">
        <v>300</v>
      </c>
      <c r="G36" s="551"/>
      <c r="H36" s="549">
        <f t="shared" si="0"/>
        <v>300</v>
      </c>
      <c r="I36" s="585">
        <v>4.08</v>
      </c>
      <c r="J36" s="555">
        <v>0</v>
      </c>
      <c r="K36" s="554">
        <f>(I36-J36)/I36</f>
        <v>1</v>
      </c>
      <c r="L36" s="553">
        <v>7470</v>
      </c>
      <c r="M36" s="553">
        <f t="shared" si="1"/>
        <v>2241000</v>
      </c>
      <c r="N36" s="550"/>
      <c r="O36" s="549"/>
      <c r="P36" s="549">
        <f t="shared" si="2"/>
        <v>0</v>
      </c>
      <c r="Q36" s="549">
        <f t="shared" si="3"/>
        <v>2241000</v>
      </c>
      <c r="R36" s="548"/>
    </row>
    <row r="37" spans="1:21" s="547" customFormat="1" ht="15.75" customHeight="1" x14ac:dyDescent="0.25">
      <c r="A37" s="83" t="s">
        <v>21</v>
      </c>
      <c r="B37" s="83"/>
      <c r="C37" s="587">
        <v>450</v>
      </c>
      <c r="D37" s="79"/>
      <c r="E37" s="79" t="s">
        <v>222</v>
      </c>
      <c r="F37" s="551">
        <v>500</v>
      </c>
      <c r="G37" s="551"/>
      <c r="H37" s="549">
        <f t="shared" si="0"/>
        <v>500</v>
      </c>
      <c r="I37" s="585">
        <v>4.08</v>
      </c>
      <c r="J37" s="555">
        <v>0</v>
      </c>
      <c r="K37" s="554">
        <f>(I37-J37)/I37</f>
        <v>1</v>
      </c>
      <c r="L37" s="553">
        <v>7470</v>
      </c>
      <c r="M37" s="553">
        <f t="shared" si="1"/>
        <v>3735000</v>
      </c>
      <c r="N37" s="550"/>
      <c r="O37" s="549"/>
      <c r="P37" s="549">
        <f t="shared" si="2"/>
        <v>0</v>
      </c>
      <c r="Q37" s="549">
        <f t="shared" si="3"/>
        <v>3735000</v>
      </c>
      <c r="R37" s="548"/>
    </row>
    <row r="38" spans="1:21" s="547" customFormat="1" ht="15.75" customHeight="1" x14ac:dyDescent="0.25">
      <c r="A38" s="83" t="s">
        <v>25</v>
      </c>
      <c r="B38" s="83"/>
      <c r="C38" s="587">
        <v>210</v>
      </c>
      <c r="D38" s="79"/>
      <c r="E38" s="82" t="s">
        <v>222</v>
      </c>
      <c r="F38" s="551">
        <v>250</v>
      </c>
      <c r="G38" s="551"/>
      <c r="H38" s="549">
        <f t="shared" si="0"/>
        <v>250</v>
      </c>
      <c r="I38" s="585">
        <v>4.08</v>
      </c>
      <c r="J38" s="555">
        <v>0</v>
      </c>
      <c r="K38" s="554">
        <f>(I38-J38)/I38</f>
        <v>1</v>
      </c>
      <c r="L38" s="553">
        <v>7470</v>
      </c>
      <c r="M38" s="553">
        <f t="shared" si="1"/>
        <v>1867500</v>
      </c>
      <c r="N38" s="550"/>
      <c r="O38" s="549"/>
      <c r="P38" s="549">
        <f t="shared" si="2"/>
        <v>0</v>
      </c>
      <c r="Q38" s="549">
        <f t="shared" si="3"/>
        <v>1867500</v>
      </c>
      <c r="R38" s="548"/>
    </row>
    <row r="39" spans="1:21" s="557" customFormat="1" ht="15" x14ac:dyDescent="0.25">
      <c r="A39" s="563" t="s">
        <v>28</v>
      </c>
      <c r="B39" s="618"/>
      <c r="C39" s="615">
        <v>92</v>
      </c>
      <c r="D39" s="561"/>
      <c r="E39" s="82" t="s">
        <v>222</v>
      </c>
      <c r="F39" s="561">
        <v>51</v>
      </c>
      <c r="G39" s="561">
        <v>31</v>
      </c>
      <c r="H39" s="578">
        <f t="shared" si="0"/>
        <v>82</v>
      </c>
      <c r="I39" s="556">
        <v>4.08</v>
      </c>
      <c r="J39" s="555">
        <v>2.46</v>
      </c>
      <c r="K39" s="554">
        <f>(I39-J39)/I39</f>
        <v>0.3970588235294118</v>
      </c>
      <c r="L39" s="553">
        <v>7470</v>
      </c>
      <c r="M39" s="577">
        <f>SUM(H39*L39*K39)</f>
        <v>243214.4117647059</v>
      </c>
      <c r="N39" s="560"/>
      <c r="O39" s="560"/>
      <c r="P39" s="617"/>
      <c r="Q39" s="553">
        <f>SUM(M39,P39)</f>
        <v>243214.4117647059</v>
      </c>
      <c r="R39" s="559"/>
      <c r="S39" s="558"/>
      <c r="T39" s="472"/>
      <c r="U39" s="472"/>
    </row>
    <row r="40" spans="1:21" s="547" customFormat="1" ht="15.75" hidden="1" customHeight="1" x14ac:dyDescent="0.25">
      <c r="A40" s="83" t="s">
        <v>31</v>
      </c>
      <c r="B40" s="83"/>
      <c r="C40" s="587"/>
      <c r="D40" s="79"/>
      <c r="E40" s="79"/>
      <c r="F40" s="551"/>
      <c r="G40" s="551"/>
      <c r="H40" s="549">
        <f t="shared" si="0"/>
        <v>0</v>
      </c>
      <c r="I40" s="551"/>
      <c r="J40" s="551"/>
      <c r="K40" s="554"/>
      <c r="L40" s="79"/>
      <c r="M40" s="553">
        <f t="shared" ref="M40:M47" si="4">(H40*L40)*K40</f>
        <v>0</v>
      </c>
      <c r="N40" s="550"/>
      <c r="O40" s="549"/>
      <c r="P40" s="549">
        <f t="shared" ref="P40:P47" si="5">N40*1000*17</f>
        <v>0</v>
      </c>
      <c r="Q40" s="549">
        <f t="shared" ref="Q40:Q47" si="6">M40+P40</f>
        <v>0</v>
      </c>
      <c r="R40" s="548"/>
    </row>
    <row r="41" spans="1:21" s="547" customFormat="1" ht="15.75" hidden="1" customHeight="1" x14ac:dyDescent="0.25">
      <c r="A41" s="83" t="s">
        <v>259</v>
      </c>
      <c r="B41" s="83"/>
      <c r="C41" s="587"/>
      <c r="D41" s="79"/>
      <c r="E41" s="79"/>
      <c r="F41" s="551"/>
      <c r="G41" s="551"/>
      <c r="H41" s="549">
        <f t="shared" si="0"/>
        <v>0</v>
      </c>
      <c r="I41" s="551"/>
      <c r="J41" s="551"/>
      <c r="K41" s="554"/>
      <c r="L41" s="79"/>
      <c r="M41" s="553">
        <f t="shared" si="4"/>
        <v>0</v>
      </c>
      <c r="N41" s="550"/>
      <c r="O41" s="549"/>
      <c r="P41" s="549">
        <f t="shared" si="5"/>
        <v>0</v>
      </c>
      <c r="Q41" s="549">
        <f t="shared" si="6"/>
        <v>0</v>
      </c>
      <c r="R41" s="548"/>
    </row>
    <row r="42" spans="1:21" s="547" customFormat="1" ht="15.75" customHeight="1" x14ac:dyDescent="0.25">
      <c r="A42" s="83" t="s">
        <v>19</v>
      </c>
      <c r="B42" s="83"/>
      <c r="C42" s="587">
        <v>549</v>
      </c>
      <c r="D42" s="79"/>
      <c r="E42" s="79" t="s">
        <v>222</v>
      </c>
      <c r="F42" s="551">
        <v>379</v>
      </c>
      <c r="G42" s="551"/>
      <c r="H42" s="549">
        <f t="shared" si="0"/>
        <v>379</v>
      </c>
      <c r="I42" s="551">
        <v>4.08</v>
      </c>
      <c r="J42" s="555">
        <v>0</v>
      </c>
      <c r="K42" s="554">
        <f t="shared" ref="K42:K47" si="7">(I42-J42)/I42</f>
        <v>1</v>
      </c>
      <c r="L42" s="553">
        <v>7470</v>
      </c>
      <c r="M42" s="553">
        <f t="shared" si="4"/>
        <v>2831130</v>
      </c>
      <c r="N42" s="550"/>
      <c r="O42" s="549"/>
      <c r="P42" s="549">
        <f t="shared" si="5"/>
        <v>0</v>
      </c>
      <c r="Q42" s="549">
        <f t="shared" si="6"/>
        <v>2831130</v>
      </c>
      <c r="R42" s="548"/>
    </row>
    <row r="43" spans="1:21" s="547" customFormat="1" ht="15" x14ac:dyDescent="0.25">
      <c r="A43" s="580" t="s">
        <v>92</v>
      </c>
      <c r="B43" s="580"/>
      <c r="C43" s="615">
        <v>155.20000000000002</v>
      </c>
      <c r="D43" s="561"/>
      <c r="E43" s="82" t="s">
        <v>222</v>
      </c>
      <c r="F43" s="551">
        <v>194</v>
      </c>
      <c r="G43" s="551"/>
      <c r="H43" s="549">
        <f t="shared" si="0"/>
        <v>194</v>
      </c>
      <c r="I43" s="556">
        <v>4.08</v>
      </c>
      <c r="J43" s="555">
        <v>0</v>
      </c>
      <c r="K43" s="554">
        <f t="shared" si="7"/>
        <v>1</v>
      </c>
      <c r="L43" s="553">
        <v>7470</v>
      </c>
      <c r="M43" s="553">
        <f t="shared" si="4"/>
        <v>1449180</v>
      </c>
      <c r="N43" s="560"/>
      <c r="O43" s="560"/>
      <c r="P43" s="549">
        <f t="shared" si="5"/>
        <v>0</v>
      </c>
      <c r="Q43" s="549">
        <f t="shared" si="6"/>
        <v>1449180</v>
      </c>
      <c r="R43" s="559"/>
      <c r="S43" s="564"/>
      <c r="T43" s="306"/>
      <c r="U43" s="306"/>
    </row>
    <row r="44" spans="1:21" s="547" customFormat="1" ht="15.75" customHeight="1" x14ac:dyDescent="0.25">
      <c r="A44" s="83" t="s">
        <v>27</v>
      </c>
      <c r="B44" s="83"/>
      <c r="C44" s="587">
        <v>32</v>
      </c>
      <c r="D44" s="79"/>
      <c r="E44" s="79" t="s">
        <v>222</v>
      </c>
      <c r="F44" s="551">
        <v>25</v>
      </c>
      <c r="G44" s="551"/>
      <c r="H44" s="549">
        <f t="shared" si="0"/>
        <v>25</v>
      </c>
      <c r="I44" s="585">
        <v>4.08</v>
      </c>
      <c r="J44" s="555">
        <v>0</v>
      </c>
      <c r="K44" s="554">
        <f t="shared" si="7"/>
        <v>1</v>
      </c>
      <c r="L44" s="553">
        <v>7470</v>
      </c>
      <c r="M44" s="553">
        <f t="shared" si="4"/>
        <v>186750</v>
      </c>
      <c r="N44" s="550"/>
      <c r="O44" s="549"/>
      <c r="P44" s="549">
        <f t="shared" si="5"/>
        <v>0</v>
      </c>
      <c r="Q44" s="549">
        <f t="shared" si="6"/>
        <v>186750</v>
      </c>
      <c r="R44" s="548"/>
    </row>
    <row r="45" spans="1:21" s="557" customFormat="1" ht="15" x14ac:dyDescent="0.25">
      <c r="A45" s="563" t="s">
        <v>32</v>
      </c>
      <c r="B45" s="563"/>
      <c r="C45" s="615">
        <v>360</v>
      </c>
      <c r="D45" s="561"/>
      <c r="E45" s="82" t="s">
        <v>222</v>
      </c>
      <c r="F45" s="551">
        <v>450</v>
      </c>
      <c r="G45" s="551"/>
      <c r="H45" s="549">
        <f t="shared" si="0"/>
        <v>450</v>
      </c>
      <c r="I45" s="556">
        <v>4.08</v>
      </c>
      <c r="J45" s="555">
        <v>0</v>
      </c>
      <c r="K45" s="554">
        <f t="shared" si="7"/>
        <v>1</v>
      </c>
      <c r="L45" s="553">
        <v>7470</v>
      </c>
      <c r="M45" s="553">
        <f t="shared" si="4"/>
        <v>3361500</v>
      </c>
      <c r="N45" s="560"/>
      <c r="O45" s="560"/>
      <c r="P45" s="549">
        <f t="shared" si="5"/>
        <v>0</v>
      </c>
      <c r="Q45" s="549">
        <f t="shared" si="6"/>
        <v>3361500</v>
      </c>
      <c r="R45" s="559"/>
      <c r="S45" s="616"/>
      <c r="T45" s="472"/>
      <c r="U45" s="472"/>
    </row>
    <row r="46" spans="1:21" s="547" customFormat="1" ht="15.75" customHeight="1" x14ac:dyDescent="0.25">
      <c r="A46" s="83" t="s">
        <v>8</v>
      </c>
      <c r="B46" s="83"/>
      <c r="C46" s="587">
        <v>50</v>
      </c>
      <c r="D46" s="79"/>
      <c r="E46" s="79" t="s">
        <v>222</v>
      </c>
      <c r="F46" s="551">
        <v>55</v>
      </c>
      <c r="G46" s="551"/>
      <c r="H46" s="549">
        <f t="shared" si="0"/>
        <v>55</v>
      </c>
      <c r="I46" s="551">
        <v>4.08</v>
      </c>
      <c r="J46" s="555">
        <v>0</v>
      </c>
      <c r="K46" s="554">
        <f t="shared" si="7"/>
        <v>1</v>
      </c>
      <c r="L46" s="553">
        <v>7470</v>
      </c>
      <c r="M46" s="553">
        <f t="shared" si="4"/>
        <v>410850</v>
      </c>
      <c r="N46" s="550"/>
      <c r="O46" s="549"/>
      <c r="P46" s="549">
        <f t="shared" si="5"/>
        <v>0</v>
      </c>
      <c r="Q46" s="549">
        <f t="shared" si="6"/>
        <v>410850</v>
      </c>
      <c r="R46" s="548"/>
    </row>
    <row r="47" spans="1:21" s="547" customFormat="1" ht="15.75" customHeight="1" x14ac:dyDescent="0.25">
      <c r="A47" s="83" t="s">
        <v>292</v>
      </c>
      <c r="B47" s="83"/>
      <c r="C47" s="587">
        <v>47</v>
      </c>
      <c r="D47" s="79"/>
      <c r="E47" s="79" t="s">
        <v>222</v>
      </c>
      <c r="F47" s="551">
        <v>51</v>
      </c>
      <c r="G47" s="551"/>
      <c r="H47" s="549">
        <f t="shared" si="0"/>
        <v>51</v>
      </c>
      <c r="I47" s="551">
        <v>4.08</v>
      </c>
      <c r="J47" s="555">
        <v>0</v>
      </c>
      <c r="K47" s="554">
        <f t="shared" si="7"/>
        <v>1</v>
      </c>
      <c r="L47" s="553">
        <v>7470</v>
      </c>
      <c r="M47" s="553">
        <f t="shared" si="4"/>
        <v>380970</v>
      </c>
      <c r="N47" s="550"/>
      <c r="O47" s="549"/>
      <c r="P47" s="549">
        <f t="shared" si="5"/>
        <v>0</v>
      </c>
      <c r="Q47" s="549">
        <f t="shared" si="6"/>
        <v>380970</v>
      </c>
      <c r="R47" s="548"/>
    </row>
    <row r="48" spans="1:21" s="660" customFormat="1" ht="15.75" customHeight="1" x14ac:dyDescent="0.25">
      <c r="A48" s="655" t="s">
        <v>17</v>
      </c>
      <c r="B48" s="655"/>
      <c r="C48" s="656">
        <v>210</v>
      </c>
      <c r="D48" s="656">
        <v>0</v>
      </c>
      <c r="E48" s="656">
        <v>0</v>
      </c>
      <c r="F48" s="656">
        <v>100</v>
      </c>
      <c r="G48" s="656">
        <v>100</v>
      </c>
      <c r="H48" s="656">
        <v>200</v>
      </c>
      <c r="I48" s="656">
        <v>8.16</v>
      </c>
      <c r="J48" s="656">
        <v>2.0499999999999998</v>
      </c>
      <c r="K48" s="656">
        <v>1.4975490196078431</v>
      </c>
      <c r="L48" s="656">
        <v>40934</v>
      </c>
      <c r="M48" s="656">
        <v>3718069.1176470588</v>
      </c>
      <c r="N48" s="656">
        <v>0</v>
      </c>
      <c r="O48" s="656">
        <v>0</v>
      </c>
      <c r="P48" s="656">
        <v>0</v>
      </c>
      <c r="Q48" s="656">
        <v>3718069.1176470588</v>
      </c>
      <c r="R48" s="659"/>
    </row>
    <row r="49" spans="1:21" s="60" customFormat="1" ht="15.75" customHeight="1" x14ac:dyDescent="0.25">
      <c r="A49" s="83" t="s">
        <v>97</v>
      </c>
      <c r="B49" s="83"/>
      <c r="C49" s="587">
        <v>385</v>
      </c>
      <c r="D49" s="79"/>
      <c r="E49" s="79" t="s">
        <v>222</v>
      </c>
      <c r="F49" s="551">
        <v>426</v>
      </c>
      <c r="G49" s="551"/>
      <c r="H49" s="549">
        <f t="shared" ref="H49:H54" si="8">F49+G49</f>
        <v>426</v>
      </c>
      <c r="I49" s="585">
        <v>4.08</v>
      </c>
      <c r="J49" s="555">
        <v>0</v>
      </c>
      <c r="K49" s="554">
        <f>(I49-J49)/I49</f>
        <v>1</v>
      </c>
      <c r="L49" s="553">
        <v>7470</v>
      </c>
      <c r="M49" s="553">
        <f t="shared" ref="M49:M54" si="9">(H49*L49)*K49</f>
        <v>3182220</v>
      </c>
      <c r="N49" s="550"/>
      <c r="O49" s="584"/>
      <c r="P49" s="549">
        <f t="shared" ref="P49:P54" si="10">N49*1000*17</f>
        <v>0</v>
      </c>
      <c r="Q49" s="584">
        <f t="shared" ref="Q49:Q54" si="11">M49+P49</f>
        <v>3182220</v>
      </c>
      <c r="R49" s="586"/>
    </row>
    <row r="50" spans="1:21" s="547" customFormat="1" ht="15.75" hidden="1" customHeight="1" x14ac:dyDescent="0.25">
      <c r="A50" s="83" t="s">
        <v>22</v>
      </c>
      <c r="B50" s="83"/>
      <c r="C50" s="587"/>
      <c r="D50" s="79"/>
      <c r="E50" s="79"/>
      <c r="F50" s="551"/>
      <c r="G50" s="551"/>
      <c r="H50" s="549">
        <f t="shared" si="8"/>
        <v>0</v>
      </c>
      <c r="I50" s="551"/>
      <c r="J50" s="551"/>
      <c r="K50" s="554"/>
      <c r="L50" s="79"/>
      <c r="M50" s="553">
        <f t="shared" si="9"/>
        <v>0</v>
      </c>
      <c r="N50" s="550"/>
      <c r="O50" s="549"/>
      <c r="P50" s="549">
        <f t="shared" si="10"/>
        <v>0</v>
      </c>
      <c r="Q50" s="549">
        <f t="shared" si="11"/>
        <v>0</v>
      </c>
      <c r="R50" s="548"/>
    </row>
    <row r="51" spans="1:21" s="60" customFormat="1" ht="15.75" customHeight="1" x14ac:dyDescent="0.25">
      <c r="A51" s="83" t="s">
        <v>23</v>
      </c>
      <c r="B51" s="83"/>
      <c r="C51" s="587">
        <v>730</v>
      </c>
      <c r="D51" s="79"/>
      <c r="E51" s="79" t="s">
        <v>222</v>
      </c>
      <c r="F51" s="551">
        <v>1875</v>
      </c>
      <c r="G51" s="551"/>
      <c r="H51" s="549">
        <f t="shared" si="8"/>
        <v>1875</v>
      </c>
      <c r="I51" s="585">
        <v>4.08</v>
      </c>
      <c r="J51" s="555">
        <v>0</v>
      </c>
      <c r="K51" s="554">
        <f>(I51-J51)/I51</f>
        <v>1</v>
      </c>
      <c r="L51" s="553">
        <v>7470</v>
      </c>
      <c r="M51" s="553">
        <f t="shared" si="9"/>
        <v>14006250</v>
      </c>
      <c r="N51" s="550"/>
      <c r="O51" s="584"/>
      <c r="P51" s="549">
        <f t="shared" si="10"/>
        <v>0</v>
      </c>
      <c r="Q51" s="584">
        <f t="shared" si="11"/>
        <v>14006250</v>
      </c>
      <c r="R51" s="586"/>
    </row>
    <row r="52" spans="1:21" s="547" customFormat="1" ht="15.75" customHeight="1" x14ac:dyDescent="0.25">
      <c r="A52" s="83" t="s">
        <v>258</v>
      </c>
      <c r="B52" s="83"/>
      <c r="C52" s="587">
        <v>121</v>
      </c>
      <c r="D52" s="79"/>
      <c r="E52" s="82" t="s">
        <v>117</v>
      </c>
      <c r="F52" s="551">
        <v>102</v>
      </c>
      <c r="G52" s="551"/>
      <c r="H52" s="549">
        <f t="shared" si="8"/>
        <v>102</v>
      </c>
      <c r="I52" s="551">
        <v>4.08</v>
      </c>
      <c r="J52" s="555">
        <v>0</v>
      </c>
      <c r="K52" s="554">
        <f>(I52-J52)/I52</f>
        <v>1</v>
      </c>
      <c r="L52" s="553">
        <v>33464</v>
      </c>
      <c r="M52" s="553">
        <f t="shared" si="9"/>
        <v>3413328</v>
      </c>
      <c r="N52" s="550"/>
      <c r="O52" s="549"/>
      <c r="P52" s="549">
        <f t="shared" si="10"/>
        <v>0</v>
      </c>
      <c r="Q52" s="549">
        <f t="shared" si="11"/>
        <v>3413328</v>
      </c>
      <c r="R52" s="548"/>
    </row>
    <row r="53" spans="1:21" s="547" customFormat="1" ht="15.75" hidden="1" customHeight="1" x14ac:dyDescent="0.25">
      <c r="A53" s="83" t="s">
        <v>291</v>
      </c>
      <c r="B53" s="83"/>
      <c r="C53" s="587"/>
      <c r="D53" s="79"/>
      <c r="E53" s="79"/>
      <c r="F53" s="551"/>
      <c r="G53" s="551"/>
      <c r="H53" s="549">
        <f t="shared" si="8"/>
        <v>0</v>
      </c>
      <c r="I53" s="551"/>
      <c r="J53" s="551"/>
      <c r="K53" s="554"/>
      <c r="L53" s="79"/>
      <c r="M53" s="553">
        <f t="shared" si="9"/>
        <v>0</v>
      </c>
      <c r="N53" s="550"/>
      <c r="O53" s="549"/>
      <c r="P53" s="549">
        <f t="shared" si="10"/>
        <v>0</v>
      </c>
      <c r="Q53" s="549">
        <f t="shared" si="11"/>
        <v>0</v>
      </c>
      <c r="R53" s="548"/>
    </row>
    <row r="54" spans="1:21" s="547" customFormat="1" ht="15.75" hidden="1" customHeight="1" x14ac:dyDescent="0.25">
      <c r="A54" s="83" t="s">
        <v>1</v>
      </c>
      <c r="B54" s="83"/>
      <c r="C54" s="587"/>
      <c r="D54" s="79"/>
      <c r="E54" s="79"/>
      <c r="F54" s="551"/>
      <c r="G54" s="551"/>
      <c r="H54" s="549">
        <f t="shared" si="8"/>
        <v>0</v>
      </c>
      <c r="I54" s="551"/>
      <c r="J54" s="551"/>
      <c r="K54" s="554"/>
      <c r="L54" s="79"/>
      <c r="M54" s="553">
        <f t="shared" si="9"/>
        <v>0</v>
      </c>
      <c r="N54" s="550"/>
      <c r="O54" s="549"/>
      <c r="P54" s="549">
        <f t="shared" si="10"/>
        <v>0</v>
      </c>
      <c r="Q54" s="549">
        <f t="shared" si="11"/>
        <v>0</v>
      </c>
      <c r="R54" s="548"/>
    </row>
    <row r="55" spans="1:21" s="660" customFormat="1" ht="15.75" customHeight="1" x14ac:dyDescent="0.25">
      <c r="A55" s="655" t="s">
        <v>10</v>
      </c>
      <c r="B55" s="655"/>
      <c r="C55" s="656">
        <v>79</v>
      </c>
      <c r="D55" s="656">
        <v>0</v>
      </c>
      <c r="E55" s="656">
        <v>0</v>
      </c>
      <c r="F55" s="656">
        <v>85</v>
      </c>
      <c r="G55" s="656">
        <v>0</v>
      </c>
      <c r="H55" s="656">
        <v>85</v>
      </c>
      <c r="I55" s="656">
        <v>8.16</v>
      </c>
      <c r="J55" s="656">
        <v>4.0999999999999996</v>
      </c>
      <c r="K55" s="656">
        <v>0.9950980392156864</v>
      </c>
      <c r="L55" s="656">
        <v>66928</v>
      </c>
      <c r="M55" s="656">
        <v>1415248.3333333335</v>
      </c>
      <c r="N55" s="656">
        <v>0</v>
      </c>
      <c r="O55" s="656">
        <v>0</v>
      </c>
      <c r="P55" s="656">
        <v>0</v>
      </c>
      <c r="Q55" s="656">
        <v>1415248.3333333335</v>
      </c>
      <c r="R55" s="659"/>
    </row>
    <row r="56" spans="1:21" s="547" customFormat="1" ht="15.75" customHeight="1" x14ac:dyDescent="0.25">
      <c r="A56" s="83" t="s">
        <v>257</v>
      </c>
      <c r="B56" s="83"/>
      <c r="C56" s="587">
        <v>175</v>
      </c>
      <c r="D56" s="79"/>
      <c r="E56" s="79" t="s">
        <v>222</v>
      </c>
      <c r="F56" s="551">
        <v>169</v>
      </c>
      <c r="G56" s="551"/>
      <c r="H56" s="549">
        <f>F56+G56</f>
        <v>169</v>
      </c>
      <c r="I56" s="551"/>
      <c r="J56" s="551"/>
      <c r="K56" s="554"/>
      <c r="L56" s="79"/>
      <c r="M56" s="553">
        <f>(H56*L56)*K56</f>
        <v>0</v>
      </c>
      <c r="N56" s="550"/>
      <c r="O56" s="549"/>
      <c r="P56" s="549">
        <f>N56*1000*17</f>
        <v>0</v>
      </c>
      <c r="Q56" s="549">
        <f>M56+P56</f>
        <v>0</v>
      </c>
      <c r="R56" s="548"/>
    </row>
    <row r="57" spans="1:21" s="660" customFormat="1" ht="15.75" customHeight="1" x14ac:dyDescent="0.25">
      <c r="A57" s="655" t="s">
        <v>290</v>
      </c>
      <c r="B57" s="655"/>
      <c r="C57" s="656">
        <v>540</v>
      </c>
      <c r="D57" s="656">
        <v>0</v>
      </c>
      <c r="E57" s="656">
        <v>0</v>
      </c>
      <c r="F57" s="656">
        <v>487</v>
      </c>
      <c r="G57" s="656">
        <v>191</v>
      </c>
      <c r="H57" s="656">
        <v>678</v>
      </c>
      <c r="I57" s="656">
        <v>8.16</v>
      </c>
      <c r="J57" s="656">
        <v>1.22</v>
      </c>
      <c r="K57" s="656">
        <v>1.7009803921568629</v>
      </c>
      <c r="L57" s="656">
        <v>14940</v>
      </c>
      <c r="M57" s="656">
        <v>4638027.7941176472</v>
      </c>
      <c r="N57" s="656">
        <v>0</v>
      </c>
      <c r="O57" s="656">
        <v>0</v>
      </c>
      <c r="P57" s="656">
        <v>0</v>
      </c>
      <c r="Q57" s="656">
        <v>4638027.7941176472</v>
      </c>
      <c r="R57" s="659"/>
    </row>
    <row r="58" spans="1:21" s="654" customFormat="1" ht="15" x14ac:dyDescent="0.25">
      <c r="A58" s="661" t="s">
        <v>289</v>
      </c>
      <c r="B58" s="661"/>
      <c r="C58" s="646">
        <v>30</v>
      </c>
      <c r="D58" s="646">
        <v>0</v>
      </c>
      <c r="E58" s="646">
        <v>0</v>
      </c>
      <c r="F58" s="646">
        <v>23</v>
      </c>
      <c r="G58" s="646">
        <v>0</v>
      </c>
      <c r="H58" s="646">
        <v>23</v>
      </c>
      <c r="I58" s="646">
        <v>8.16</v>
      </c>
      <c r="J58" s="646">
        <v>0</v>
      </c>
      <c r="K58" s="646">
        <v>2</v>
      </c>
      <c r="L58" s="646">
        <v>40934</v>
      </c>
      <c r="M58" s="646">
        <v>639702</v>
      </c>
      <c r="N58" s="646">
        <v>0</v>
      </c>
      <c r="O58" s="646">
        <v>0</v>
      </c>
      <c r="P58" s="646">
        <v>0</v>
      </c>
      <c r="Q58" s="646">
        <v>639702</v>
      </c>
      <c r="R58" s="652"/>
      <c r="S58" s="653"/>
      <c r="T58" s="520"/>
      <c r="U58" s="520"/>
    </row>
    <row r="59" spans="1:21" s="60" customFormat="1" ht="15.75" customHeight="1" x14ac:dyDescent="0.25">
      <c r="A59" s="83" t="s">
        <v>256</v>
      </c>
      <c r="B59" s="83"/>
      <c r="C59" s="587">
        <v>738</v>
      </c>
      <c r="D59" s="79"/>
      <c r="E59" s="79" t="s">
        <v>222</v>
      </c>
      <c r="F59" s="551">
        <v>481</v>
      </c>
      <c r="G59" s="551"/>
      <c r="H59" s="549">
        <f>F59+G59</f>
        <v>481</v>
      </c>
      <c r="I59" s="551">
        <v>4.08</v>
      </c>
      <c r="J59" s="555">
        <f>I59*0</f>
        <v>0</v>
      </c>
      <c r="K59" s="554">
        <f>(I59-J59)/I59</f>
        <v>1</v>
      </c>
      <c r="L59" s="553">
        <v>7470</v>
      </c>
      <c r="M59" s="553">
        <f>(H59*L59)*K59</f>
        <v>3593070</v>
      </c>
      <c r="N59" s="550"/>
      <c r="O59" s="584"/>
      <c r="P59" s="549">
        <f>N59*1000*17</f>
        <v>0</v>
      </c>
      <c r="Q59" s="584">
        <f>M59+P59</f>
        <v>3593070</v>
      </c>
      <c r="R59" s="586"/>
    </row>
    <row r="60" spans="1:21" s="547" customFormat="1" ht="15.75" customHeight="1" x14ac:dyDescent="0.25">
      <c r="A60" s="83" t="s">
        <v>288</v>
      </c>
      <c r="B60" s="83"/>
      <c r="C60" s="587">
        <v>18</v>
      </c>
      <c r="D60" s="79"/>
      <c r="E60" s="79" t="s">
        <v>222</v>
      </c>
      <c r="F60" s="551">
        <v>15</v>
      </c>
      <c r="G60" s="551"/>
      <c r="H60" s="549">
        <f>F60+G60</f>
        <v>15</v>
      </c>
      <c r="I60" s="551">
        <v>4.08</v>
      </c>
      <c r="J60" s="555">
        <v>0</v>
      </c>
      <c r="K60" s="554">
        <f>(I60-J60)/I60</f>
        <v>1</v>
      </c>
      <c r="L60" s="553">
        <v>7470</v>
      </c>
      <c r="M60" s="553">
        <f>(H60*L60)*K60</f>
        <v>112050</v>
      </c>
      <c r="N60" s="550"/>
      <c r="O60" s="549"/>
      <c r="P60" s="549">
        <f>N60*1000*17</f>
        <v>0</v>
      </c>
      <c r="Q60" s="549">
        <f>M60+P60</f>
        <v>112050</v>
      </c>
      <c r="R60" s="548"/>
    </row>
    <row r="61" spans="1:21" s="547" customFormat="1" ht="15.75" hidden="1" customHeight="1" x14ac:dyDescent="0.25">
      <c r="A61" s="83" t="s">
        <v>287</v>
      </c>
      <c r="B61" s="83"/>
      <c r="C61" s="587"/>
      <c r="D61" s="79"/>
      <c r="E61" s="79"/>
      <c r="F61" s="551"/>
      <c r="G61" s="551"/>
      <c r="H61" s="549">
        <f>F61+G61</f>
        <v>0</v>
      </c>
      <c r="I61" s="551"/>
      <c r="J61" s="551"/>
      <c r="K61" s="554"/>
      <c r="L61" s="79"/>
      <c r="M61" s="553">
        <f>(H61*L61)*K61</f>
        <v>0</v>
      </c>
      <c r="N61" s="550"/>
      <c r="O61" s="549"/>
      <c r="P61" s="549">
        <f>N61*1000*17</f>
        <v>0</v>
      </c>
      <c r="Q61" s="549">
        <f>M61+P61</f>
        <v>0</v>
      </c>
      <c r="R61" s="548"/>
    </row>
    <row r="62" spans="1:21" s="547" customFormat="1" ht="15.75" customHeight="1" x14ac:dyDescent="0.25">
      <c r="A62" s="219"/>
      <c r="B62" s="219"/>
      <c r="C62" s="587"/>
      <c r="D62" s="79"/>
      <c r="E62" s="79"/>
      <c r="F62" s="551"/>
      <c r="G62" s="551"/>
      <c r="H62" s="551"/>
      <c r="I62" s="614"/>
      <c r="J62" s="551"/>
      <c r="K62" s="551"/>
      <c r="L62" s="79"/>
      <c r="M62" s="79"/>
      <c r="N62" s="550"/>
      <c r="O62" s="549"/>
      <c r="P62" s="549"/>
      <c r="Q62" s="549">
        <f>P62+M62</f>
        <v>0</v>
      </c>
      <c r="R62" s="548"/>
    </row>
    <row r="63" spans="1:21" s="568" customFormat="1" ht="16.5" x14ac:dyDescent="0.25">
      <c r="A63" s="574" t="s">
        <v>46</v>
      </c>
      <c r="B63" s="574"/>
      <c r="C63" s="592">
        <f>SUM(C64:C72)</f>
        <v>4768</v>
      </c>
      <c r="D63" s="571"/>
      <c r="E63" s="571"/>
      <c r="F63" s="573">
        <f>SUM(F64:F72)</f>
        <v>3652</v>
      </c>
      <c r="G63" s="573">
        <f>SUM(G64:G72)</f>
        <v>0</v>
      </c>
      <c r="H63" s="573">
        <f>SUM(H64:H72)</f>
        <v>3652</v>
      </c>
      <c r="I63" s="573"/>
      <c r="J63" s="573"/>
      <c r="K63" s="572"/>
      <c r="L63" s="571">
        <f>SUM(L64:L72)</f>
        <v>78284</v>
      </c>
      <c r="M63" s="571">
        <f>SUM(M64:M72)</f>
        <v>24140644</v>
      </c>
      <c r="N63" s="571">
        <f>SUM(N64:N72)</f>
        <v>1934.79</v>
      </c>
      <c r="O63" s="571">
        <f>AVERAGE(O64:O72)</f>
        <v>17</v>
      </c>
      <c r="P63" s="571">
        <f>SUM(P64:P72)</f>
        <v>32891430</v>
      </c>
      <c r="Q63" s="570">
        <f>P63+M63</f>
        <v>57032074</v>
      </c>
      <c r="R63" s="569"/>
    </row>
    <row r="64" spans="1:21" s="60" customFormat="1" ht="74.099999999999994" customHeight="1" x14ac:dyDescent="0.25">
      <c r="A64" s="83" t="s">
        <v>47</v>
      </c>
      <c r="B64" s="83"/>
      <c r="C64" s="613">
        <v>834</v>
      </c>
      <c r="D64" s="79"/>
      <c r="E64" s="79" t="s">
        <v>222</v>
      </c>
      <c r="F64" s="613">
        <v>744</v>
      </c>
      <c r="G64" s="551"/>
      <c r="H64" s="549">
        <f>F64+G64</f>
        <v>744</v>
      </c>
      <c r="I64" s="612">
        <v>4.51</v>
      </c>
      <c r="J64" s="611">
        <v>0</v>
      </c>
      <c r="K64" s="75">
        <f t="shared" ref="K64:K69" si="12">(I64-J64)/I64</f>
        <v>1</v>
      </c>
      <c r="L64" s="575">
        <v>7470</v>
      </c>
      <c r="M64" s="553">
        <f t="shared" ref="M64:M69" si="13">(H64*L64)*K64</f>
        <v>5557680</v>
      </c>
      <c r="N64" s="550"/>
      <c r="O64" s="584"/>
      <c r="P64" s="549">
        <f t="shared" ref="P64:P69" si="14">N64*1000*17</f>
        <v>0</v>
      </c>
      <c r="Q64" s="584">
        <f t="shared" ref="Q64:Q69" si="15">M64+P64</f>
        <v>5557680</v>
      </c>
      <c r="R64" s="83" t="s">
        <v>286</v>
      </c>
    </row>
    <row r="65" spans="1:21" s="547" customFormat="1" ht="120" x14ac:dyDescent="0.25">
      <c r="A65" s="580" t="s">
        <v>48</v>
      </c>
      <c r="B65" s="82"/>
      <c r="C65" s="608">
        <v>1093</v>
      </c>
      <c r="D65" s="607"/>
      <c r="E65" s="606" t="s">
        <v>222</v>
      </c>
      <c r="F65" s="605">
        <v>522</v>
      </c>
      <c r="G65" s="604"/>
      <c r="H65" s="578">
        <f>SUM(F65:G65)</f>
        <v>522</v>
      </c>
      <c r="I65" s="603">
        <v>4.51</v>
      </c>
      <c r="J65" s="611">
        <v>0</v>
      </c>
      <c r="K65" s="554">
        <f t="shared" si="12"/>
        <v>1</v>
      </c>
      <c r="L65" s="575">
        <v>7470</v>
      </c>
      <c r="M65" s="553">
        <f t="shared" si="13"/>
        <v>3899340</v>
      </c>
      <c r="N65" s="607"/>
      <c r="O65" s="598"/>
      <c r="P65" s="549">
        <f t="shared" si="14"/>
        <v>0</v>
      </c>
      <c r="Q65" s="549">
        <f t="shared" si="15"/>
        <v>3899340</v>
      </c>
      <c r="R65" s="559" t="s">
        <v>285</v>
      </c>
      <c r="S65" s="610"/>
      <c r="T65" s="306"/>
      <c r="U65" s="306"/>
    </row>
    <row r="66" spans="1:21" s="547" customFormat="1" ht="15.75" x14ac:dyDescent="0.25">
      <c r="A66" s="580" t="s">
        <v>49</v>
      </c>
      <c r="B66" s="82"/>
      <c r="C66" s="608">
        <v>38</v>
      </c>
      <c r="D66" s="607"/>
      <c r="E66" s="606" t="s">
        <v>222</v>
      </c>
      <c r="F66" s="605">
        <v>25</v>
      </c>
      <c r="G66" s="604"/>
      <c r="H66" s="578">
        <f>SUM(F66:G66)</f>
        <v>25</v>
      </c>
      <c r="I66" s="603">
        <v>4.51</v>
      </c>
      <c r="J66" s="555">
        <v>0</v>
      </c>
      <c r="K66" s="554">
        <f t="shared" si="12"/>
        <v>1</v>
      </c>
      <c r="L66" s="609">
        <v>7470</v>
      </c>
      <c r="M66" s="553">
        <f t="shared" si="13"/>
        <v>186750</v>
      </c>
      <c r="N66" s="599"/>
      <c r="O66" s="598"/>
      <c r="P66" s="549">
        <f t="shared" si="14"/>
        <v>0</v>
      </c>
      <c r="Q66" s="549">
        <f t="shared" si="15"/>
        <v>186750</v>
      </c>
      <c r="R66" s="602"/>
      <c r="S66" s="564"/>
      <c r="T66" s="306"/>
      <c r="U66" s="306"/>
    </row>
    <row r="67" spans="1:21" s="547" customFormat="1" ht="45" x14ac:dyDescent="0.25">
      <c r="A67" s="580" t="s">
        <v>50</v>
      </c>
      <c r="B67" s="82"/>
      <c r="C67" s="608">
        <v>900</v>
      </c>
      <c r="D67" s="607"/>
      <c r="E67" s="606" t="s">
        <v>222</v>
      </c>
      <c r="F67" s="605">
        <v>500</v>
      </c>
      <c r="G67" s="604"/>
      <c r="H67" s="578">
        <f>SUM(F67:G67)</f>
        <v>500</v>
      </c>
      <c r="I67" s="603">
        <v>4.51</v>
      </c>
      <c r="J67" s="555">
        <v>0</v>
      </c>
      <c r="K67" s="554">
        <f t="shared" si="12"/>
        <v>1</v>
      </c>
      <c r="L67" s="575">
        <v>7470</v>
      </c>
      <c r="M67" s="553">
        <f t="shared" si="13"/>
        <v>3735000</v>
      </c>
      <c r="N67" s="607"/>
      <c r="O67" s="598"/>
      <c r="P67" s="549">
        <f t="shared" si="14"/>
        <v>0</v>
      </c>
      <c r="Q67" s="549">
        <f t="shared" si="15"/>
        <v>3735000</v>
      </c>
      <c r="R67" s="559" t="s">
        <v>284</v>
      </c>
      <c r="S67" s="564"/>
      <c r="T67" s="306"/>
      <c r="U67" s="306"/>
    </row>
    <row r="68" spans="1:21" s="547" customFormat="1" ht="15.75" x14ac:dyDescent="0.25">
      <c r="A68" s="580" t="s">
        <v>51</v>
      </c>
      <c r="B68" s="82"/>
      <c r="C68" s="608">
        <v>33</v>
      </c>
      <c r="D68" s="604"/>
      <c r="E68" s="606" t="s">
        <v>222</v>
      </c>
      <c r="F68" s="605">
        <v>15</v>
      </c>
      <c r="G68" s="604"/>
      <c r="H68" s="578">
        <f>SUM(F68:G68)</f>
        <v>15</v>
      </c>
      <c r="I68" s="603">
        <v>4.51</v>
      </c>
      <c r="J68" s="555">
        <v>0</v>
      </c>
      <c r="K68" s="554">
        <f t="shared" si="12"/>
        <v>1</v>
      </c>
      <c r="L68" s="575">
        <v>7470</v>
      </c>
      <c r="M68" s="553">
        <f t="shared" si="13"/>
        <v>112050</v>
      </c>
      <c r="N68" s="607"/>
      <c r="O68" s="598"/>
      <c r="P68" s="549">
        <f t="shared" si="14"/>
        <v>0</v>
      </c>
      <c r="Q68" s="549">
        <f t="shared" si="15"/>
        <v>112050</v>
      </c>
      <c r="R68" s="602"/>
      <c r="S68" s="564"/>
      <c r="T68" s="306"/>
      <c r="U68" s="306"/>
    </row>
    <row r="69" spans="1:21" s="547" customFormat="1" ht="15.75" x14ac:dyDescent="0.25">
      <c r="A69" s="580" t="s">
        <v>52</v>
      </c>
      <c r="B69" s="82"/>
      <c r="C69" s="608">
        <v>20</v>
      </c>
      <c r="D69" s="607"/>
      <c r="E69" s="606" t="s">
        <v>117</v>
      </c>
      <c r="F69" s="605">
        <v>7</v>
      </c>
      <c r="G69" s="605"/>
      <c r="H69" s="578">
        <f>SUM(F69:G69)</f>
        <v>7</v>
      </c>
      <c r="I69" s="603">
        <v>4.51</v>
      </c>
      <c r="J69" s="555">
        <f>I69*0.5</f>
        <v>2.2549999999999999</v>
      </c>
      <c r="K69" s="554">
        <f t="shared" si="12"/>
        <v>0.5</v>
      </c>
      <c r="L69" s="553">
        <v>33464</v>
      </c>
      <c r="M69" s="553">
        <f t="shared" si="13"/>
        <v>117124</v>
      </c>
      <c r="N69" s="607"/>
      <c r="O69" s="598"/>
      <c r="P69" s="549">
        <f t="shared" si="14"/>
        <v>0</v>
      </c>
      <c r="Q69" s="549">
        <f t="shared" si="15"/>
        <v>117124</v>
      </c>
      <c r="R69" s="602"/>
      <c r="S69" s="564"/>
      <c r="T69" s="306"/>
      <c r="U69" s="306"/>
    </row>
    <row r="70" spans="1:21" s="547" customFormat="1" ht="15" x14ac:dyDescent="0.25">
      <c r="A70" s="580" t="s">
        <v>53</v>
      </c>
      <c r="B70" s="82"/>
      <c r="C70" s="608">
        <v>1850</v>
      </c>
      <c r="D70" s="608">
        <v>0</v>
      </c>
      <c r="E70" s="608">
        <v>0</v>
      </c>
      <c r="F70" s="608">
        <v>1839</v>
      </c>
      <c r="G70" s="608">
        <v>0</v>
      </c>
      <c r="H70" s="608">
        <v>1839</v>
      </c>
      <c r="I70" s="608">
        <v>9.02</v>
      </c>
      <c r="J70" s="608">
        <v>0</v>
      </c>
      <c r="K70" s="608">
        <v>2</v>
      </c>
      <c r="L70" s="608">
        <v>7470</v>
      </c>
      <c r="M70" s="608">
        <v>10532700</v>
      </c>
      <c r="N70" s="608">
        <v>1934.79</v>
      </c>
      <c r="O70" s="608">
        <v>17</v>
      </c>
      <c r="P70" s="608">
        <v>32891430</v>
      </c>
      <c r="Q70" s="608">
        <v>43424130</v>
      </c>
      <c r="R70" s="602"/>
      <c r="S70" s="564"/>
      <c r="T70" s="306"/>
      <c r="U70" s="306"/>
    </row>
    <row r="71" spans="1:21" s="547" customFormat="1" ht="15.75" hidden="1" customHeight="1" x14ac:dyDescent="0.25">
      <c r="A71" s="83" t="s">
        <v>283</v>
      </c>
      <c r="B71" s="83"/>
      <c r="C71" s="551"/>
      <c r="D71" s="79"/>
      <c r="E71" s="79"/>
      <c r="F71" s="551"/>
      <c r="G71" s="551"/>
      <c r="H71" s="549">
        <f>F71+G71</f>
        <v>0</v>
      </c>
      <c r="I71" s="551"/>
      <c r="J71" s="551"/>
      <c r="K71" s="554"/>
      <c r="L71" s="79"/>
      <c r="M71" s="553">
        <f>(H71*L71)*K71</f>
        <v>0</v>
      </c>
      <c r="N71" s="550"/>
      <c r="O71" s="549"/>
      <c r="P71" s="549">
        <f>N71*1000*17</f>
        <v>0</v>
      </c>
      <c r="Q71" s="549">
        <f>M71+P71</f>
        <v>0</v>
      </c>
      <c r="R71" s="548"/>
    </row>
    <row r="72" spans="1:21" s="593" customFormat="1" ht="15" x14ac:dyDescent="0.25">
      <c r="A72" s="136"/>
      <c r="B72" s="136"/>
      <c r="C72" s="597"/>
      <c r="D72" s="135"/>
      <c r="E72" s="135"/>
      <c r="F72" s="597"/>
      <c r="G72" s="597"/>
      <c r="H72" s="597"/>
      <c r="I72" s="552"/>
      <c r="J72" s="551"/>
      <c r="K72" s="596"/>
      <c r="L72" s="135"/>
      <c r="M72" s="135"/>
      <c r="N72" s="595"/>
      <c r="O72" s="71"/>
      <c r="P72" s="71"/>
      <c r="Q72" s="549"/>
      <c r="R72" s="594"/>
    </row>
    <row r="73" spans="1:21" s="568" customFormat="1" ht="16.5" x14ac:dyDescent="0.25">
      <c r="A73" s="574" t="s">
        <v>33</v>
      </c>
      <c r="B73" s="574"/>
      <c r="C73" s="573">
        <f>SUM(C74:C93)</f>
        <v>65</v>
      </c>
      <c r="D73" s="571"/>
      <c r="E73" s="571"/>
      <c r="F73" s="573">
        <f>SUM(F74:F93)</f>
        <v>123</v>
      </c>
      <c r="G73" s="573">
        <f>SUM(G74:G93)</f>
        <v>0</v>
      </c>
      <c r="H73" s="573">
        <f>SUM(H74:H93)</f>
        <v>123</v>
      </c>
      <c r="I73" s="573"/>
      <c r="J73" s="573">
        <f>AVERAGE(J74:J93)</f>
        <v>0</v>
      </c>
      <c r="K73" s="572"/>
      <c r="L73" s="571">
        <f>SUM(L74:L93)</f>
        <v>40934</v>
      </c>
      <c r="M73" s="571">
        <f>SUM(M74:M93)</f>
        <v>2489504</v>
      </c>
      <c r="N73" s="571">
        <f>SUM(N74:N93)</f>
        <v>6.24</v>
      </c>
      <c r="O73" s="571">
        <f>AVERAGE(O74:O93)</f>
        <v>17</v>
      </c>
      <c r="P73" s="571">
        <f>SUM(P74:P93)</f>
        <v>106080</v>
      </c>
      <c r="Q73" s="570">
        <f>P73+M73</f>
        <v>2595584</v>
      </c>
      <c r="R73" s="569"/>
    </row>
    <row r="74" spans="1:21" s="593" customFormat="1" ht="15" hidden="1" x14ac:dyDescent="0.25">
      <c r="A74" s="136" t="s">
        <v>34</v>
      </c>
      <c r="B74" s="136"/>
      <c r="C74" s="597"/>
      <c r="D74" s="135"/>
      <c r="E74" s="135"/>
      <c r="F74" s="597"/>
      <c r="G74" s="597"/>
      <c r="H74" s="549">
        <f t="shared" ref="H74:H92" si="16">F74+G74</f>
        <v>0</v>
      </c>
      <c r="I74" s="551"/>
      <c r="J74" s="551"/>
      <c r="K74" s="554"/>
      <c r="L74" s="135"/>
      <c r="M74" s="553">
        <f t="shared" ref="M74:M92" si="17">(H74*L74)*K74</f>
        <v>0</v>
      </c>
      <c r="N74" s="595"/>
      <c r="O74" s="71"/>
      <c r="P74" s="549">
        <f t="shared" ref="P74:P92" si="18">N74*1000*17</f>
        <v>0</v>
      </c>
      <c r="Q74" s="549">
        <f t="shared" ref="Q74:Q92" si="19">M74+P74</f>
        <v>0</v>
      </c>
      <c r="R74" s="594"/>
    </row>
    <row r="75" spans="1:21" s="593" customFormat="1" ht="15" hidden="1" x14ac:dyDescent="0.25">
      <c r="A75" s="136" t="s">
        <v>35</v>
      </c>
      <c r="B75" s="136"/>
      <c r="C75" s="597"/>
      <c r="D75" s="135"/>
      <c r="E75" s="135"/>
      <c r="F75" s="597"/>
      <c r="G75" s="597"/>
      <c r="H75" s="549">
        <f t="shared" si="16"/>
        <v>0</v>
      </c>
      <c r="I75" s="551"/>
      <c r="J75" s="551"/>
      <c r="K75" s="554"/>
      <c r="L75" s="135"/>
      <c r="M75" s="553">
        <f t="shared" si="17"/>
        <v>0</v>
      </c>
      <c r="N75" s="595"/>
      <c r="O75" s="71"/>
      <c r="P75" s="549">
        <f t="shared" si="18"/>
        <v>0</v>
      </c>
      <c r="Q75" s="549">
        <f t="shared" si="19"/>
        <v>0</v>
      </c>
      <c r="R75" s="594"/>
    </row>
    <row r="76" spans="1:21" s="547" customFormat="1" ht="15.75" x14ac:dyDescent="0.25">
      <c r="A76" s="580" t="s">
        <v>36</v>
      </c>
      <c r="B76" s="580"/>
      <c r="C76" s="562">
        <v>12</v>
      </c>
      <c r="D76" s="561"/>
      <c r="E76" s="82" t="s">
        <v>216</v>
      </c>
      <c r="F76" s="551">
        <v>61</v>
      </c>
      <c r="G76" s="601"/>
      <c r="H76" s="549">
        <f t="shared" si="16"/>
        <v>61</v>
      </c>
      <c r="I76" s="556">
        <v>3.12</v>
      </c>
      <c r="J76" s="555">
        <v>0</v>
      </c>
      <c r="K76" s="554">
        <f>(I76-J76)/I76</f>
        <v>1</v>
      </c>
      <c r="L76" s="600">
        <v>33464</v>
      </c>
      <c r="M76" s="553">
        <f t="shared" si="17"/>
        <v>2041304</v>
      </c>
      <c r="N76" s="560"/>
      <c r="O76" s="560"/>
      <c r="P76" s="549">
        <f t="shared" si="18"/>
        <v>0</v>
      </c>
      <c r="Q76" s="549">
        <f t="shared" si="19"/>
        <v>2041304</v>
      </c>
      <c r="R76" s="559"/>
      <c r="S76" s="564"/>
      <c r="T76" s="306"/>
      <c r="U76" s="306"/>
    </row>
    <row r="77" spans="1:21" s="593" customFormat="1" ht="15" hidden="1" x14ac:dyDescent="0.25">
      <c r="A77" s="136" t="s">
        <v>282</v>
      </c>
      <c r="B77" s="136"/>
      <c r="C77" s="597"/>
      <c r="D77" s="135"/>
      <c r="E77" s="135"/>
      <c r="F77" s="597"/>
      <c r="G77" s="597"/>
      <c r="H77" s="549">
        <f t="shared" si="16"/>
        <v>0</v>
      </c>
      <c r="I77" s="551"/>
      <c r="J77" s="551"/>
      <c r="K77" s="554"/>
      <c r="L77" s="135"/>
      <c r="M77" s="553">
        <f t="shared" si="17"/>
        <v>0</v>
      </c>
      <c r="N77" s="595"/>
      <c r="O77" s="71"/>
      <c r="P77" s="549">
        <f t="shared" si="18"/>
        <v>0</v>
      </c>
      <c r="Q77" s="549">
        <f t="shared" si="19"/>
        <v>0</v>
      </c>
      <c r="R77" s="594"/>
    </row>
    <row r="78" spans="1:21" s="593" customFormat="1" ht="15" hidden="1" x14ac:dyDescent="0.25">
      <c r="A78" s="136" t="s">
        <v>281</v>
      </c>
      <c r="B78" s="136"/>
      <c r="C78" s="597"/>
      <c r="D78" s="135"/>
      <c r="E78" s="135"/>
      <c r="F78" s="597"/>
      <c r="G78" s="597"/>
      <c r="H78" s="549">
        <f t="shared" si="16"/>
        <v>0</v>
      </c>
      <c r="I78" s="551"/>
      <c r="J78" s="551"/>
      <c r="K78" s="554"/>
      <c r="L78" s="135"/>
      <c r="M78" s="553">
        <f t="shared" si="17"/>
        <v>0</v>
      </c>
      <c r="N78" s="595"/>
      <c r="O78" s="71"/>
      <c r="P78" s="549">
        <f t="shared" si="18"/>
        <v>0</v>
      </c>
      <c r="Q78" s="549">
        <f t="shared" si="19"/>
        <v>0</v>
      </c>
      <c r="R78" s="594"/>
    </row>
    <row r="79" spans="1:21" s="593" customFormat="1" ht="15" hidden="1" x14ac:dyDescent="0.25">
      <c r="A79" s="136" t="s">
        <v>37</v>
      </c>
      <c r="B79" s="136"/>
      <c r="C79" s="597"/>
      <c r="D79" s="135"/>
      <c r="E79" s="135"/>
      <c r="F79" s="597"/>
      <c r="G79" s="597"/>
      <c r="H79" s="549">
        <f t="shared" si="16"/>
        <v>0</v>
      </c>
      <c r="I79" s="551"/>
      <c r="J79" s="551"/>
      <c r="K79" s="554"/>
      <c r="L79" s="135"/>
      <c r="M79" s="553">
        <f t="shared" si="17"/>
        <v>0</v>
      </c>
      <c r="N79" s="595"/>
      <c r="O79" s="71"/>
      <c r="P79" s="549">
        <f t="shared" si="18"/>
        <v>0</v>
      </c>
      <c r="Q79" s="549">
        <f t="shared" si="19"/>
        <v>0</v>
      </c>
      <c r="R79" s="594"/>
    </row>
    <row r="80" spans="1:21" s="593" customFormat="1" ht="15" hidden="1" x14ac:dyDescent="0.25">
      <c r="A80" s="136" t="s">
        <v>280</v>
      </c>
      <c r="B80" s="136"/>
      <c r="C80" s="597"/>
      <c r="D80" s="135"/>
      <c r="E80" s="135"/>
      <c r="F80" s="597"/>
      <c r="G80" s="597"/>
      <c r="H80" s="549">
        <f t="shared" si="16"/>
        <v>0</v>
      </c>
      <c r="I80" s="551"/>
      <c r="J80" s="551"/>
      <c r="K80" s="554"/>
      <c r="L80" s="135"/>
      <c r="M80" s="553">
        <f t="shared" si="17"/>
        <v>0</v>
      </c>
      <c r="N80" s="595"/>
      <c r="O80" s="71"/>
      <c r="P80" s="549">
        <f t="shared" si="18"/>
        <v>0</v>
      </c>
      <c r="Q80" s="549">
        <f t="shared" si="19"/>
        <v>0</v>
      </c>
      <c r="R80" s="594"/>
    </row>
    <row r="81" spans="1:21" s="593" customFormat="1" ht="15" hidden="1" x14ac:dyDescent="0.25">
      <c r="A81" s="136" t="s">
        <v>38</v>
      </c>
      <c r="B81" s="136"/>
      <c r="C81" s="597"/>
      <c r="D81" s="135"/>
      <c r="E81" s="135"/>
      <c r="F81" s="597"/>
      <c r="G81" s="597"/>
      <c r="H81" s="549">
        <f t="shared" si="16"/>
        <v>0</v>
      </c>
      <c r="I81" s="551"/>
      <c r="J81" s="551"/>
      <c r="K81" s="554"/>
      <c r="L81" s="135"/>
      <c r="M81" s="553">
        <f t="shared" si="17"/>
        <v>0</v>
      </c>
      <c r="N81" s="595"/>
      <c r="O81" s="71"/>
      <c r="P81" s="549">
        <f t="shared" si="18"/>
        <v>0</v>
      </c>
      <c r="Q81" s="549">
        <f t="shared" si="19"/>
        <v>0</v>
      </c>
      <c r="R81" s="594"/>
    </row>
    <row r="82" spans="1:21" s="593" customFormat="1" ht="15" x14ac:dyDescent="0.25">
      <c r="A82" s="136" t="s">
        <v>39</v>
      </c>
      <c r="B82" s="136"/>
      <c r="C82" s="597">
        <v>3</v>
      </c>
      <c r="D82" s="135"/>
      <c r="E82" s="135" t="s">
        <v>274</v>
      </c>
      <c r="F82" s="597">
        <v>2</v>
      </c>
      <c r="G82" s="597"/>
      <c r="H82" s="549">
        <f t="shared" si="16"/>
        <v>2</v>
      </c>
      <c r="I82" s="556">
        <v>3.12</v>
      </c>
      <c r="J82" s="555">
        <v>0</v>
      </c>
      <c r="K82" s="554">
        <f>(I82-J82)/I82</f>
        <v>1</v>
      </c>
      <c r="L82" s="135"/>
      <c r="M82" s="553">
        <f t="shared" si="17"/>
        <v>0</v>
      </c>
      <c r="N82" s="599">
        <f>H82*I82*K82</f>
        <v>6.24</v>
      </c>
      <c r="O82" s="598">
        <v>17</v>
      </c>
      <c r="P82" s="549">
        <f t="shared" si="18"/>
        <v>106080</v>
      </c>
      <c r="Q82" s="549">
        <f t="shared" si="19"/>
        <v>106080</v>
      </c>
      <c r="R82" s="594"/>
    </row>
    <row r="83" spans="1:21" s="593" customFormat="1" ht="15" hidden="1" x14ac:dyDescent="0.25">
      <c r="A83" s="136" t="s">
        <v>40</v>
      </c>
      <c r="B83" s="136"/>
      <c r="C83" s="597"/>
      <c r="D83" s="135"/>
      <c r="E83" s="135"/>
      <c r="F83" s="597"/>
      <c r="G83" s="597"/>
      <c r="H83" s="549">
        <f t="shared" si="16"/>
        <v>0</v>
      </c>
      <c r="I83" s="551"/>
      <c r="J83" s="551"/>
      <c r="K83" s="554"/>
      <c r="L83" s="135"/>
      <c r="M83" s="553">
        <f t="shared" si="17"/>
        <v>0</v>
      </c>
      <c r="N83" s="595"/>
      <c r="O83" s="71"/>
      <c r="P83" s="549">
        <f t="shared" si="18"/>
        <v>0</v>
      </c>
      <c r="Q83" s="549">
        <f t="shared" si="19"/>
        <v>0</v>
      </c>
      <c r="R83" s="594"/>
    </row>
    <row r="84" spans="1:21" s="593" customFormat="1" ht="15" hidden="1" x14ac:dyDescent="0.25">
      <c r="A84" s="136" t="s">
        <v>41</v>
      </c>
      <c r="B84" s="136"/>
      <c r="C84" s="597"/>
      <c r="D84" s="135"/>
      <c r="E84" s="135"/>
      <c r="F84" s="597"/>
      <c r="G84" s="597"/>
      <c r="H84" s="549">
        <f t="shared" si="16"/>
        <v>0</v>
      </c>
      <c r="I84" s="551"/>
      <c r="J84" s="551"/>
      <c r="K84" s="554"/>
      <c r="L84" s="135"/>
      <c r="M84" s="553">
        <f t="shared" si="17"/>
        <v>0</v>
      </c>
      <c r="N84" s="595"/>
      <c r="O84" s="71"/>
      <c r="P84" s="549">
        <f t="shared" si="18"/>
        <v>0</v>
      </c>
      <c r="Q84" s="549">
        <f t="shared" si="19"/>
        <v>0</v>
      </c>
      <c r="R84" s="594"/>
    </row>
    <row r="85" spans="1:21" s="593" customFormat="1" ht="15" hidden="1" x14ac:dyDescent="0.25">
      <c r="A85" s="136" t="s">
        <v>42</v>
      </c>
      <c r="B85" s="136"/>
      <c r="C85" s="597"/>
      <c r="D85" s="135"/>
      <c r="E85" s="135"/>
      <c r="F85" s="597"/>
      <c r="G85" s="597"/>
      <c r="H85" s="549">
        <f t="shared" si="16"/>
        <v>0</v>
      </c>
      <c r="I85" s="551"/>
      <c r="J85" s="551"/>
      <c r="K85" s="554"/>
      <c r="L85" s="135"/>
      <c r="M85" s="553">
        <f t="shared" si="17"/>
        <v>0</v>
      </c>
      <c r="N85" s="595"/>
      <c r="O85" s="71"/>
      <c r="P85" s="549">
        <f t="shared" si="18"/>
        <v>0</v>
      </c>
      <c r="Q85" s="549">
        <f t="shared" si="19"/>
        <v>0</v>
      </c>
      <c r="R85" s="594"/>
    </row>
    <row r="86" spans="1:21" s="593" customFormat="1" ht="15" hidden="1" x14ac:dyDescent="0.25">
      <c r="A86" s="136" t="s">
        <v>279</v>
      </c>
      <c r="B86" s="136"/>
      <c r="C86" s="597"/>
      <c r="D86" s="135"/>
      <c r="E86" s="135"/>
      <c r="F86" s="597"/>
      <c r="G86" s="597"/>
      <c r="H86" s="549">
        <f t="shared" si="16"/>
        <v>0</v>
      </c>
      <c r="I86" s="551"/>
      <c r="J86" s="551"/>
      <c r="K86" s="554"/>
      <c r="L86" s="135"/>
      <c r="M86" s="553">
        <f t="shared" si="17"/>
        <v>0</v>
      </c>
      <c r="N86" s="595"/>
      <c r="O86" s="71"/>
      <c r="P86" s="549">
        <f t="shared" si="18"/>
        <v>0</v>
      </c>
      <c r="Q86" s="549">
        <f t="shared" si="19"/>
        <v>0</v>
      </c>
      <c r="R86" s="594"/>
    </row>
    <row r="87" spans="1:21" s="593" customFormat="1" ht="15" hidden="1" x14ac:dyDescent="0.25">
      <c r="A87" s="136" t="s">
        <v>43</v>
      </c>
      <c r="B87" s="136"/>
      <c r="C87" s="597"/>
      <c r="D87" s="135"/>
      <c r="E87" s="135"/>
      <c r="F87" s="597"/>
      <c r="G87" s="597"/>
      <c r="H87" s="549">
        <f t="shared" si="16"/>
        <v>0</v>
      </c>
      <c r="I87" s="551"/>
      <c r="J87" s="551"/>
      <c r="K87" s="554"/>
      <c r="L87" s="135"/>
      <c r="M87" s="553">
        <f t="shared" si="17"/>
        <v>0</v>
      </c>
      <c r="N87" s="595"/>
      <c r="O87" s="71"/>
      <c r="P87" s="549">
        <f t="shared" si="18"/>
        <v>0</v>
      </c>
      <c r="Q87" s="549">
        <f t="shared" si="19"/>
        <v>0</v>
      </c>
      <c r="R87" s="594"/>
    </row>
    <row r="88" spans="1:21" s="593" customFormat="1" ht="15" hidden="1" x14ac:dyDescent="0.25">
      <c r="A88" s="136" t="s">
        <v>278</v>
      </c>
      <c r="B88" s="136"/>
      <c r="C88" s="597"/>
      <c r="D88" s="135"/>
      <c r="E88" s="135"/>
      <c r="F88" s="597"/>
      <c r="G88" s="597"/>
      <c r="H88" s="549">
        <f t="shared" si="16"/>
        <v>0</v>
      </c>
      <c r="I88" s="551"/>
      <c r="J88" s="551"/>
      <c r="K88" s="554"/>
      <c r="L88" s="135"/>
      <c r="M88" s="553">
        <f t="shared" si="17"/>
        <v>0</v>
      </c>
      <c r="N88" s="595"/>
      <c r="O88" s="71"/>
      <c r="P88" s="549">
        <f t="shared" si="18"/>
        <v>0</v>
      </c>
      <c r="Q88" s="549">
        <f t="shared" si="19"/>
        <v>0</v>
      </c>
      <c r="R88" s="594"/>
    </row>
    <row r="89" spans="1:21" s="593" customFormat="1" ht="15" hidden="1" x14ac:dyDescent="0.25">
      <c r="A89" s="136" t="s">
        <v>277</v>
      </c>
      <c r="B89" s="136"/>
      <c r="C89" s="597"/>
      <c r="D89" s="135"/>
      <c r="E89" s="135"/>
      <c r="F89" s="597"/>
      <c r="G89" s="597"/>
      <c r="H89" s="549">
        <f t="shared" si="16"/>
        <v>0</v>
      </c>
      <c r="I89" s="551"/>
      <c r="J89" s="551"/>
      <c r="K89" s="554"/>
      <c r="L89" s="135"/>
      <c r="M89" s="553">
        <f t="shared" si="17"/>
        <v>0</v>
      </c>
      <c r="N89" s="595"/>
      <c r="O89" s="71"/>
      <c r="P89" s="549">
        <f t="shared" si="18"/>
        <v>0</v>
      </c>
      <c r="Q89" s="549">
        <f t="shared" si="19"/>
        <v>0</v>
      </c>
      <c r="R89" s="594"/>
    </row>
    <row r="90" spans="1:21" s="547" customFormat="1" ht="15" x14ac:dyDescent="0.25">
      <c r="A90" s="563" t="s">
        <v>44</v>
      </c>
      <c r="B90" s="563"/>
      <c r="C90" s="562">
        <v>50</v>
      </c>
      <c r="D90" s="561"/>
      <c r="E90" s="82" t="s">
        <v>222</v>
      </c>
      <c r="F90" s="551">
        <v>60</v>
      </c>
      <c r="G90" s="551"/>
      <c r="H90" s="549">
        <f t="shared" si="16"/>
        <v>60</v>
      </c>
      <c r="I90" s="556">
        <v>3.12</v>
      </c>
      <c r="J90" s="555">
        <v>0</v>
      </c>
      <c r="K90" s="554">
        <f>(I90-J90)/I90</f>
        <v>1</v>
      </c>
      <c r="L90" s="575">
        <v>7470</v>
      </c>
      <c r="M90" s="553">
        <f t="shared" si="17"/>
        <v>448200</v>
      </c>
      <c r="N90" s="560"/>
      <c r="O90" s="560"/>
      <c r="P90" s="549">
        <f t="shared" si="18"/>
        <v>0</v>
      </c>
      <c r="Q90" s="549">
        <f t="shared" si="19"/>
        <v>448200</v>
      </c>
      <c r="R90" s="559"/>
      <c r="S90" s="564"/>
      <c r="T90" s="306"/>
      <c r="U90" s="306"/>
    </row>
    <row r="91" spans="1:21" s="593" customFormat="1" ht="15" hidden="1" x14ac:dyDescent="0.25">
      <c r="A91" s="136" t="s">
        <v>45</v>
      </c>
      <c r="B91" s="136"/>
      <c r="C91" s="597"/>
      <c r="D91" s="135"/>
      <c r="E91" s="135"/>
      <c r="F91" s="597"/>
      <c r="G91" s="597"/>
      <c r="H91" s="549">
        <f t="shared" si="16"/>
        <v>0</v>
      </c>
      <c r="I91" s="551"/>
      <c r="J91" s="551"/>
      <c r="K91" s="554"/>
      <c r="L91" s="135"/>
      <c r="M91" s="553">
        <f t="shared" si="17"/>
        <v>0</v>
      </c>
      <c r="N91" s="595"/>
      <c r="O91" s="71"/>
      <c r="P91" s="549">
        <f t="shared" si="18"/>
        <v>0</v>
      </c>
      <c r="Q91" s="549">
        <f t="shared" si="19"/>
        <v>0</v>
      </c>
      <c r="R91" s="594"/>
    </row>
    <row r="92" spans="1:21" s="593" customFormat="1" ht="15" hidden="1" x14ac:dyDescent="0.25">
      <c r="A92" s="136" t="s">
        <v>276</v>
      </c>
      <c r="B92" s="136"/>
      <c r="C92" s="597"/>
      <c r="D92" s="135"/>
      <c r="E92" s="135"/>
      <c r="F92" s="597"/>
      <c r="G92" s="597"/>
      <c r="H92" s="549">
        <f t="shared" si="16"/>
        <v>0</v>
      </c>
      <c r="I92" s="551"/>
      <c r="J92" s="551"/>
      <c r="K92" s="554"/>
      <c r="L92" s="135"/>
      <c r="M92" s="553">
        <f t="shared" si="17"/>
        <v>0</v>
      </c>
      <c r="N92" s="595"/>
      <c r="O92" s="71"/>
      <c r="P92" s="549">
        <f t="shared" si="18"/>
        <v>0</v>
      </c>
      <c r="Q92" s="549">
        <f t="shared" si="19"/>
        <v>0</v>
      </c>
      <c r="R92" s="594"/>
    </row>
    <row r="93" spans="1:21" s="593" customFormat="1" ht="15" x14ac:dyDescent="0.25">
      <c r="A93" s="136"/>
      <c r="B93" s="136"/>
      <c r="C93" s="597"/>
      <c r="D93" s="135"/>
      <c r="E93" s="135"/>
      <c r="F93" s="597"/>
      <c r="G93" s="597"/>
      <c r="H93" s="597"/>
      <c r="I93" s="552"/>
      <c r="J93" s="551"/>
      <c r="K93" s="596"/>
      <c r="L93" s="135"/>
      <c r="M93" s="135"/>
      <c r="N93" s="595"/>
      <c r="O93" s="71"/>
      <c r="P93" s="71"/>
      <c r="Q93" s="549"/>
      <c r="R93" s="594"/>
    </row>
    <row r="94" spans="1:21" s="568" customFormat="1" ht="16.5" x14ac:dyDescent="0.25">
      <c r="A94" s="574" t="s">
        <v>54</v>
      </c>
      <c r="B94" s="574"/>
      <c r="C94" s="592" t="e">
        <f>SUM(#REF!,#REF!)</f>
        <v>#REF!</v>
      </c>
      <c r="D94" s="571"/>
      <c r="E94" s="571"/>
      <c r="F94" s="573" t="e">
        <f>SUM(#REF!,#REF!)</f>
        <v>#REF!</v>
      </c>
      <c r="G94" s="573" t="e">
        <f>SUM(#REF!,#REF!)</f>
        <v>#REF!</v>
      </c>
      <c r="H94" s="573" t="e">
        <f>SUM(#REF!,#REF!)</f>
        <v>#REF!</v>
      </c>
      <c r="I94" s="573"/>
      <c r="J94" s="573"/>
      <c r="K94" s="572"/>
      <c r="L94" s="571" t="e">
        <f>SUM(#REF!,#REF!)</f>
        <v>#REF!</v>
      </c>
      <c r="M94" s="571" t="e">
        <f>SUM(#REF!,#REF!)</f>
        <v>#REF!</v>
      </c>
      <c r="N94" s="571" t="e">
        <f>SUM(#REF!,#REF!)</f>
        <v>#REF!</v>
      </c>
      <c r="O94" s="571" t="e">
        <f>AVERAGE(#REF!,#REF!)</f>
        <v>#REF!</v>
      </c>
      <c r="P94" s="571" t="e">
        <f>SUM(#REF!,#REF!)</f>
        <v>#REF!</v>
      </c>
      <c r="Q94" s="570" t="e">
        <f>P94+M94</f>
        <v>#REF!</v>
      </c>
      <c r="R94" s="569"/>
      <c r="S94" s="591"/>
    </row>
    <row r="95" spans="1:21" s="547" customFormat="1" ht="15" hidden="1" x14ac:dyDescent="0.25">
      <c r="A95" s="83" t="s">
        <v>275</v>
      </c>
      <c r="B95" s="83"/>
      <c r="C95" s="551"/>
      <c r="D95" s="79"/>
      <c r="E95" s="79"/>
      <c r="F95" s="551"/>
      <c r="G95" s="551"/>
      <c r="H95" s="549">
        <f>F95+G95</f>
        <v>0</v>
      </c>
      <c r="I95" s="551"/>
      <c r="J95" s="551"/>
      <c r="K95" s="554"/>
      <c r="L95" s="79"/>
      <c r="M95" s="553">
        <f>(H95*L95)*K95</f>
        <v>0</v>
      </c>
      <c r="N95" s="550"/>
      <c r="O95" s="549"/>
      <c r="P95" s="549">
        <f>N95*1000*17</f>
        <v>0</v>
      </c>
      <c r="Q95" s="549">
        <f>M95+P95</f>
        <v>0</v>
      </c>
      <c r="R95" s="548"/>
    </row>
    <row r="96" spans="1:21" s="660" customFormat="1" ht="15" x14ac:dyDescent="0.25">
      <c r="A96" s="655" t="s">
        <v>99</v>
      </c>
      <c r="B96" s="655"/>
      <c r="C96" s="648">
        <v>248.16</v>
      </c>
      <c r="D96" s="648">
        <v>0</v>
      </c>
      <c r="E96" s="648">
        <v>0</v>
      </c>
      <c r="F96" s="648">
        <v>1550</v>
      </c>
      <c r="G96" s="648">
        <v>0</v>
      </c>
      <c r="H96" s="648">
        <v>1550</v>
      </c>
      <c r="I96" s="648">
        <v>7.4399999999999995</v>
      </c>
      <c r="J96" s="648">
        <v>0</v>
      </c>
      <c r="K96" s="648">
        <v>3</v>
      </c>
      <c r="L96" s="648">
        <v>40934</v>
      </c>
      <c r="M96" s="648">
        <v>17819902</v>
      </c>
      <c r="N96" s="648">
        <v>2398.16</v>
      </c>
      <c r="O96" s="648">
        <v>17</v>
      </c>
      <c r="P96" s="648">
        <v>40768720</v>
      </c>
      <c r="Q96" s="648">
        <v>58588622</v>
      </c>
      <c r="R96" s="659"/>
    </row>
    <row r="97" spans="1:21" s="665" customFormat="1" ht="15" x14ac:dyDescent="0.25">
      <c r="A97" s="645" t="s">
        <v>59</v>
      </c>
      <c r="B97" s="661"/>
      <c r="C97" s="662">
        <v>101.6</v>
      </c>
      <c r="D97" s="662">
        <v>0</v>
      </c>
      <c r="E97" s="662">
        <v>0</v>
      </c>
      <c r="F97" s="662">
        <v>769</v>
      </c>
      <c r="G97" s="662">
        <v>0</v>
      </c>
      <c r="H97" s="662">
        <v>769</v>
      </c>
      <c r="I97" s="662">
        <v>4.96</v>
      </c>
      <c r="J97" s="662">
        <v>1.736</v>
      </c>
      <c r="K97" s="662">
        <v>1.3</v>
      </c>
      <c r="L97" s="662">
        <v>40934</v>
      </c>
      <c r="M97" s="662">
        <v>3284479</v>
      </c>
      <c r="N97" s="662">
        <v>0</v>
      </c>
      <c r="O97" s="662">
        <v>0</v>
      </c>
      <c r="P97" s="662">
        <v>0</v>
      </c>
      <c r="Q97" s="662">
        <v>3284479</v>
      </c>
      <c r="R97" s="652"/>
      <c r="S97" s="663"/>
      <c r="T97" s="664"/>
      <c r="U97" s="664"/>
    </row>
    <row r="98" spans="1:21" s="547" customFormat="1" ht="15" hidden="1" x14ac:dyDescent="0.25">
      <c r="A98" s="83" t="s">
        <v>125</v>
      </c>
      <c r="B98" s="83"/>
      <c r="C98" s="551"/>
      <c r="D98" s="79"/>
      <c r="E98" s="79"/>
      <c r="F98" s="551"/>
      <c r="G98" s="551"/>
      <c r="H98" s="549">
        <f>F98+G98</f>
        <v>0</v>
      </c>
      <c r="I98" s="551"/>
      <c r="J98" s="551"/>
      <c r="K98" s="554"/>
      <c r="L98" s="79"/>
      <c r="M98" s="553">
        <f>(H98*L98)*K98</f>
        <v>0</v>
      </c>
      <c r="N98" s="550"/>
      <c r="O98" s="549"/>
      <c r="P98" s="549">
        <f>N98*1000*17</f>
        <v>0</v>
      </c>
      <c r="Q98" s="549">
        <f>M98+P98</f>
        <v>0</v>
      </c>
      <c r="R98" s="548"/>
    </row>
    <row r="99" spans="1:21" s="588" customFormat="1" ht="15.75" x14ac:dyDescent="0.25">
      <c r="A99" s="563" t="s">
        <v>220</v>
      </c>
      <c r="B99" s="563"/>
      <c r="C99" s="562">
        <v>250</v>
      </c>
      <c r="D99" s="567"/>
      <c r="E99" s="82" t="s">
        <v>222</v>
      </c>
      <c r="F99" s="551">
        <v>275</v>
      </c>
      <c r="G99" s="551"/>
      <c r="H99" s="549">
        <f>F99+G99</f>
        <v>275</v>
      </c>
      <c r="I99" s="585">
        <v>2.48</v>
      </c>
      <c r="J99" s="555">
        <v>0</v>
      </c>
      <c r="K99" s="554">
        <f>(I99-J99)/I99</f>
        <v>1</v>
      </c>
      <c r="L99" s="575">
        <v>7470</v>
      </c>
      <c r="M99" s="553">
        <f>(H99*L99)*K99</f>
        <v>2054250</v>
      </c>
      <c r="N99" s="560"/>
      <c r="O99" s="560"/>
      <c r="P99" s="549"/>
      <c r="Q99" s="584">
        <f>M99+P99</f>
        <v>2054250</v>
      </c>
      <c r="R99" s="559"/>
      <c r="S99" s="590"/>
      <c r="T99" s="589"/>
      <c r="U99" s="421"/>
    </row>
    <row r="100" spans="1:21" s="668" customFormat="1" ht="15.75" x14ac:dyDescent="0.25">
      <c r="A100" s="645" t="s">
        <v>124</v>
      </c>
      <c r="B100" s="645"/>
      <c r="C100" s="662">
        <v>839</v>
      </c>
      <c r="D100" s="662">
        <v>0</v>
      </c>
      <c r="E100" s="662">
        <v>0</v>
      </c>
      <c r="F100" s="662">
        <v>799</v>
      </c>
      <c r="G100" s="662">
        <v>0</v>
      </c>
      <c r="H100" s="662">
        <v>799</v>
      </c>
      <c r="I100" s="662">
        <v>4.96</v>
      </c>
      <c r="J100" s="662">
        <v>0</v>
      </c>
      <c r="K100" s="662">
        <v>2</v>
      </c>
      <c r="L100" s="662">
        <v>33464</v>
      </c>
      <c r="M100" s="662">
        <v>26001528</v>
      </c>
      <c r="N100" s="662">
        <v>54.56</v>
      </c>
      <c r="O100" s="662">
        <v>17</v>
      </c>
      <c r="P100" s="662">
        <v>927520</v>
      </c>
      <c r="Q100" s="662">
        <v>26929048</v>
      </c>
      <c r="R100" s="652"/>
      <c r="S100" s="666"/>
      <c r="T100" s="667"/>
      <c r="U100" s="664"/>
    </row>
    <row r="101" spans="1:21" s="60" customFormat="1" ht="15.75" x14ac:dyDescent="0.25">
      <c r="A101" s="83" t="s">
        <v>126</v>
      </c>
      <c r="B101" s="83"/>
      <c r="C101" s="587">
        <v>130</v>
      </c>
      <c r="D101" s="79"/>
      <c r="E101" s="79" t="s">
        <v>222</v>
      </c>
      <c r="F101" s="551">
        <v>149</v>
      </c>
      <c r="G101" s="551"/>
      <c r="H101" s="549">
        <f t="shared" ref="H101:H120" si="20">F101+G101</f>
        <v>149</v>
      </c>
      <c r="I101" s="551">
        <v>2.48</v>
      </c>
      <c r="J101" s="555">
        <v>0</v>
      </c>
      <c r="K101" s="554">
        <f>(I101-J101)/I101</f>
        <v>1</v>
      </c>
      <c r="L101" s="575">
        <v>7470</v>
      </c>
      <c r="M101" s="553">
        <f t="shared" ref="M101:M120" si="21">(H101*L101)*K101</f>
        <v>1113030</v>
      </c>
      <c r="N101" s="550"/>
      <c r="O101" s="584"/>
      <c r="P101" s="549">
        <f t="shared" ref="P101:P116" si="22">N101*1000*17</f>
        <v>0</v>
      </c>
      <c r="Q101" s="584">
        <f t="shared" ref="Q101:Q120" si="23">M101+P101</f>
        <v>1113030</v>
      </c>
      <c r="R101" s="586"/>
    </row>
    <row r="102" spans="1:21" s="60" customFormat="1" ht="15.75" x14ac:dyDescent="0.25">
      <c r="A102" s="83" t="s">
        <v>267</v>
      </c>
      <c r="B102" s="83"/>
      <c r="C102" s="587">
        <v>64</v>
      </c>
      <c r="D102" s="79"/>
      <c r="E102" s="79" t="s">
        <v>222</v>
      </c>
      <c r="F102" s="551">
        <v>54</v>
      </c>
      <c r="G102" s="551"/>
      <c r="H102" s="549">
        <f t="shared" si="20"/>
        <v>54</v>
      </c>
      <c r="I102" s="551">
        <v>2.48</v>
      </c>
      <c r="J102" s="555">
        <v>0</v>
      </c>
      <c r="K102" s="554">
        <f>(I102-J102)/I102</f>
        <v>1</v>
      </c>
      <c r="L102" s="575">
        <v>7470</v>
      </c>
      <c r="M102" s="553">
        <f t="shared" si="21"/>
        <v>403380</v>
      </c>
      <c r="N102" s="550"/>
      <c r="O102" s="584"/>
      <c r="P102" s="549">
        <f t="shared" si="22"/>
        <v>0</v>
      </c>
      <c r="Q102" s="584">
        <f t="shared" si="23"/>
        <v>403380</v>
      </c>
      <c r="R102" s="586"/>
    </row>
    <row r="103" spans="1:21" s="547" customFormat="1" ht="15" hidden="1" x14ac:dyDescent="0.25">
      <c r="A103" s="83" t="s">
        <v>254</v>
      </c>
      <c r="B103" s="83"/>
      <c r="C103" s="551"/>
      <c r="D103" s="79"/>
      <c r="E103" s="79"/>
      <c r="F103" s="551"/>
      <c r="G103" s="551"/>
      <c r="H103" s="549">
        <f t="shared" si="20"/>
        <v>0</v>
      </c>
      <c r="I103" s="551"/>
      <c r="J103" s="551"/>
      <c r="K103" s="554"/>
      <c r="L103" s="79"/>
      <c r="M103" s="553">
        <f t="shared" si="21"/>
        <v>0</v>
      </c>
      <c r="N103" s="550"/>
      <c r="O103" s="549"/>
      <c r="P103" s="549">
        <f t="shared" si="22"/>
        <v>0</v>
      </c>
      <c r="Q103" s="549">
        <f t="shared" si="23"/>
        <v>0</v>
      </c>
      <c r="R103" s="548"/>
    </row>
    <row r="104" spans="1:21" s="60" customFormat="1" ht="15.75" x14ac:dyDescent="0.25">
      <c r="A104" s="83" t="s">
        <v>68</v>
      </c>
      <c r="B104" s="83"/>
      <c r="C104" s="551"/>
      <c r="D104" s="79"/>
      <c r="E104" s="79" t="s">
        <v>222</v>
      </c>
      <c r="F104" s="551">
        <v>271</v>
      </c>
      <c r="G104" s="551"/>
      <c r="H104" s="549">
        <f t="shared" si="20"/>
        <v>271</v>
      </c>
      <c r="I104" s="551">
        <v>2.48</v>
      </c>
      <c r="J104" s="555">
        <v>0</v>
      </c>
      <c r="K104" s="554">
        <f>(I104-J104)/I104</f>
        <v>1</v>
      </c>
      <c r="L104" s="575">
        <v>7470</v>
      </c>
      <c r="M104" s="553">
        <f t="shared" si="21"/>
        <v>2024370</v>
      </c>
      <c r="N104" s="550"/>
      <c r="O104" s="584"/>
      <c r="P104" s="549">
        <f t="shared" si="22"/>
        <v>0</v>
      </c>
      <c r="Q104" s="584">
        <f t="shared" si="23"/>
        <v>2024370</v>
      </c>
      <c r="R104" s="586"/>
    </row>
    <row r="105" spans="1:21" s="60" customFormat="1" ht="15.75" x14ac:dyDescent="0.25">
      <c r="A105" s="83" t="s">
        <v>55</v>
      </c>
      <c r="B105" s="83"/>
      <c r="C105" s="587">
        <v>1492</v>
      </c>
      <c r="D105" s="79"/>
      <c r="E105" s="79" t="s">
        <v>222</v>
      </c>
      <c r="F105" s="551">
        <v>1145</v>
      </c>
      <c r="G105" s="551"/>
      <c r="H105" s="549">
        <f t="shared" si="20"/>
        <v>1145</v>
      </c>
      <c r="I105" s="551">
        <v>2.48</v>
      </c>
      <c r="J105" s="555">
        <v>0</v>
      </c>
      <c r="K105" s="554">
        <f>(I105-J105)/I105</f>
        <v>1</v>
      </c>
      <c r="L105" s="575">
        <v>7470</v>
      </c>
      <c r="M105" s="553">
        <f t="shared" si="21"/>
        <v>8553150</v>
      </c>
      <c r="N105" s="550"/>
      <c r="O105" s="584"/>
      <c r="P105" s="549">
        <f t="shared" si="22"/>
        <v>0</v>
      </c>
      <c r="Q105" s="584">
        <f t="shared" si="23"/>
        <v>8553150</v>
      </c>
      <c r="R105" s="586"/>
    </row>
    <row r="106" spans="1:21" s="547" customFormat="1" ht="15" hidden="1" x14ac:dyDescent="0.25">
      <c r="A106" s="83" t="s">
        <v>56</v>
      </c>
      <c r="B106" s="83"/>
      <c r="C106" s="551"/>
      <c r="D106" s="79"/>
      <c r="E106" s="79"/>
      <c r="F106" s="551"/>
      <c r="G106" s="551"/>
      <c r="H106" s="549">
        <f t="shared" si="20"/>
        <v>0</v>
      </c>
      <c r="I106" s="551"/>
      <c r="J106" s="551"/>
      <c r="K106" s="554"/>
      <c r="L106" s="79"/>
      <c r="M106" s="553">
        <f t="shared" si="21"/>
        <v>0</v>
      </c>
      <c r="N106" s="550"/>
      <c r="O106" s="549"/>
      <c r="P106" s="549">
        <f t="shared" si="22"/>
        <v>0</v>
      </c>
      <c r="Q106" s="549">
        <f t="shared" si="23"/>
        <v>0</v>
      </c>
      <c r="R106" s="548"/>
    </row>
    <row r="107" spans="1:21" s="547" customFormat="1" ht="15" hidden="1" x14ac:dyDescent="0.25">
      <c r="A107" s="83" t="s">
        <v>57</v>
      </c>
      <c r="B107" s="83"/>
      <c r="C107" s="551"/>
      <c r="D107" s="79"/>
      <c r="E107" s="79"/>
      <c r="F107" s="551"/>
      <c r="G107" s="551"/>
      <c r="H107" s="549">
        <f t="shared" si="20"/>
        <v>0</v>
      </c>
      <c r="I107" s="551"/>
      <c r="J107" s="551"/>
      <c r="K107" s="554"/>
      <c r="L107" s="79"/>
      <c r="M107" s="553">
        <f t="shared" si="21"/>
        <v>0</v>
      </c>
      <c r="N107" s="550"/>
      <c r="O107" s="549"/>
      <c r="P107" s="549">
        <f t="shared" si="22"/>
        <v>0</v>
      </c>
      <c r="Q107" s="549">
        <f t="shared" si="23"/>
        <v>0</v>
      </c>
      <c r="R107" s="548"/>
    </row>
    <row r="108" spans="1:21" s="547" customFormat="1" ht="15" hidden="1" x14ac:dyDescent="0.25">
      <c r="A108" s="83" t="s">
        <v>58</v>
      </c>
      <c r="B108" s="83"/>
      <c r="C108" s="551"/>
      <c r="D108" s="79"/>
      <c r="E108" s="79"/>
      <c r="F108" s="551"/>
      <c r="G108" s="551"/>
      <c r="H108" s="549">
        <f t="shared" si="20"/>
        <v>0</v>
      </c>
      <c r="I108" s="551"/>
      <c r="J108" s="551"/>
      <c r="K108" s="554"/>
      <c r="L108" s="79"/>
      <c r="M108" s="553">
        <f t="shared" si="21"/>
        <v>0</v>
      </c>
      <c r="N108" s="550"/>
      <c r="O108" s="549"/>
      <c r="P108" s="549">
        <f t="shared" si="22"/>
        <v>0</v>
      </c>
      <c r="Q108" s="549">
        <f t="shared" si="23"/>
        <v>0</v>
      </c>
      <c r="R108" s="548"/>
    </row>
    <row r="109" spans="1:21" s="547" customFormat="1" ht="15" x14ac:dyDescent="0.25">
      <c r="A109" s="83" t="s">
        <v>60</v>
      </c>
      <c r="B109" s="83"/>
      <c r="C109" s="551">
        <v>35</v>
      </c>
      <c r="D109" s="79"/>
      <c r="E109" s="79" t="s">
        <v>222</v>
      </c>
      <c r="F109" s="551">
        <v>65</v>
      </c>
      <c r="G109" s="551"/>
      <c r="H109" s="549">
        <f t="shared" si="20"/>
        <v>65</v>
      </c>
      <c r="I109" s="551">
        <v>2.48</v>
      </c>
      <c r="J109" s="555">
        <v>0</v>
      </c>
      <c r="K109" s="554">
        <f>(I109-J109)/I109</f>
        <v>1</v>
      </c>
      <c r="L109" s="575">
        <v>7470</v>
      </c>
      <c r="M109" s="553">
        <f t="shared" si="21"/>
        <v>485550</v>
      </c>
      <c r="N109" s="550"/>
      <c r="O109" s="549"/>
      <c r="P109" s="549">
        <f t="shared" si="22"/>
        <v>0</v>
      </c>
      <c r="Q109" s="549">
        <f t="shared" si="23"/>
        <v>485550</v>
      </c>
      <c r="R109" s="548"/>
    </row>
    <row r="110" spans="1:21" s="547" customFormat="1" ht="15" hidden="1" x14ac:dyDescent="0.25">
      <c r="A110" s="83" t="s">
        <v>61</v>
      </c>
      <c r="B110" s="83"/>
      <c r="C110" s="551"/>
      <c r="D110" s="79"/>
      <c r="E110" s="79"/>
      <c r="F110" s="551"/>
      <c r="G110" s="551"/>
      <c r="H110" s="549">
        <f t="shared" si="20"/>
        <v>0</v>
      </c>
      <c r="I110" s="551"/>
      <c r="J110" s="551"/>
      <c r="K110" s="554"/>
      <c r="L110" s="79"/>
      <c r="M110" s="553">
        <f t="shared" si="21"/>
        <v>0</v>
      </c>
      <c r="N110" s="550"/>
      <c r="O110" s="549"/>
      <c r="P110" s="549">
        <f t="shared" si="22"/>
        <v>0</v>
      </c>
      <c r="Q110" s="549">
        <f t="shared" si="23"/>
        <v>0</v>
      </c>
      <c r="R110" s="548"/>
    </row>
    <row r="111" spans="1:21" s="547" customFormat="1" ht="15" x14ac:dyDescent="0.25">
      <c r="A111" s="83" t="s">
        <v>62</v>
      </c>
      <c r="B111" s="83"/>
      <c r="C111" s="587">
        <v>34</v>
      </c>
      <c r="D111" s="79"/>
      <c r="E111" s="79" t="s">
        <v>273</v>
      </c>
      <c r="F111" s="551">
        <v>21</v>
      </c>
      <c r="G111" s="551"/>
      <c r="H111" s="549">
        <f t="shared" si="20"/>
        <v>21</v>
      </c>
      <c r="I111" s="551">
        <v>2.48</v>
      </c>
      <c r="J111" s="555">
        <v>0</v>
      </c>
      <c r="K111" s="554">
        <f>(I111-J111)/I111</f>
        <v>1</v>
      </c>
      <c r="L111" s="575">
        <v>7470</v>
      </c>
      <c r="M111" s="553">
        <f t="shared" si="21"/>
        <v>156870</v>
      </c>
      <c r="N111" s="550"/>
      <c r="O111" s="549"/>
      <c r="P111" s="549">
        <f t="shared" si="22"/>
        <v>0</v>
      </c>
      <c r="Q111" s="549">
        <f t="shared" si="23"/>
        <v>156870</v>
      </c>
      <c r="R111" s="548"/>
    </row>
    <row r="112" spans="1:21" s="547" customFormat="1" ht="15" x14ac:dyDescent="0.25">
      <c r="A112" s="83" t="s">
        <v>63</v>
      </c>
      <c r="B112" s="83"/>
      <c r="C112" s="587">
        <v>358</v>
      </c>
      <c r="D112" s="79"/>
      <c r="E112" s="79" t="s">
        <v>222</v>
      </c>
      <c r="F112" s="551">
        <v>447</v>
      </c>
      <c r="G112" s="551"/>
      <c r="H112" s="549">
        <f t="shared" si="20"/>
        <v>447</v>
      </c>
      <c r="I112" s="551">
        <v>2.48</v>
      </c>
      <c r="J112" s="555">
        <v>0</v>
      </c>
      <c r="K112" s="554">
        <f>(I112-J112)/I112</f>
        <v>1</v>
      </c>
      <c r="L112" s="575">
        <v>7470</v>
      </c>
      <c r="M112" s="553">
        <f t="shared" si="21"/>
        <v>3339090</v>
      </c>
      <c r="N112" s="550"/>
      <c r="O112" s="549"/>
      <c r="P112" s="549">
        <f t="shared" si="22"/>
        <v>0</v>
      </c>
      <c r="Q112" s="549">
        <f t="shared" si="23"/>
        <v>3339090</v>
      </c>
      <c r="R112" s="548"/>
    </row>
    <row r="113" spans="1:21" s="547" customFormat="1" ht="15" x14ac:dyDescent="0.25">
      <c r="A113" s="83" t="s">
        <v>64</v>
      </c>
      <c r="B113" s="83"/>
      <c r="C113" s="587">
        <v>84</v>
      </c>
      <c r="D113" s="79"/>
      <c r="E113" s="79" t="s">
        <v>222</v>
      </c>
      <c r="F113" s="551">
        <v>105</v>
      </c>
      <c r="G113" s="551"/>
      <c r="H113" s="549">
        <f t="shared" si="20"/>
        <v>105</v>
      </c>
      <c r="I113" s="551">
        <v>2.48</v>
      </c>
      <c r="J113" s="555">
        <v>0</v>
      </c>
      <c r="K113" s="554">
        <f>(I113-J113)/I113</f>
        <v>1</v>
      </c>
      <c r="L113" s="575">
        <v>7470</v>
      </c>
      <c r="M113" s="553">
        <f t="shared" si="21"/>
        <v>784350</v>
      </c>
      <c r="N113" s="550"/>
      <c r="O113" s="549"/>
      <c r="P113" s="549">
        <f t="shared" si="22"/>
        <v>0</v>
      </c>
      <c r="Q113" s="549">
        <f t="shared" si="23"/>
        <v>784350</v>
      </c>
      <c r="R113" s="548"/>
    </row>
    <row r="114" spans="1:21" s="60" customFormat="1" ht="15.75" x14ac:dyDescent="0.25">
      <c r="A114" s="83" t="s">
        <v>123</v>
      </c>
      <c r="B114" s="83"/>
      <c r="C114" s="587">
        <v>623</v>
      </c>
      <c r="D114" s="79"/>
      <c r="E114" s="79" t="s">
        <v>222</v>
      </c>
      <c r="F114" s="551">
        <v>654</v>
      </c>
      <c r="G114" s="551"/>
      <c r="H114" s="549">
        <f t="shared" si="20"/>
        <v>654</v>
      </c>
      <c r="I114" s="551">
        <v>2.48</v>
      </c>
      <c r="J114" s="555">
        <v>0</v>
      </c>
      <c r="K114" s="554">
        <f>(I114-J114)/I114</f>
        <v>1</v>
      </c>
      <c r="L114" s="575">
        <v>7470</v>
      </c>
      <c r="M114" s="553">
        <f t="shared" si="21"/>
        <v>4885380</v>
      </c>
      <c r="N114" s="550"/>
      <c r="O114" s="584"/>
      <c r="P114" s="549">
        <f t="shared" si="22"/>
        <v>0</v>
      </c>
      <c r="Q114" s="584">
        <f t="shared" si="23"/>
        <v>4885380</v>
      </c>
      <c r="R114" s="586"/>
    </row>
    <row r="115" spans="1:21" s="547" customFormat="1" ht="15" hidden="1" x14ac:dyDescent="0.25">
      <c r="A115" s="83" t="s">
        <v>65</v>
      </c>
      <c r="B115" s="83"/>
      <c r="C115" s="551"/>
      <c r="D115" s="79"/>
      <c r="E115" s="79"/>
      <c r="F115" s="551"/>
      <c r="G115" s="551"/>
      <c r="H115" s="549">
        <f t="shared" si="20"/>
        <v>0</v>
      </c>
      <c r="I115" s="551"/>
      <c r="J115" s="551"/>
      <c r="K115" s="554"/>
      <c r="L115" s="79"/>
      <c r="M115" s="553">
        <f t="shared" si="21"/>
        <v>0</v>
      </c>
      <c r="N115" s="550"/>
      <c r="O115" s="549"/>
      <c r="P115" s="549">
        <f t="shared" si="22"/>
        <v>0</v>
      </c>
      <c r="Q115" s="549">
        <f t="shared" si="23"/>
        <v>0</v>
      </c>
      <c r="R115" s="548"/>
    </row>
    <row r="116" spans="1:21" s="547" customFormat="1" ht="15" hidden="1" x14ac:dyDescent="0.25">
      <c r="A116" s="83" t="s">
        <v>66</v>
      </c>
      <c r="B116" s="83"/>
      <c r="C116" s="551"/>
      <c r="D116" s="79"/>
      <c r="E116" s="79"/>
      <c r="F116" s="551"/>
      <c r="G116" s="551"/>
      <c r="H116" s="549">
        <f t="shared" si="20"/>
        <v>0</v>
      </c>
      <c r="I116" s="551"/>
      <c r="J116" s="551"/>
      <c r="K116" s="554"/>
      <c r="L116" s="79"/>
      <c r="M116" s="553">
        <f t="shared" si="21"/>
        <v>0</v>
      </c>
      <c r="N116" s="550"/>
      <c r="O116" s="549"/>
      <c r="P116" s="549">
        <f t="shared" si="22"/>
        <v>0</v>
      </c>
      <c r="Q116" s="549">
        <f t="shared" si="23"/>
        <v>0</v>
      </c>
      <c r="R116" s="548"/>
    </row>
    <row r="117" spans="1:21" s="60" customFormat="1" ht="15.75" x14ac:dyDescent="0.25">
      <c r="A117" s="563" t="s">
        <v>67</v>
      </c>
      <c r="B117" s="563"/>
      <c r="C117" s="562">
        <v>1190</v>
      </c>
      <c r="D117" s="561"/>
      <c r="E117" s="82" t="s">
        <v>222</v>
      </c>
      <c r="F117" s="551">
        <v>1260</v>
      </c>
      <c r="G117" s="551"/>
      <c r="H117" s="549">
        <f t="shared" si="20"/>
        <v>1260</v>
      </c>
      <c r="I117" s="585">
        <v>2.48</v>
      </c>
      <c r="J117" s="555">
        <v>0</v>
      </c>
      <c r="K117" s="554">
        <f>(I117-J117)/I117</f>
        <v>1</v>
      </c>
      <c r="L117" s="575">
        <v>7470</v>
      </c>
      <c r="M117" s="553">
        <f t="shared" si="21"/>
        <v>9412200</v>
      </c>
      <c r="N117" s="560"/>
      <c r="O117" s="560"/>
      <c r="P117" s="549"/>
      <c r="Q117" s="584">
        <f t="shared" si="23"/>
        <v>9412200</v>
      </c>
      <c r="R117" s="559"/>
      <c r="S117" s="16"/>
      <c r="T117" s="583"/>
      <c r="U117" s="306"/>
    </row>
    <row r="118" spans="1:21" s="547" customFormat="1" ht="15" hidden="1" x14ac:dyDescent="0.25">
      <c r="A118" s="83" t="s">
        <v>272</v>
      </c>
      <c r="B118" s="83"/>
      <c r="C118" s="551"/>
      <c r="D118" s="79"/>
      <c r="E118" s="79"/>
      <c r="F118" s="551"/>
      <c r="G118" s="551"/>
      <c r="H118" s="549">
        <f t="shared" si="20"/>
        <v>0</v>
      </c>
      <c r="I118" s="551"/>
      <c r="J118" s="551"/>
      <c r="K118" s="554"/>
      <c r="L118" s="79"/>
      <c r="M118" s="553">
        <f t="shared" si="21"/>
        <v>0</v>
      </c>
      <c r="N118" s="550"/>
      <c r="O118" s="549"/>
      <c r="P118" s="549">
        <f>N118*1000*17</f>
        <v>0</v>
      </c>
      <c r="Q118" s="549">
        <f t="shared" si="23"/>
        <v>0</v>
      </c>
      <c r="R118" s="548"/>
    </row>
    <row r="119" spans="1:21" s="547" customFormat="1" ht="15" hidden="1" x14ac:dyDescent="0.25">
      <c r="A119" s="83" t="s">
        <v>69</v>
      </c>
      <c r="B119" s="83"/>
      <c r="C119" s="551"/>
      <c r="D119" s="79"/>
      <c r="E119" s="79"/>
      <c r="F119" s="551"/>
      <c r="G119" s="551"/>
      <c r="H119" s="549">
        <f t="shared" si="20"/>
        <v>0</v>
      </c>
      <c r="I119" s="551"/>
      <c r="J119" s="551"/>
      <c r="K119" s="554"/>
      <c r="L119" s="79"/>
      <c r="M119" s="553">
        <f t="shared" si="21"/>
        <v>0</v>
      </c>
      <c r="N119" s="550"/>
      <c r="O119" s="549"/>
      <c r="P119" s="549">
        <f>N119*1000*17</f>
        <v>0</v>
      </c>
      <c r="Q119" s="549">
        <f t="shared" si="23"/>
        <v>0</v>
      </c>
      <c r="R119" s="548"/>
    </row>
    <row r="120" spans="1:21" s="547" customFormat="1" ht="15" hidden="1" x14ac:dyDescent="0.25">
      <c r="A120" s="83" t="s">
        <v>70</v>
      </c>
      <c r="B120" s="83"/>
      <c r="C120" s="551"/>
      <c r="D120" s="79"/>
      <c r="E120" s="79"/>
      <c r="F120" s="551"/>
      <c r="G120" s="551"/>
      <c r="H120" s="549">
        <f t="shared" si="20"/>
        <v>0</v>
      </c>
      <c r="I120" s="551"/>
      <c r="J120" s="551"/>
      <c r="K120" s="554"/>
      <c r="L120" s="79"/>
      <c r="M120" s="553">
        <f t="shared" si="21"/>
        <v>0</v>
      </c>
      <c r="N120" s="550"/>
      <c r="O120" s="549"/>
      <c r="P120" s="549">
        <f>N120*1000*17</f>
        <v>0</v>
      </c>
      <c r="Q120" s="549">
        <f t="shared" si="23"/>
        <v>0</v>
      </c>
      <c r="R120" s="548"/>
    </row>
    <row r="121" spans="1:21" s="547" customFormat="1" ht="15" x14ac:dyDescent="0.25">
      <c r="A121" s="83"/>
      <c r="B121" s="83"/>
      <c r="C121" s="551"/>
      <c r="D121" s="79"/>
      <c r="E121" s="79"/>
      <c r="F121" s="551"/>
      <c r="G121" s="551"/>
      <c r="H121" s="551"/>
      <c r="I121" s="552"/>
      <c r="J121" s="551"/>
      <c r="K121" s="549"/>
      <c r="L121" s="79"/>
      <c r="M121" s="79"/>
      <c r="N121" s="550"/>
      <c r="O121" s="549"/>
      <c r="P121" s="549"/>
      <c r="Q121" s="549"/>
      <c r="R121" s="548"/>
    </row>
    <row r="122" spans="1:21" s="568" customFormat="1" ht="16.5" x14ac:dyDescent="0.25">
      <c r="A122" s="574" t="s">
        <v>71</v>
      </c>
      <c r="B122" s="574"/>
      <c r="C122" s="573">
        <f>SUM(C123:C146)</f>
        <v>6783.5</v>
      </c>
      <c r="D122" s="571"/>
      <c r="E122" s="571"/>
      <c r="F122" s="573">
        <f>SUM(F123:F146)</f>
        <v>6800.5</v>
      </c>
      <c r="G122" s="573">
        <f>SUM(G123:G146)</f>
        <v>3178</v>
      </c>
      <c r="H122" s="573">
        <f>SUM(H123:H146)</f>
        <v>9978.5</v>
      </c>
      <c r="I122" s="573"/>
      <c r="J122" s="573"/>
      <c r="K122" s="572"/>
      <c r="L122" s="571">
        <f>SUM(L123:L146)</f>
        <v>256960</v>
      </c>
      <c r="M122" s="571">
        <f>SUM(M123:M146)</f>
        <v>218505432.52293578</v>
      </c>
      <c r="N122" s="571">
        <f>SUM(N123:N146)</f>
        <v>0</v>
      </c>
      <c r="O122" s="571">
        <f>AVERAGE(O123:O146)</f>
        <v>0</v>
      </c>
      <c r="P122" s="571">
        <f>SUM(P123:P146)</f>
        <v>0</v>
      </c>
      <c r="Q122" s="570">
        <f>P122+M122</f>
        <v>218505432.52293578</v>
      </c>
      <c r="R122" s="569"/>
    </row>
    <row r="123" spans="1:21" s="61" customFormat="1" ht="15" x14ac:dyDescent="0.25">
      <c r="A123" s="563" t="s">
        <v>102</v>
      </c>
      <c r="B123" s="563"/>
      <c r="C123" s="562">
        <v>438</v>
      </c>
      <c r="D123" s="579"/>
      <c r="E123" s="82" t="s">
        <v>222</v>
      </c>
      <c r="F123" s="551">
        <v>808</v>
      </c>
      <c r="G123" s="551"/>
      <c r="H123" s="549">
        <f>SUM(F123:G123)</f>
        <v>808</v>
      </c>
      <c r="I123" s="556">
        <v>2.1800000000000002</v>
      </c>
      <c r="J123" s="555">
        <v>0</v>
      </c>
      <c r="K123" s="554">
        <f>(I123-J123)/I123</f>
        <v>1</v>
      </c>
      <c r="L123" s="575">
        <v>7470</v>
      </c>
      <c r="M123" s="553">
        <f>(H123*L123)*K123</f>
        <v>6035760</v>
      </c>
      <c r="N123" s="560"/>
      <c r="O123" s="560"/>
      <c r="P123" s="549">
        <f>N123*1000*17</f>
        <v>0</v>
      </c>
      <c r="Q123" s="549">
        <f>M123+P123</f>
        <v>6035760</v>
      </c>
      <c r="R123" s="559"/>
      <c r="S123" s="566"/>
      <c r="T123" s="421"/>
      <c r="U123" s="421"/>
    </row>
    <row r="124" spans="1:21" s="547" customFormat="1" ht="15" x14ac:dyDescent="0.25">
      <c r="A124" s="563" t="s">
        <v>252</v>
      </c>
      <c r="B124" s="563"/>
      <c r="C124" s="562">
        <v>399</v>
      </c>
      <c r="D124" s="581"/>
      <c r="E124" s="82" t="s">
        <v>222</v>
      </c>
      <c r="F124" s="551">
        <v>570</v>
      </c>
      <c r="G124" s="551"/>
      <c r="H124" s="549">
        <f>SUM(F124:G124)</f>
        <v>570</v>
      </c>
      <c r="I124" s="556">
        <v>2.1800000000000002</v>
      </c>
      <c r="J124" s="555">
        <v>0</v>
      </c>
      <c r="K124" s="554">
        <f>(I124-J124)/I124</f>
        <v>1</v>
      </c>
      <c r="L124" s="575">
        <v>7470</v>
      </c>
      <c r="M124" s="553">
        <f>(H124*L124)*K124</f>
        <v>4257900</v>
      </c>
      <c r="N124" s="560"/>
      <c r="O124" s="560"/>
      <c r="P124" s="549">
        <f>N124*1000*17</f>
        <v>0</v>
      </c>
      <c r="Q124" s="549">
        <f>M124+P124</f>
        <v>4257900</v>
      </c>
      <c r="R124" s="559"/>
      <c r="S124" s="564"/>
      <c r="T124" s="306"/>
      <c r="U124" s="306"/>
    </row>
    <row r="125" spans="1:21" s="547" customFormat="1" ht="15" hidden="1" x14ac:dyDescent="0.25">
      <c r="A125" s="559" t="s">
        <v>72</v>
      </c>
      <c r="B125" s="82"/>
      <c r="C125" s="562"/>
      <c r="D125" s="576"/>
      <c r="E125" s="82"/>
      <c r="F125" s="561"/>
      <c r="G125" s="561"/>
      <c r="H125" s="549">
        <f>F125+G125</f>
        <v>0</v>
      </c>
      <c r="I125" s="556"/>
      <c r="J125" s="582"/>
      <c r="K125" s="554"/>
      <c r="L125" s="553"/>
      <c r="M125" s="553">
        <f>(H125*L125)*K125</f>
        <v>0</v>
      </c>
      <c r="N125" s="560"/>
      <c r="O125" s="560"/>
      <c r="P125" s="549">
        <f>N125*1000*17</f>
        <v>0</v>
      </c>
      <c r="Q125" s="549">
        <f>M125+P125</f>
        <v>0</v>
      </c>
      <c r="R125" s="559"/>
      <c r="S125" s="564"/>
      <c r="T125" s="306"/>
      <c r="U125" s="306"/>
    </row>
    <row r="126" spans="1:21" s="547" customFormat="1" ht="15" x14ac:dyDescent="0.25">
      <c r="A126" s="559" t="s">
        <v>73</v>
      </c>
      <c r="B126" s="82"/>
      <c r="C126" s="562">
        <v>200</v>
      </c>
      <c r="D126" s="576"/>
      <c r="E126" s="82" t="s">
        <v>117</v>
      </c>
      <c r="F126" s="561">
        <v>120</v>
      </c>
      <c r="G126" s="561"/>
      <c r="H126" s="549">
        <f>F126+G126</f>
        <v>120</v>
      </c>
      <c r="I126" s="556"/>
      <c r="J126" s="582"/>
      <c r="K126" s="554"/>
      <c r="L126" s="553"/>
      <c r="M126" s="553">
        <f>(H126*L126)*K126</f>
        <v>0</v>
      </c>
      <c r="N126" s="560"/>
      <c r="O126" s="560"/>
      <c r="P126" s="549">
        <f>N126*1000*17</f>
        <v>0</v>
      </c>
      <c r="Q126" s="549">
        <f>M126+P126</f>
        <v>0</v>
      </c>
      <c r="R126" s="559"/>
      <c r="S126" s="564"/>
      <c r="T126" s="306"/>
      <c r="U126" s="306"/>
    </row>
    <row r="127" spans="1:21" s="547" customFormat="1" ht="15" x14ac:dyDescent="0.25">
      <c r="A127" s="559" t="s">
        <v>100</v>
      </c>
      <c r="B127" s="82"/>
      <c r="C127" s="562">
        <v>350</v>
      </c>
      <c r="D127" s="576"/>
      <c r="E127" s="82" t="s">
        <v>117</v>
      </c>
      <c r="F127" s="561">
        <v>247</v>
      </c>
      <c r="G127" s="561"/>
      <c r="H127" s="549">
        <f>F127+G127</f>
        <v>247</v>
      </c>
      <c r="I127" s="556">
        <v>2.1800000000000002</v>
      </c>
      <c r="J127" s="555">
        <v>0</v>
      </c>
      <c r="K127" s="554">
        <f>(I127-J127)/I127</f>
        <v>1</v>
      </c>
      <c r="L127" s="553">
        <v>33464</v>
      </c>
      <c r="M127" s="553">
        <f>(H127*L127)*K127</f>
        <v>8265608</v>
      </c>
      <c r="N127" s="560"/>
      <c r="O127" s="560"/>
      <c r="P127" s="549">
        <f>N127*1000*17</f>
        <v>0</v>
      </c>
      <c r="Q127" s="549">
        <f>M127+P127</f>
        <v>8265608</v>
      </c>
      <c r="R127" s="559"/>
      <c r="S127" s="564"/>
      <c r="T127" s="306"/>
      <c r="U127" s="306"/>
    </row>
    <row r="128" spans="1:21" s="547" customFormat="1" ht="15" x14ac:dyDescent="0.25">
      <c r="A128" s="559" t="s">
        <v>74</v>
      </c>
      <c r="B128" s="82"/>
      <c r="C128" s="562">
        <v>3129</v>
      </c>
      <c r="D128" s="562">
        <v>0</v>
      </c>
      <c r="E128" s="562">
        <v>0</v>
      </c>
      <c r="F128" s="562">
        <v>3265</v>
      </c>
      <c r="G128" s="562">
        <v>3123</v>
      </c>
      <c r="H128" s="562">
        <v>6388</v>
      </c>
      <c r="I128" s="562">
        <v>4.3600000000000003</v>
      </c>
      <c r="J128" s="562">
        <v>0.65</v>
      </c>
      <c r="K128" s="562">
        <v>1.7018348623853212</v>
      </c>
      <c r="L128" s="562">
        <v>66928</v>
      </c>
      <c r="M128" s="562">
        <v>182607368.33027524</v>
      </c>
      <c r="N128" s="562">
        <v>0</v>
      </c>
      <c r="O128" s="562">
        <v>0</v>
      </c>
      <c r="P128" s="562">
        <v>0</v>
      </c>
      <c r="Q128" s="562">
        <v>182607368.33027524</v>
      </c>
      <c r="R128" s="559"/>
      <c r="S128" s="564"/>
      <c r="T128" s="306"/>
      <c r="U128" s="306"/>
    </row>
    <row r="129" spans="1:21" s="547" customFormat="1" ht="15" x14ac:dyDescent="0.25">
      <c r="A129" s="83" t="s">
        <v>271</v>
      </c>
      <c r="B129" s="83"/>
      <c r="C129" s="551"/>
      <c r="D129" s="79"/>
      <c r="E129" s="82" t="s">
        <v>222</v>
      </c>
      <c r="F129" s="551">
        <v>26</v>
      </c>
      <c r="G129" s="551"/>
      <c r="H129" s="549">
        <f t="shared" ref="H129:H138" si="24">F129+G129</f>
        <v>26</v>
      </c>
      <c r="I129" s="556">
        <v>2.1800000000000002</v>
      </c>
      <c r="J129" s="555">
        <v>0</v>
      </c>
      <c r="K129" s="554">
        <f>(I129-J129)/I129</f>
        <v>1</v>
      </c>
      <c r="L129" s="575">
        <v>7470</v>
      </c>
      <c r="M129" s="553">
        <f t="shared" ref="M129:M138" si="25">(H129*L129)*K129</f>
        <v>194220</v>
      </c>
      <c r="N129" s="550"/>
      <c r="O129" s="549"/>
      <c r="P129" s="549">
        <f t="shared" ref="P129:P138" si="26">N129*1000*17</f>
        <v>0</v>
      </c>
      <c r="Q129" s="549">
        <f t="shared" ref="Q129:Q138" si="27">M129+P129</f>
        <v>194220</v>
      </c>
      <c r="R129" s="548"/>
    </row>
    <row r="130" spans="1:21" s="547" customFormat="1" ht="15" hidden="1" x14ac:dyDescent="0.25">
      <c r="A130" s="83" t="s">
        <v>75</v>
      </c>
      <c r="B130" s="83"/>
      <c r="C130" s="551"/>
      <c r="D130" s="79"/>
      <c r="E130" s="79"/>
      <c r="F130" s="551"/>
      <c r="G130" s="551"/>
      <c r="H130" s="549">
        <f t="shared" si="24"/>
        <v>0</v>
      </c>
      <c r="I130" s="551"/>
      <c r="J130" s="551"/>
      <c r="K130" s="554"/>
      <c r="L130" s="79"/>
      <c r="M130" s="553">
        <f t="shared" si="25"/>
        <v>0</v>
      </c>
      <c r="N130" s="550"/>
      <c r="O130" s="549"/>
      <c r="P130" s="549">
        <f t="shared" si="26"/>
        <v>0</v>
      </c>
      <c r="Q130" s="549">
        <f t="shared" si="27"/>
        <v>0</v>
      </c>
      <c r="R130" s="548"/>
    </row>
    <row r="131" spans="1:21" s="547" customFormat="1" ht="15" hidden="1" x14ac:dyDescent="0.25">
      <c r="A131" s="83" t="s">
        <v>76</v>
      </c>
      <c r="B131" s="83"/>
      <c r="C131" s="551"/>
      <c r="D131" s="79"/>
      <c r="E131" s="79"/>
      <c r="F131" s="551"/>
      <c r="G131" s="551"/>
      <c r="H131" s="549">
        <f t="shared" si="24"/>
        <v>0</v>
      </c>
      <c r="I131" s="551"/>
      <c r="J131" s="551"/>
      <c r="K131" s="554"/>
      <c r="L131" s="79"/>
      <c r="M131" s="553">
        <f t="shared" si="25"/>
        <v>0</v>
      </c>
      <c r="N131" s="550"/>
      <c r="O131" s="549"/>
      <c r="P131" s="549">
        <f t="shared" si="26"/>
        <v>0</v>
      </c>
      <c r="Q131" s="549">
        <f t="shared" si="27"/>
        <v>0</v>
      </c>
      <c r="R131" s="548"/>
    </row>
    <row r="132" spans="1:21" s="547" customFormat="1" ht="15" hidden="1" x14ac:dyDescent="0.25">
      <c r="A132" s="83" t="s">
        <v>250</v>
      </c>
      <c r="B132" s="83"/>
      <c r="C132" s="551"/>
      <c r="D132" s="79"/>
      <c r="E132" s="79"/>
      <c r="F132" s="551"/>
      <c r="G132" s="551"/>
      <c r="H132" s="549">
        <f t="shared" si="24"/>
        <v>0</v>
      </c>
      <c r="I132" s="551"/>
      <c r="J132" s="551"/>
      <c r="K132" s="554"/>
      <c r="L132" s="79"/>
      <c r="M132" s="553">
        <f t="shared" si="25"/>
        <v>0</v>
      </c>
      <c r="N132" s="550"/>
      <c r="O132" s="549"/>
      <c r="P132" s="549">
        <f t="shared" si="26"/>
        <v>0</v>
      </c>
      <c r="Q132" s="549">
        <f t="shared" si="27"/>
        <v>0</v>
      </c>
      <c r="R132" s="548"/>
    </row>
    <row r="133" spans="1:21" s="547" customFormat="1" ht="15" x14ac:dyDescent="0.25">
      <c r="A133" s="559" t="s">
        <v>101</v>
      </c>
      <c r="B133" s="82"/>
      <c r="C133" s="562">
        <v>410</v>
      </c>
      <c r="D133" s="576"/>
      <c r="E133" s="82" t="s">
        <v>222</v>
      </c>
      <c r="F133" s="561">
        <f>623*0.5</f>
        <v>311.5</v>
      </c>
      <c r="G133" s="561"/>
      <c r="H133" s="549">
        <f t="shared" si="24"/>
        <v>311.5</v>
      </c>
      <c r="I133" s="556">
        <v>2.1800000000000002</v>
      </c>
      <c r="J133" s="555">
        <v>0</v>
      </c>
      <c r="K133" s="554">
        <f>(I133-J133)/I133</f>
        <v>1</v>
      </c>
      <c r="L133" s="575">
        <v>7470</v>
      </c>
      <c r="M133" s="553">
        <f t="shared" si="25"/>
        <v>2326905</v>
      </c>
      <c r="N133" s="560"/>
      <c r="O133" s="560"/>
      <c r="P133" s="549">
        <f t="shared" si="26"/>
        <v>0</v>
      </c>
      <c r="Q133" s="549">
        <f t="shared" si="27"/>
        <v>2326905</v>
      </c>
      <c r="R133" s="559"/>
      <c r="S133" s="564"/>
      <c r="T133" s="306"/>
      <c r="U133" s="306"/>
    </row>
    <row r="134" spans="1:21" s="547" customFormat="1" ht="15" hidden="1" x14ac:dyDescent="0.25">
      <c r="A134" s="83" t="s">
        <v>77</v>
      </c>
      <c r="B134" s="83"/>
      <c r="C134" s="551"/>
      <c r="D134" s="79"/>
      <c r="E134" s="79"/>
      <c r="F134" s="551"/>
      <c r="G134" s="551"/>
      <c r="H134" s="549">
        <f t="shared" si="24"/>
        <v>0</v>
      </c>
      <c r="I134" s="551"/>
      <c r="J134" s="551"/>
      <c r="K134" s="554"/>
      <c r="L134" s="79"/>
      <c r="M134" s="553">
        <f t="shared" si="25"/>
        <v>0</v>
      </c>
      <c r="N134" s="550"/>
      <c r="O134" s="549"/>
      <c r="P134" s="549">
        <f t="shared" si="26"/>
        <v>0</v>
      </c>
      <c r="Q134" s="549">
        <f t="shared" si="27"/>
        <v>0</v>
      </c>
      <c r="R134" s="548"/>
    </row>
    <row r="135" spans="1:21" s="547" customFormat="1" ht="15" hidden="1" x14ac:dyDescent="0.25">
      <c r="A135" s="83" t="s">
        <v>78</v>
      </c>
      <c r="B135" s="83"/>
      <c r="C135" s="551"/>
      <c r="D135" s="79"/>
      <c r="E135" s="79"/>
      <c r="F135" s="551"/>
      <c r="G135" s="551"/>
      <c r="H135" s="549">
        <f t="shared" si="24"/>
        <v>0</v>
      </c>
      <c r="I135" s="551"/>
      <c r="J135" s="551"/>
      <c r="K135" s="554"/>
      <c r="L135" s="79"/>
      <c r="M135" s="553">
        <f t="shared" si="25"/>
        <v>0</v>
      </c>
      <c r="N135" s="550"/>
      <c r="O135" s="549"/>
      <c r="P135" s="549">
        <f t="shared" si="26"/>
        <v>0</v>
      </c>
      <c r="Q135" s="549">
        <f t="shared" si="27"/>
        <v>0</v>
      </c>
      <c r="R135" s="548"/>
    </row>
    <row r="136" spans="1:21" s="547" customFormat="1" ht="15" x14ac:dyDescent="0.25">
      <c r="A136" s="559" t="s">
        <v>79</v>
      </c>
      <c r="B136" s="82"/>
      <c r="C136" s="562">
        <v>150</v>
      </c>
      <c r="D136" s="576"/>
      <c r="E136" s="82" t="s">
        <v>117</v>
      </c>
      <c r="F136" s="561">
        <v>110</v>
      </c>
      <c r="G136" s="561"/>
      <c r="H136" s="549">
        <f t="shared" si="24"/>
        <v>110</v>
      </c>
      <c r="I136" s="556">
        <v>2.1800000000000002</v>
      </c>
      <c r="J136" s="555">
        <v>0</v>
      </c>
      <c r="K136" s="554">
        <f>(I136-J136)/I136</f>
        <v>1</v>
      </c>
      <c r="L136" s="553">
        <v>33464</v>
      </c>
      <c r="M136" s="553">
        <f t="shared" si="25"/>
        <v>3681040</v>
      </c>
      <c r="N136" s="560"/>
      <c r="O136" s="560"/>
      <c r="P136" s="549">
        <f t="shared" si="26"/>
        <v>0</v>
      </c>
      <c r="Q136" s="549">
        <f t="shared" si="27"/>
        <v>3681040</v>
      </c>
      <c r="R136" s="559"/>
      <c r="S136" s="564"/>
      <c r="T136" s="306"/>
      <c r="U136" s="306"/>
    </row>
    <row r="137" spans="1:21" s="547" customFormat="1" ht="15" x14ac:dyDescent="0.25">
      <c r="A137" s="559" t="s">
        <v>249</v>
      </c>
      <c r="B137" s="82"/>
      <c r="C137" s="562">
        <v>235</v>
      </c>
      <c r="D137" s="576"/>
      <c r="E137" s="82" t="s">
        <v>222</v>
      </c>
      <c r="F137" s="561">
        <v>185</v>
      </c>
      <c r="G137" s="561"/>
      <c r="H137" s="549">
        <f t="shared" si="24"/>
        <v>185</v>
      </c>
      <c r="I137" s="556">
        <v>2.1800000000000002</v>
      </c>
      <c r="J137" s="555">
        <v>0</v>
      </c>
      <c r="K137" s="554">
        <f>(I137-J137)/I137</f>
        <v>1</v>
      </c>
      <c r="L137" s="575">
        <v>7470</v>
      </c>
      <c r="M137" s="553">
        <f t="shared" si="25"/>
        <v>1381950</v>
      </c>
      <c r="N137" s="560"/>
      <c r="O137" s="560"/>
      <c r="P137" s="549">
        <f t="shared" si="26"/>
        <v>0</v>
      </c>
      <c r="Q137" s="549">
        <f t="shared" si="27"/>
        <v>1381950</v>
      </c>
      <c r="R137" s="559"/>
      <c r="S137" s="564"/>
      <c r="T137" s="306"/>
      <c r="U137" s="306"/>
    </row>
    <row r="138" spans="1:21" s="547" customFormat="1" ht="15" hidden="1" x14ac:dyDescent="0.25">
      <c r="A138" s="83" t="s">
        <v>2</v>
      </c>
      <c r="B138" s="83"/>
      <c r="C138" s="551"/>
      <c r="D138" s="79"/>
      <c r="E138" s="79"/>
      <c r="F138" s="551"/>
      <c r="G138" s="551"/>
      <c r="H138" s="549">
        <f t="shared" si="24"/>
        <v>0</v>
      </c>
      <c r="I138" s="551"/>
      <c r="J138" s="551"/>
      <c r="K138" s="554"/>
      <c r="L138" s="79"/>
      <c r="M138" s="553">
        <f t="shared" si="25"/>
        <v>0</v>
      </c>
      <c r="N138" s="550"/>
      <c r="O138" s="549"/>
      <c r="P138" s="549">
        <f t="shared" si="26"/>
        <v>0</v>
      </c>
      <c r="Q138" s="549">
        <f t="shared" si="27"/>
        <v>0</v>
      </c>
      <c r="R138" s="548"/>
    </row>
    <row r="139" spans="1:21" s="660" customFormat="1" ht="15" x14ac:dyDescent="0.25">
      <c r="A139" s="655" t="s">
        <v>80</v>
      </c>
      <c r="B139" s="655"/>
      <c r="C139" s="648">
        <v>59.5</v>
      </c>
      <c r="D139" s="648">
        <v>0</v>
      </c>
      <c r="E139" s="648">
        <v>0</v>
      </c>
      <c r="F139" s="648">
        <v>85</v>
      </c>
      <c r="G139" s="648">
        <v>0</v>
      </c>
      <c r="H139" s="648">
        <v>85</v>
      </c>
      <c r="I139" s="648">
        <v>4.3600000000000003</v>
      </c>
      <c r="J139" s="648">
        <v>0</v>
      </c>
      <c r="K139" s="648">
        <v>2</v>
      </c>
      <c r="L139" s="648">
        <v>40934</v>
      </c>
      <c r="M139" s="648">
        <v>1544740</v>
      </c>
      <c r="N139" s="648">
        <v>0</v>
      </c>
      <c r="O139" s="648">
        <v>0</v>
      </c>
      <c r="P139" s="648">
        <v>0</v>
      </c>
      <c r="Q139" s="648">
        <v>1544740</v>
      </c>
      <c r="R139" s="659"/>
    </row>
    <row r="140" spans="1:21" s="547" customFormat="1" ht="15" x14ac:dyDescent="0.25">
      <c r="A140" s="563" t="s">
        <v>81</v>
      </c>
      <c r="B140" s="563"/>
      <c r="C140" s="562">
        <v>280</v>
      </c>
      <c r="D140" s="581"/>
      <c r="E140" s="82" t="s">
        <v>270</v>
      </c>
      <c r="F140" s="551">
        <v>200</v>
      </c>
      <c r="G140" s="551"/>
      <c r="H140" s="549">
        <f>SUM(F140:G140)</f>
        <v>200</v>
      </c>
      <c r="I140" s="556">
        <v>2.1800000000000002</v>
      </c>
      <c r="J140" s="555">
        <v>0</v>
      </c>
      <c r="K140" s="554">
        <f>(I140-J140)/I140</f>
        <v>1</v>
      </c>
      <c r="L140" s="575">
        <v>7470</v>
      </c>
      <c r="M140" s="553">
        <f>(H140*L140)*K140</f>
        <v>1494000</v>
      </c>
      <c r="N140" s="560"/>
      <c r="O140" s="560"/>
      <c r="P140" s="549">
        <f>N140*1000*17</f>
        <v>0</v>
      </c>
      <c r="Q140" s="549">
        <f>M140+P140</f>
        <v>1494000</v>
      </c>
      <c r="R140" s="559"/>
      <c r="S140" s="564"/>
      <c r="T140" s="306"/>
      <c r="U140" s="306"/>
    </row>
    <row r="141" spans="1:21" s="547" customFormat="1" ht="15" hidden="1" x14ac:dyDescent="0.25">
      <c r="A141" s="83" t="s">
        <v>248</v>
      </c>
      <c r="B141" s="83"/>
      <c r="C141" s="551"/>
      <c r="D141" s="79"/>
      <c r="E141" s="79"/>
      <c r="F141" s="551"/>
      <c r="G141" s="551"/>
      <c r="H141" s="549">
        <f>F141+G141</f>
        <v>0</v>
      </c>
      <c r="I141" s="551"/>
      <c r="J141" s="551"/>
      <c r="K141" s="554"/>
      <c r="L141" s="79"/>
      <c r="M141" s="553">
        <f>(H141*L141)*K141</f>
        <v>0</v>
      </c>
      <c r="N141" s="550"/>
      <c r="O141" s="549"/>
      <c r="P141" s="549">
        <f>N141*1000*17</f>
        <v>0</v>
      </c>
      <c r="Q141" s="549">
        <f>M141+P141</f>
        <v>0</v>
      </c>
      <c r="R141" s="548"/>
    </row>
    <row r="142" spans="1:21" s="660" customFormat="1" ht="15" x14ac:dyDescent="0.25">
      <c r="A142" s="655" t="s">
        <v>247</v>
      </c>
      <c r="B142" s="655"/>
      <c r="C142" s="648">
        <v>25</v>
      </c>
      <c r="D142" s="648">
        <v>0</v>
      </c>
      <c r="E142" s="648">
        <v>0</v>
      </c>
      <c r="F142" s="648">
        <v>10</v>
      </c>
      <c r="G142" s="648">
        <v>20</v>
      </c>
      <c r="H142" s="648">
        <v>30</v>
      </c>
      <c r="I142" s="648">
        <v>4.3600000000000003</v>
      </c>
      <c r="J142" s="648">
        <v>3.056</v>
      </c>
      <c r="K142" s="648">
        <v>1.298165137614679</v>
      </c>
      <c r="L142" s="648">
        <v>14940</v>
      </c>
      <c r="M142" s="648">
        <v>119245.87155963303</v>
      </c>
      <c r="N142" s="648">
        <v>0</v>
      </c>
      <c r="O142" s="648">
        <v>0</v>
      </c>
      <c r="P142" s="648">
        <v>0</v>
      </c>
      <c r="Q142" s="648">
        <v>119245.87155963303</v>
      </c>
      <c r="R142" s="659"/>
    </row>
    <row r="143" spans="1:21" s="61" customFormat="1" ht="15" x14ac:dyDescent="0.25">
      <c r="A143" s="580" t="s">
        <v>219</v>
      </c>
      <c r="B143" s="559"/>
      <c r="C143" s="562">
        <v>50</v>
      </c>
      <c r="D143" s="579"/>
      <c r="E143" s="82" t="s">
        <v>222</v>
      </c>
      <c r="F143" s="561">
        <v>15</v>
      </c>
      <c r="G143" s="561">
        <v>35</v>
      </c>
      <c r="H143" s="578">
        <f>SUM(F143:G143)</f>
        <v>50</v>
      </c>
      <c r="I143" s="556">
        <v>2.1800000000000002</v>
      </c>
      <c r="J143" s="555">
        <v>0.65</v>
      </c>
      <c r="K143" s="554">
        <f>(I143-J143)/I143</f>
        <v>0.70183486238532111</v>
      </c>
      <c r="L143" s="575">
        <v>7470</v>
      </c>
      <c r="M143" s="577">
        <f>(H143*L143)*K143</f>
        <v>262135.32110091744</v>
      </c>
      <c r="N143" s="560"/>
      <c r="O143" s="560"/>
      <c r="P143" s="549">
        <f>N143*1000*17</f>
        <v>0</v>
      </c>
      <c r="Q143" s="549">
        <f>M143+P143</f>
        <v>262135.32110091744</v>
      </c>
      <c r="R143" s="559"/>
      <c r="S143" s="566"/>
      <c r="T143" s="421"/>
      <c r="U143" s="421"/>
    </row>
    <row r="144" spans="1:21" s="547" customFormat="1" ht="15" x14ac:dyDescent="0.25">
      <c r="A144" s="559" t="s">
        <v>113</v>
      </c>
      <c r="B144" s="82"/>
      <c r="C144" s="562">
        <v>378</v>
      </c>
      <c r="D144" s="576"/>
      <c r="E144" s="82" t="s">
        <v>222</v>
      </c>
      <c r="F144" s="561">
        <v>255</v>
      </c>
      <c r="G144" s="561"/>
      <c r="H144" s="549">
        <f>F144+G144</f>
        <v>255</v>
      </c>
      <c r="I144" s="556">
        <v>2.1800000000000002</v>
      </c>
      <c r="J144" s="555">
        <v>0</v>
      </c>
      <c r="K144" s="554">
        <f>(I144-J144)/I144</f>
        <v>1</v>
      </c>
      <c r="L144" s="575">
        <v>7470</v>
      </c>
      <c r="M144" s="553">
        <f>(H144*L144)*K144</f>
        <v>1904850</v>
      </c>
      <c r="N144" s="560"/>
      <c r="O144" s="560"/>
      <c r="P144" s="549">
        <f>N144*1000*17</f>
        <v>0</v>
      </c>
      <c r="Q144" s="549">
        <f>M144+P144</f>
        <v>1904850</v>
      </c>
      <c r="R144" s="559"/>
      <c r="S144" s="564"/>
      <c r="T144" s="306"/>
      <c r="U144" s="306"/>
    </row>
    <row r="145" spans="1:21" s="547" customFormat="1" ht="15" x14ac:dyDescent="0.25">
      <c r="A145" s="559" t="s">
        <v>82</v>
      </c>
      <c r="B145" s="82"/>
      <c r="C145" s="562">
        <v>680</v>
      </c>
      <c r="D145" s="576"/>
      <c r="E145" s="82" t="s">
        <v>222</v>
      </c>
      <c r="F145" s="561">
        <v>593</v>
      </c>
      <c r="G145" s="561"/>
      <c r="H145" s="549">
        <f>F145+G145</f>
        <v>593</v>
      </c>
      <c r="I145" s="556">
        <v>2.1800000000000002</v>
      </c>
      <c r="J145" s="555">
        <v>0</v>
      </c>
      <c r="K145" s="554">
        <f>(I145-J145)/I145</f>
        <v>1</v>
      </c>
      <c r="L145" s="575">
        <v>7470</v>
      </c>
      <c r="M145" s="553">
        <f>(H145*L145)*K145</f>
        <v>4429710</v>
      </c>
      <c r="N145" s="560"/>
      <c r="O145" s="560"/>
      <c r="P145" s="549">
        <f>N145*1000*17</f>
        <v>0</v>
      </c>
      <c r="Q145" s="549">
        <f>M145+P145</f>
        <v>4429710</v>
      </c>
      <c r="R145" s="559"/>
      <c r="S145" s="564"/>
      <c r="T145" s="306"/>
      <c r="U145" s="306"/>
    </row>
    <row r="146" spans="1:21" s="547" customFormat="1" ht="15" x14ac:dyDescent="0.25">
      <c r="A146" s="83"/>
      <c r="B146" s="83"/>
      <c r="C146" s="551"/>
      <c r="D146" s="79"/>
      <c r="E146" s="79"/>
      <c r="F146" s="551"/>
      <c r="G146" s="551"/>
      <c r="H146" s="551"/>
      <c r="I146" s="552"/>
      <c r="J146" s="551"/>
      <c r="K146" s="549"/>
      <c r="L146" s="79"/>
      <c r="M146" s="79"/>
      <c r="N146" s="550"/>
      <c r="O146" s="549"/>
      <c r="P146" s="549"/>
      <c r="Q146" s="549"/>
      <c r="R146" s="548"/>
    </row>
    <row r="147" spans="1:21" s="568" customFormat="1" ht="16.5" x14ac:dyDescent="0.25">
      <c r="A147" s="574" t="s">
        <v>83</v>
      </c>
      <c r="B147" s="574"/>
      <c r="C147" s="573" t="e">
        <f>SUM(#REF!,#REF!)</f>
        <v>#REF!</v>
      </c>
      <c r="D147" s="571"/>
      <c r="E147" s="571"/>
      <c r="F147" s="573" t="e">
        <f>SUM(#REF!,#REF!)</f>
        <v>#REF!</v>
      </c>
      <c r="G147" s="573" t="e">
        <f>SUM(#REF!,#REF!)</f>
        <v>#REF!</v>
      </c>
      <c r="H147" s="573" t="e">
        <f>SUM(#REF!,#REF!)</f>
        <v>#REF!</v>
      </c>
      <c r="I147" s="573"/>
      <c r="J147" s="573"/>
      <c r="K147" s="572"/>
      <c r="L147" s="571" t="e">
        <f>SUM(#REF!,#REF!)</f>
        <v>#REF!</v>
      </c>
      <c r="M147" s="571" t="e">
        <f>SUM(#REF!,#REF!)</f>
        <v>#REF!</v>
      </c>
      <c r="N147" s="571" t="e">
        <f>SUM(#REF!,#REF!)</f>
        <v>#REF!</v>
      </c>
      <c r="O147" s="571" t="e">
        <f>AVERAGE(#REF!,#REF!)</f>
        <v>#REF!</v>
      </c>
      <c r="P147" s="571" t="e">
        <f>SUM(#REF!,#REF!)</f>
        <v>#REF!</v>
      </c>
      <c r="Q147" s="570" t="e">
        <f>P147+M147</f>
        <v>#REF!</v>
      </c>
      <c r="R147" s="569"/>
    </row>
    <row r="148" spans="1:21" s="547" customFormat="1" ht="15" hidden="1" x14ac:dyDescent="0.25">
      <c r="A148" s="83" t="s">
        <v>84</v>
      </c>
      <c r="B148" s="83"/>
      <c r="C148" s="551"/>
      <c r="D148" s="79"/>
      <c r="E148" s="79"/>
      <c r="F148" s="551"/>
      <c r="G148" s="551"/>
      <c r="H148" s="549">
        <f t="shared" ref="H148:H171" si="28">F148+G148</f>
        <v>0</v>
      </c>
      <c r="I148" s="551"/>
      <c r="J148" s="551"/>
      <c r="K148" s="554"/>
      <c r="L148" s="79"/>
      <c r="M148" s="553">
        <f t="shared" ref="M148:M171" si="29">(H148*L148)*K148</f>
        <v>0</v>
      </c>
      <c r="N148" s="550"/>
      <c r="O148" s="549"/>
      <c r="P148" s="549">
        <f t="shared" ref="P148:P171" si="30">N148*1000*17</f>
        <v>0</v>
      </c>
      <c r="Q148" s="549">
        <f t="shared" ref="Q148:Q171" si="31">M148+P148</f>
        <v>0</v>
      </c>
      <c r="R148" s="548"/>
    </row>
    <row r="149" spans="1:21" s="547" customFormat="1" ht="15" hidden="1" x14ac:dyDescent="0.25">
      <c r="A149" s="83" t="s">
        <v>85</v>
      </c>
      <c r="B149" s="83"/>
      <c r="C149" s="551"/>
      <c r="D149" s="79"/>
      <c r="E149" s="79"/>
      <c r="F149" s="551"/>
      <c r="G149" s="551"/>
      <c r="H149" s="549">
        <f t="shared" si="28"/>
        <v>0</v>
      </c>
      <c r="I149" s="551"/>
      <c r="J149" s="551"/>
      <c r="K149" s="554"/>
      <c r="L149" s="79"/>
      <c r="M149" s="553">
        <f t="shared" si="29"/>
        <v>0</v>
      </c>
      <c r="N149" s="550"/>
      <c r="O149" s="549"/>
      <c r="P149" s="549">
        <f t="shared" si="30"/>
        <v>0</v>
      </c>
      <c r="Q149" s="549">
        <f t="shared" si="31"/>
        <v>0</v>
      </c>
      <c r="R149" s="548"/>
    </row>
    <row r="150" spans="1:21" s="547" customFormat="1" ht="15" hidden="1" x14ac:dyDescent="0.25">
      <c r="A150" s="83" t="s">
        <v>185</v>
      </c>
      <c r="B150" s="83"/>
      <c r="C150" s="551"/>
      <c r="D150" s="79"/>
      <c r="E150" s="79"/>
      <c r="F150" s="551"/>
      <c r="G150" s="551"/>
      <c r="H150" s="549">
        <f t="shared" si="28"/>
        <v>0</v>
      </c>
      <c r="I150" s="551"/>
      <c r="J150" s="551"/>
      <c r="K150" s="554"/>
      <c r="L150" s="79"/>
      <c r="M150" s="553">
        <f t="shared" si="29"/>
        <v>0</v>
      </c>
      <c r="N150" s="550"/>
      <c r="O150" s="549"/>
      <c r="P150" s="549">
        <f t="shared" si="30"/>
        <v>0</v>
      </c>
      <c r="Q150" s="549">
        <f t="shared" si="31"/>
        <v>0</v>
      </c>
      <c r="R150" s="548"/>
    </row>
    <row r="151" spans="1:21" s="547" customFormat="1" ht="15" hidden="1" x14ac:dyDescent="0.25">
      <c r="A151" s="83" t="s">
        <v>86</v>
      </c>
      <c r="B151" s="83"/>
      <c r="C151" s="551"/>
      <c r="D151" s="79"/>
      <c r="E151" s="79"/>
      <c r="F151" s="551"/>
      <c r="G151" s="551"/>
      <c r="H151" s="549">
        <f t="shared" si="28"/>
        <v>0</v>
      </c>
      <c r="I151" s="551"/>
      <c r="J151" s="551"/>
      <c r="K151" s="554"/>
      <c r="L151" s="79"/>
      <c r="M151" s="553">
        <f t="shared" si="29"/>
        <v>0</v>
      </c>
      <c r="N151" s="550"/>
      <c r="O151" s="549"/>
      <c r="P151" s="549">
        <f t="shared" si="30"/>
        <v>0</v>
      </c>
      <c r="Q151" s="549">
        <f t="shared" si="31"/>
        <v>0</v>
      </c>
      <c r="R151" s="548"/>
    </row>
    <row r="152" spans="1:21" s="547" customFormat="1" ht="15" hidden="1" x14ac:dyDescent="0.25">
      <c r="A152" s="83" t="s">
        <v>87</v>
      </c>
      <c r="B152" s="83"/>
      <c r="C152" s="551"/>
      <c r="D152" s="79"/>
      <c r="E152" s="79"/>
      <c r="F152" s="551"/>
      <c r="G152" s="551"/>
      <c r="H152" s="549">
        <f t="shared" si="28"/>
        <v>0</v>
      </c>
      <c r="I152" s="551"/>
      <c r="J152" s="551"/>
      <c r="K152" s="554"/>
      <c r="L152" s="79"/>
      <c r="M152" s="553">
        <f t="shared" si="29"/>
        <v>0</v>
      </c>
      <c r="N152" s="550"/>
      <c r="O152" s="549"/>
      <c r="P152" s="549">
        <f t="shared" si="30"/>
        <v>0</v>
      </c>
      <c r="Q152" s="549">
        <f t="shared" si="31"/>
        <v>0</v>
      </c>
      <c r="R152" s="548"/>
    </row>
    <row r="153" spans="1:21" s="547" customFormat="1" ht="15" hidden="1" x14ac:dyDescent="0.25">
      <c r="A153" s="83" t="s">
        <v>108</v>
      </c>
      <c r="B153" s="83"/>
      <c r="C153" s="551"/>
      <c r="D153" s="79"/>
      <c r="E153" s="79"/>
      <c r="F153" s="551"/>
      <c r="G153" s="551"/>
      <c r="H153" s="549">
        <f t="shared" si="28"/>
        <v>0</v>
      </c>
      <c r="I153" s="551"/>
      <c r="J153" s="551"/>
      <c r="K153" s="554"/>
      <c r="L153" s="79"/>
      <c r="M153" s="553">
        <f t="shared" si="29"/>
        <v>0</v>
      </c>
      <c r="N153" s="550"/>
      <c r="O153" s="549"/>
      <c r="P153" s="549">
        <f t="shared" si="30"/>
        <v>0</v>
      </c>
      <c r="Q153" s="549">
        <f t="shared" si="31"/>
        <v>0</v>
      </c>
      <c r="R153" s="548"/>
    </row>
    <row r="154" spans="1:21" s="547" customFormat="1" ht="15" hidden="1" x14ac:dyDescent="0.25">
      <c r="A154" s="83" t="s">
        <v>89</v>
      </c>
      <c r="B154" s="83"/>
      <c r="C154" s="551"/>
      <c r="D154" s="79"/>
      <c r="E154" s="79"/>
      <c r="F154" s="551"/>
      <c r="G154" s="551"/>
      <c r="H154" s="549">
        <f t="shared" si="28"/>
        <v>0</v>
      </c>
      <c r="I154" s="551"/>
      <c r="J154" s="551"/>
      <c r="K154" s="554"/>
      <c r="L154" s="79"/>
      <c r="M154" s="553">
        <f t="shared" si="29"/>
        <v>0</v>
      </c>
      <c r="N154" s="550"/>
      <c r="O154" s="549"/>
      <c r="P154" s="549">
        <f t="shared" si="30"/>
        <v>0</v>
      </c>
      <c r="Q154" s="549">
        <f t="shared" si="31"/>
        <v>0</v>
      </c>
      <c r="R154" s="548"/>
    </row>
    <row r="155" spans="1:21" s="557" customFormat="1" ht="15" x14ac:dyDescent="0.25">
      <c r="A155" s="563" t="s">
        <v>103</v>
      </c>
      <c r="B155" s="563"/>
      <c r="C155" s="562">
        <v>1066</v>
      </c>
      <c r="D155" s="567"/>
      <c r="E155" s="82" t="s">
        <v>222</v>
      </c>
      <c r="F155" s="551">
        <v>569</v>
      </c>
      <c r="G155" s="551">
        <v>150</v>
      </c>
      <c r="H155" s="549">
        <f t="shared" si="28"/>
        <v>719</v>
      </c>
      <c r="I155" s="556">
        <v>2.4500000000000002</v>
      </c>
      <c r="J155" s="555">
        <v>0</v>
      </c>
      <c r="K155" s="554">
        <f>(I155-J155)/I155</f>
        <v>1</v>
      </c>
      <c r="L155" s="74">
        <v>7470</v>
      </c>
      <c r="M155" s="553">
        <f t="shared" si="29"/>
        <v>5370930</v>
      </c>
      <c r="N155" s="560"/>
      <c r="O155" s="560"/>
      <c r="P155" s="549">
        <f t="shared" si="30"/>
        <v>0</v>
      </c>
      <c r="Q155" s="549">
        <f t="shared" si="31"/>
        <v>5370930</v>
      </c>
      <c r="R155" s="559"/>
      <c r="S155" s="558"/>
      <c r="T155" s="472"/>
      <c r="U155" s="472"/>
    </row>
    <row r="156" spans="1:21" s="547" customFormat="1" ht="15" hidden="1" x14ac:dyDescent="0.25">
      <c r="A156" s="83" t="s">
        <v>217</v>
      </c>
      <c r="B156" s="83"/>
      <c r="C156" s="551"/>
      <c r="D156" s="79"/>
      <c r="E156" s="79"/>
      <c r="F156" s="551"/>
      <c r="G156" s="551"/>
      <c r="H156" s="549">
        <f t="shared" si="28"/>
        <v>0</v>
      </c>
      <c r="I156" s="551"/>
      <c r="J156" s="551"/>
      <c r="K156" s="554"/>
      <c r="L156" s="79"/>
      <c r="M156" s="553">
        <f t="shared" si="29"/>
        <v>0</v>
      </c>
      <c r="N156" s="550"/>
      <c r="O156" s="549"/>
      <c r="P156" s="549">
        <f t="shared" si="30"/>
        <v>0</v>
      </c>
      <c r="Q156" s="549">
        <f t="shared" si="31"/>
        <v>0</v>
      </c>
      <c r="R156" s="548"/>
    </row>
    <row r="157" spans="1:21" s="547" customFormat="1" ht="15" hidden="1" x14ac:dyDescent="0.25">
      <c r="A157" s="83" t="s">
        <v>92</v>
      </c>
      <c r="B157" s="83"/>
      <c r="C157" s="551"/>
      <c r="D157" s="79"/>
      <c r="E157" s="79"/>
      <c r="F157" s="551"/>
      <c r="G157" s="551"/>
      <c r="H157" s="549">
        <f t="shared" si="28"/>
        <v>0</v>
      </c>
      <c r="I157" s="551"/>
      <c r="J157" s="551"/>
      <c r="K157" s="554"/>
      <c r="L157" s="79"/>
      <c r="M157" s="553">
        <f t="shared" si="29"/>
        <v>0</v>
      </c>
      <c r="N157" s="550"/>
      <c r="O157" s="549"/>
      <c r="P157" s="549">
        <f t="shared" si="30"/>
        <v>0</v>
      </c>
      <c r="Q157" s="549">
        <f t="shared" si="31"/>
        <v>0</v>
      </c>
      <c r="R157" s="548"/>
    </row>
    <row r="158" spans="1:21" s="547" customFormat="1" ht="15" hidden="1" x14ac:dyDescent="0.25">
      <c r="A158" s="83" t="s">
        <v>0</v>
      </c>
      <c r="B158" s="83"/>
      <c r="C158" s="551"/>
      <c r="D158" s="79"/>
      <c r="E158" s="79"/>
      <c r="F158" s="551"/>
      <c r="G158" s="551"/>
      <c r="H158" s="549">
        <f t="shared" si="28"/>
        <v>0</v>
      </c>
      <c r="I158" s="551"/>
      <c r="J158" s="551"/>
      <c r="K158" s="554"/>
      <c r="L158" s="79"/>
      <c r="M158" s="553">
        <f t="shared" si="29"/>
        <v>0</v>
      </c>
      <c r="N158" s="550"/>
      <c r="O158" s="549"/>
      <c r="P158" s="549">
        <f t="shared" si="30"/>
        <v>0</v>
      </c>
      <c r="Q158" s="549">
        <f t="shared" si="31"/>
        <v>0</v>
      </c>
      <c r="R158" s="548"/>
    </row>
    <row r="159" spans="1:21" s="61" customFormat="1" ht="15" x14ac:dyDescent="0.25">
      <c r="A159" s="563" t="s">
        <v>94</v>
      </c>
      <c r="B159" s="563"/>
      <c r="C159" s="562">
        <v>27</v>
      </c>
      <c r="D159" s="567"/>
      <c r="E159" s="82" t="s">
        <v>222</v>
      </c>
      <c r="F159" s="551">
        <v>68</v>
      </c>
      <c r="G159" s="551"/>
      <c r="H159" s="549">
        <f t="shared" si="28"/>
        <v>68</v>
      </c>
      <c r="I159" s="556">
        <v>2.48</v>
      </c>
      <c r="J159" s="555">
        <v>0</v>
      </c>
      <c r="K159" s="554">
        <f>(I159-J159)/I159</f>
        <v>1</v>
      </c>
      <c r="L159" s="565">
        <v>7470</v>
      </c>
      <c r="M159" s="553">
        <f t="shared" si="29"/>
        <v>507960</v>
      </c>
      <c r="N159" s="560"/>
      <c r="O159" s="560"/>
      <c r="P159" s="549">
        <f t="shared" si="30"/>
        <v>0</v>
      </c>
      <c r="Q159" s="549">
        <f t="shared" si="31"/>
        <v>507960</v>
      </c>
      <c r="R159" s="559"/>
      <c r="S159" s="566"/>
      <c r="T159" s="421"/>
      <c r="U159" s="421"/>
    </row>
    <row r="160" spans="1:21" s="547" customFormat="1" ht="15" hidden="1" x14ac:dyDescent="0.25">
      <c r="A160" s="83" t="s">
        <v>107</v>
      </c>
      <c r="B160" s="83"/>
      <c r="C160" s="551"/>
      <c r="D160" s="79"/>
      <c r="E160" s="79"/>
      <c r="F160" s="551"/>
      <c r="G160" s="551"/>
      <c r="H160" s="549">
        <f t="shared" si="28"/>
        <v>0</v>
      </c>
      <c r="I160" s="551"/>
      <c r="J160" s="551"/>
      <c r="K160" s="554"/>
      <c r="L160" s="79"/>
      <c r="M160" s="553">
        <f t="shared" si="29"/>
        <v>0</v>
      </c>
      <c r="N160" s="550"/>
      <c r="O160" s="549"/>
      <c r="P160" s="549">
        <f t="shared" si="30"/>
        <v>0</v>
      </c>
      <c r="Q160" s="549">
        <f t="shared" si="31"/>
        <v>0</v>
      </c>
      <c r="R160" s="548"/>
    </row>
    <row r="161" spans="1:21" s="547" customFormat="1" ht="15" hidden="1" x14ac:dyDescent="0.25">
      <c r="A161" s="83" t="s">
        <v>3</v>
      </c>
      <c r="B161" s="83"/>
      <c r="C161" s="551"/>
      <c r="D161" s="79"/>
      <c r="E161" s="79"/>
      <c r="F161" s="551"/>
      <c r="G161" s="551"/>
      <c r="H161" s="549">
        <f t="shared" si="28"/>
        <v>0</v>
      </c>
      <c r="I161" s="551"/>
      <c r="J161" s="551"/>
      <c r="K161" s="554"/>
      <c r="L161" s="79"/>
      <c r="M161" s="553">
        <f t="shared" si="29"/>
        <v>0</v>
      </c>
      <c r="N161" s="550"/>
      <c r="O161" s="549"/>
      <c r="P161" s="549">
        <f t="shared" si="30"/>
        <v>0</v>
      </c>
      <c r="Q161" s="549">
        <f t="shared" si="31"/>
        <v>0</v>
      </c>
      <c r="R161" s="548"/>
    </row>
    <row r="162" spans="1:21" s="557" customFormat="1" ht="15" x14ac:dyDescent="0.25">
      <c r="A162" s="563" t="s">
        <v>88</v>
      </c>
      <c r="B162" s="563"/>
      <c r="C162" s="562">
        <v>320</v>
      </c>
      <c r="D162" s="561"/>
      <c r="E162" s="82" t="s">
        <v>117</v>
      </c>
      <c r="F162" s="551">
        <v>260</v>
      </c>
      <c r="G162" s="551"/>
      <c r="H162" s="549">
        <f t="shared" si="28"/>
        <v>260</v>
      </c>
      <c r="I162" s="556">
        <v>2.4500000000000002</v>
      </c>
      <c r="J162" s="555">
        <v>0</v>
      </c>
      <c r="K162" s="554">
        <f>(I162-J162)/I162</f>
        <v>1</v>
      </c>
      <c r="L162" s="74">
        <v>33464</v>
      </c>
      <c r="M162" s="553">
        <f t="shared" si="29"/>
        <v>8700640</v>
      </c>
      <c r="N162" s="560"/>
      <c r="O162" s="560"/>
      <c r="P162" s="549">
        <f t="shared" si="30"/>
        <v>0</v>
      </c>
      <c r="Q162" s="549">
        <f t="shared" si="31"/>
        <v>8700640</v>
      </c>
      <c r="R162" s="559"/>
      <c r="S162" s="558"/>
      <c r="T162" s="472"/>
      <c r="U162" s="472"/>
    </row>
    <row r="163" spans="1:21" s="547" customFormat="1" ht="15" hidden="1" x14ac:dyDescent="0.25">
      <c r="A163" s="83" t="s">
        <v>111</v>
      </c>
      <c r="B163" s="83"/>
      <c r="C163" s="551"/>
      <c r="D163" s="79"/>
      <c r="E163" s="79"/>
      <c r="F163" s="551"/>
      <c r="G163" s="551"/>
      <c r="H163" s="549">
        <f t="shared" si="28"/>
        <v>0</v>
      </c>
      <c r="I163" s="551"/>
      <c r="J163" s="551"/>
      <c r="K163" s="554"/>
      <c r="L163" s="79"/>
      <c r="M163" s="553">
        <f t="shared" si="29"/>
        <v>0</v>
      </c>
      <c r="N163" s="550"/>
      <c r="O163" s="549"/>
      <c r="P163" s="549">
        <f t="shared" si="30"/>
        <v>0</v>
      </c>
      <c r="Q163" s="549">
        <f t="shared" si="31"/>
        <v>0</v>
      </c>
      <c r="R163" s="548"/>
    </row>
    <row r="164" spans="1:21" s="547" customFormat="1" ht="15" hidden="1" x14ac:dyDescent="0.25">
      <c r="A164" s="83" t="s">
        <v>98</v>
      </c>
      <c r="B164" s="83"/>
      <c r="C164" s="551"/>
      <c r="D164" s="79"/>
      <c r="E164" s="79"/>
      <c r="F164" s="551"/>
      <c r="G164" s="551"/>
      <c r="H164" s="549">
        <f t="shared" si="28"/>
        <v>0</v>
      </c>
      <c r="I164" s="551"/>
      <c r="J164" s="551"/>
      <c r="K164" s="554"/>
      <c r="L164" s="79"/>
      <c r="M164" s="553">
        <f t="shared" si="29"/>
        <v>0</v>
      </c>
      <c r="N164" s="550"/>
      <c r="O164" s="549"/>
      <c r="P164" s="549">
        <f t="shared" si="30"/>
        <v>0</v>
      </c>
      <c r="Q164" s="549">
        <f t="shared" si="31"/>
        <v>0</v>
      </c>
      <c r="R164" s="548"/>
    </row>
    <row r="165" spans="1:21" s="547" customFormat="1" ht="15" x14ac:dyDescent="0.25">
      <c r="A165" s="563" t="s">
        <v>110</v>
      </c>
      <c r="B165" s="563"/>
      <c r="C165" s="562">
        <v>35</v>
      </c>
      <c r="D165" s="561"/>
      <c r="E165" s="82" t="s">
        <v>222</v>
      </c>
      <c r="F165" s="551">
        <v>44</v>
      </c>
      <c r="G165" s="551"/>
      <c r="H165" s="549">
        <f t="shared" si="28"/>
        <v>44</v>
      </c>
      <c r="I165" s="556">
        <v>2.4500000000000002</v>
      </c>
      <c r="J165" s="555">
        <f>I165*0.5</f>
        <v>1.2250000000000001</v>
      </c>
      <c r="K165" s="554">
        <f>(I165-J165)/I165</f>
        <v>0.5</v>
      </c>
      <c r="L165" s="565">
        <v>7470</v>
      </c>
      <c r="M165" s="553">
        <f t="shared" si="29"/>
        <v>164340</v>
      </c>
      <c r="N165" s="560"/>
      <c r="O165" s="560"/>
      <c r="P165" s="549">
        <f t="shared" si="30"/>
        <v>0</v>
      </c>
      <c r="Q165" s="549">
        <f t="shared" si="31"/>
        <v>164340</v>
      </c>
      <c r="R165" s="559"/>
      <c r="S165" s="564"/>
      <c r="T165" s="306"/>
      <c r="U165" s="306"/>
    </row>
    <row r="166" spans="1:21" s="547" customFormat="1" ht="15" hidden="1" x14ac:dyDescent="0.25">
      <c r="A166" s="83" t="s">
        <v>109</v>
      </c>
      <c r="B166" s="83"/>
      <c r="C166" s="551"/>
      <c r="D166" s="79"/>
      <c r="E166" s="79"/>
      <c r="F166" s="551"/>
      <c r="G166" s="551"/>
      <c r="H166" s="549">
        <f t="shared" si="28"/>
        <v>0</v>
      </c>
      <c r="I166" s="551"/>
      <c r="J166" s="551"/>
      <c r="K166" s="554"/>
      <c r="L166" s="79"/>
      <c r="M166" s="553">
        <f t="shared" si="29"/>
        <v>0</v>
      </c>
      <c r="N166" s="550"/>
      <c r="O166" s="549"/>
      <c r="P166" s="549">
        <f t="shared" si="30"/>
        <v>0</v>
      </c>
      <c r="Q166" s="549">
        <f t="shared" si="31"/>
        <v>0</v>
      </c>
      <c r="R166" s="548"/>
    </row>
    <row r="167" spans="1:21" s="557" customFormat="1" ht="15" x14ac:dyDescent="0.25">
      <c r="A167" s="563" t="s">
        <v>90</v>
      </c>
      <c r="B167" s="563"/>
      <c r="C167" s="562">
        <v>12</v>
      </c>
      <c r="D167" s="561"/>
      <c r="E167" s="82" t="s">
        <v>222</v>
      </c>
      <c r="F167" s="551">
        <v>157</v>
      </c>
      <c r="G167" s="551"/>
      <c r="H167" s="549">
        <f t="shared" si="28"/>
        <v>157</v>
      </c>
      <c r="I167" s="556">
        <v>2.4500000000000002</v>
      </c>
      <c r="J167" s="555">
        <v>0</v>
      </c>
      <c r="K167" s="554">
        <f>(I167-J167)/I167</f>
        <v>1</v>
      </c>
      <c r="L167" s="74">
        <v>7470</v>
      </c>
      <c r="M167" s="553">
        <f t="shared" si="29"/>
        <v>1172790</v>
      </c>
      <c r="N167" s="560"/>
      <c r="O167" s="560"/>
      <c r="P167" s="549">
        <f t="shared" si="30"/>
        <v>0</v>
      </c>
      <c r="Q167" s="549">
        <f t="shared" si="31"/>
        <v>1172790</v>
      </c>
      <c r="R167" s="559"/>
      <c r="S167" s="558"/>
      <c r="T167" s="472"/>
      <c r="U167" s="472"/>
    </row>
    <row r="168" spans="1:21" s="547" customFormat="1" ht="15" hidden="1" x14ac:dyDescent="0.25">
      <c r="A168" s="83" t="s">
        <v>237</v>
      </c>
      <c r="B168" s="83"/>
      <c r="C168" s="551"/>
      <c r="D168" s="79"/>
      <c r="E168" s="79"/>
      <c r="F168" s="551"/>
      <c r="G168" s="551"/>
      <c r="H168" s="549">
        <f t="shared" si="28"/>
        <v>0</v>
      </c>
      <c r="I168" s="551"/>
      <c r="J168" s="551"/>
      <c r="K168" s="554"/>
      <c r="L168" s="79"/>
      <c r="M168" s="553">
        <f t="shared" si="29"/>
        <v>0</v>
      </c>
      <c r="N168" s="550"/>
      <c r="O168" s="549"/>
      <c r="P168" s="549">
        <f t="shared" si="30"/>
        <v>0</v>
      </c>
      <c r="Q168" s="549">
        <f t="shared" si="31"/>
        <v>0</v>
      </c>
      <c r="R168" s="548"/>
    </row>
    <row r="169" spans="1:21" s="547" customFormat="1" ht="15" x14ac:dyDescent="0.25">
      <c r="A169" s="83" t="s">
        <v>91</v>
      </c>
      <c r="B169" s="83"/>
      <c r="C169" s="551">
        <v>372</v>
      </c>
      <c r="D169" s="79"/>
      <c r="E169" s="79" t="s">
        <v>222</v>
      </c>
      <c r="F169" s="551">
        <v>614</v>
      </c>
      <c r="G169" s="551"/>
      <c r="H169" s="549">
        <f t="shared" si="28"/>
        <v>614</v>
      </c>
      <c r="I169" s="556">
        <v>2.4500000000000002</v>
      </c>
      <c r="J169" s="555">
        <v>0</v>
      </c>
      <c r="K169" s="554">
        <f>(I169-J169)/I169</f>
        <v>1</v>
      </c>
      <c r="L169" s="74">
        <v>7470</v>
      </c>
      <c r="M169" s="553">
        <f t="shared" si="29"/>
        <v>4586580</v>
      </c>
      <c r="N169" s="550"/>
      <c r="O169" s="549"/>
      <c r="P169" s="549">
        <f t="shared" si="30"/>
        <v>0</v>
      </c>
      <c r="Q169" s="549">
        <f t="shared" si="31"/>
        <v>4586580</v>
      </c>
      <c r="R169" s="548"/>
    </row>
    <row r="170" spans="1:21" s="547" customFormat="1" ht="15" hidden="1" x14ac:dyDescent="0.25">
      <c r="A170" s="83" t="s">
        <v>269</v>
      </c>
      <c r="B170" s="83"/>
      <c r="C170" s="551"/>
      <c r="D170" s="79"/>
      <c r="E170" s="79"/>
      <c r="F170" s="551"/>
      <c r="G170" s="551"/>
      <c r="H170" s="549">
        <f t="shared" si="28"/>
        <v>0</v>
      </c>
      <c r="I170" s="551"/>
      <c r="J170" s="551"/>
      <c r="K170" s="554"/>
      <c r="L170" s="79"/>
      <c r="M170" s="553">
        <f t="shared" si="29"/>
        <v>0</v>
      </c>
      <c r="N170" s="550"/>
      <c r="O170" s="549"/>
      <c r="P170" s="549">
        <f t="shared" si="30"/>
        <v>0</v>
      </c>
      <c r="Q170" s="549">
        <f t="shared" si="31"/>
        <v>0</v>
      </c>
      <c r="R170" s="548"/>
    </row>
    <row r="171" spans="1:21" s="547" customFormat="1" ht="15" hidden="1" x14ac:dyDescent="0.25">
      <c r="A171" s="83" t="s">
        <v>93</v>
      </c>
      <c r="B171" s="83"/>
      <c r="C171" s="551"/>
      <c r="D171" s="79"/>
      <c r="E171" s="79"/>
      <c r="F171" s="551"/>
      <c r="G171" s="551"/>
      <c r="H171" s="549">
        <f t="shared" si="28"/>
        <v>0</v>
      </c>
      <c r="I171" s="551"/>
      <c r="J171" s="551"/>
      <c r="K171" s="554"/>
      <c r="L171" s="79"/>
      <c r="M171" s="553">
        <f t="shared" si="29"/>
        <v>0</v>
      </c>
      <c r="N171" s="550"/>
      <c r="O171" s="549"/>
      <c r="P171" s="549">
        <f t="shared" si="30"/>
        <v>0</v>
      </c>
      <c r="Q171" s="549">
        <f t="shared" si="31"/>
        <v>0</v>
      </c>
      <c r="R171" s="548"/>
    </row>
    <row r="172" spans="1:21" s="547" customFormat="1" ht="15" x14ac:dyDescent="0.25">
      <c r="A172" s="83"/>
      <c r="B172" s="83"/>
      <c r="C172" s="551"/>
      <c r="D172" s="79"/>
      <c r="E172" s="79"/>
      <c r="F172" s="551"/>
      <c r="G172" s="551"/>
      <c r="H172" s="551"/>
      <c r="I172" s="552"/>
      <c r="J172" s="551"/>
      <c r="K172" s="549"/>
      <c r="L172" s="79"/>
      <c r="M172" s="79"/>
      <c r="N172" s="550"/>
      <c r="O172" s="549"/>
      <c r="P172" s="549"/>
      <c r="Q172" s="549">
        <f>P172+M172</f>
        <v>0</v>
      </c>
      <c r="R172" s="548"/>
    </row>
    <row r="173" spans="1:21" ht="42" customHeight="1" x14ac:dyDescent="0.25">
      <c r="A173" s="772" t="s">
        <v>268</v>
      </c>
      <c r="B173" s="772"/>
      <c r="C173" s="772"/>
      <c r="D173" s="772"/>
      <c r="E173" s="772"/>
      <c r="F173" s="772"/>
      <c r="G173" s="772"/>
      <c r="H173" s="772"/>
      <c r="I173" s="772"/>
      <c r="J173" s="772"/>
      <c r="K173" s="772"/>
      <c r="L173" s="772"/>
      <c r="M173" s="772"/>
      <c r="N173" s="772"/>
      <c r="O173" s="772"/>
      <c r="P173" s="772"/>
      <c r="Q173" s="772"/>
      <c r="R173" s="772"/>
    </row>
  </sheetData>
  <mergeCells count="19">
    <mergeCell ref="A1:R1"/>
    <mergeCell ref="A2:R2"/>
    <mergeCell ref="A3:R3"/>
    <mergeCell ref="A4:R4"/>
    <mergeCell ref="A11:R11"/>
    <mergeCell ref="A173:R173"/>
    <mergeCell ref="R12:R14"/>
    <mergeCell ref="L13:M13"/>
    <mergeCell ref="N13:P13"/>
    <mergeCell ref="D12:D14"/>
    <mergeCell ref="E12:E14"/>
    <mergeCell ref="F12:H13"/>
    <mergeCell ref="I12:J13"/>
    <mergeCell ref="K12:K14"/>
    <mergeCell ref="A12:A14"/>
    <mergeCell ref="C12:C14"/>
    <mergeCell ref="B12:B14"/>
    <mergeCell ref="L12:Q12"/>
    <mergeCell ref="Q13:Q14"/>
  </mergeCells>
  <phoneticPr fontId="53" type="noConversion"/>
  <printOptions horizontalCentered="1"/>
  <pageMargins left="0.1" right="1.1000000000000001" top="0.4" bottom="0.4" header="0" footer="0"/>
  <pageSetup paperSize="5" scale="55" fitToHeight="0" orientation="landscape"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0B02D-F857-A74E-B488-C3020C9AAF18}">
  <sheetPr>
    <tabColor rgb="FFFFFF00"/>
  </sheetPr>
  <dimension ref="A1:T119"/>
  <sheetViews>
    <sheetView view="pageBreakPreview" topLeftCell="A11" zoomScale="95" zoomScaleNormal="100" zoomScaleSheetLayoutView="95" workbookViewId="0">
      <pane ySplit="4" topLeftCell="A91" activePane="bottomLeft" state="frozen"/>
      <selection activeCell="A11" sqref="A11"/>
      <selection pane="bottomLeft" activeCell="A96" sqref="A96:A113"/>
    </sheetView>
  </sheetViews>
  <sheetFormatPr defaultColWidth="9.140625" defaultRowHeight="18.95" customHeight="1" x14ac:dyDescent="0.25"/>
  <cols>
    <col min="1" max="1" width="20.140625" style="10" customWidth="1"/>
    <col min="2" max="2" width="19.42578125" style="10" hidden="1" customWidth="1"/>
    <col min="3" max="3" width="16.42578125" style="252" customWidth="1"/>
    <col min="4" max="4" width="15.85546875" style="252" customWidth="1"/>
    <col min="5" max="5" width="25.140625" style="251" customWidth="1"/>
    <col min="6" max="6" width="17.140625" style="250" customWidth="1"/>
    <col min="7" max="7" width="16.85546875" style="250" customWidth="1"/>
    <col min="8" max="8" width="19.140625" style="249" customWidth="1"/>
    <col min="9" max="9" width="15" style="10" customWidth="1"/>
    <col min="10" max="10" width="13.42578125" style="248" customWidth="1"/>
    <col min="11" max="11" width="11.140625" style="248" customWidth="1"/>
    <col min="12" max="12" width="25.140625" style="247" customWidth="1"/>
    <col min="13" max="13" width="26.42578125" style="247" customWidth="1"/>
    <col min="14" max="14" width="16.28515625" style="247" customWidth="1"/>
    <col min="15" max="15" width="12.140625" style="247" customWidth="1"/>
    <col min="16" max="16" width="29.42578125" style="15" customWidth="1"/>
    <col min="17" max="17" width="21.85546875" style="10" customWidth="1"/>
    <col min="18" max="18" width="9.140625" style="10"/>
    <col min="19" max="19" width="22.7109375" style="10" customWidth="1"/>
    <col min="20" max="20" width="29.28515625" style="10" customWidth="1"/>
    <col min="21" max="16384" width="9.140625" style="10"/>
  </cols>
  <sheetData>
    <row r="1" spans="1:20" ht="33.75" customHeight="1" x14ac:dyDescent="0.25">
      <c r="A1" s="781" t="s">
        <v>265</v>
      </c>
      <c r="B1" s="781"/>
      <c r="C1" s="781"/>
      <c r="D1" s="781"/>
      <c r="E1" s="781"/>
      <c r="F1" s="781"/>
      <c r="G1" s="781"/>
      <c r="H1" s="781"/>
      <c r="I1" s="781"/>
      <c r="J1" s="781"/>
      <c r="K1" s="781"/>
      <c r="L1" s="781"/>
      <c r="M1" s="781"/>
      <c r="N1" s="781"/>
      <c r="O1" s="781"/>
      <c r="P1" s="781"/>
      <c r="Q1" s="781"/>
    </row>
    <row r="2" spans="1:20" ht="18.95" customHeight="1" x14ac:dyDescent="0.25">
      <c r="A2" s="781" t="s">
        <v>264</v>
      </c>
      <c r="B2" s="781"/>
      <c r="C2" s="781"/>
      <c r="D2" s="781"/>
      <c r="E2" s="781"/>
      <c r="F2" s="781"/>
      <c r="G2" s="781"/>
      <c r="H2" s="781"/>
      <c r="I2" s="781"/>
      <c r="J2" s="781"/>
      <c r="K2" s="781"/>
      <c r="L2" s="781"/>
      <c r="M2" s="781"/>
      <c r="N2" s="781"/>
      <c r="O2" s="781"/>
      <c r="P2" s="781"/>
      <c r="Q2" s="781"/>
    </row>
    <row r="3" spans="1:20" ht="18.95" customHeight="1" x14ac:dyDescent="0.25">
      <c r="A3" s="781" t="s">
        <v>263</v>
      </c>
      <c r="B3" s="781"/>
      <c r="C3" s="781"/>
      <c r="D3" s="781"/>
      <c r="E3" s="781"/>
      <c r="F3" s="781"/>
      <c r="G3" s="781"/>
      <c r="H3" s="781"/>
      <c r="I3" s="781"/>
      <c r="J3" s="781"/>
      <c r="K3" s="781"/>
      <c r="L3" s="781"/>
      <c r="M3" s="781"/>
      <c r="N3" s="781"/>
      <c r="O3" s="781"/>
      <c r="P3" s="781"/>
      <c r="Q3" s="781"/>
    </row>
    <row r="4" spans="1:20" ht="18.95" customHeight="1" x14ac:dyDescent="0.25">
      <c r="A4" s="781" t="s">
        <v>262</v>
      </c>
      <c r="B4" s="781"/>
      <c r="C4" s="781"/>
      <c r="D4" s="781"/>
      <c r="E4" s="781"/>
      <c r="F4" s="781"/>
      <c r="G4" s="781"/>
      <c r="H4" s="781"/>
      <c r="I4" s="781"/>
      <c r="J4" s="781"/>
      <c r="K4" s="781"/>
      <c r="L4" s="781"/>
      <c r="M4" s="781"/>
      <c r="N4" s="781"/>
      <c r="O4" s="781"/>
      <c r="P4" s="781"/>
      <c r="Q4" s="781"/>
    </row>
    <row r="5" spans="1:20" ht="18.95" customHeight="1" thickBot="1" x14ac:dyDescent="0.3">
      <c r="A5" s="182"/>
      <c r="B5" s="182"/>
      <c r="C5" s="285"/>
      <c r="D5" s="285"/>
      <c r="E5" s="281"/>
      <c r="F5" s="285"/>
      <c r="G5" s="285"/>
      <c r="H5" s="284"/>
      <c r="I5" s="182"/>
      <c r="J5" s="281"/>
      <c r="K5" s="281"/>
      <c r="L5" s="281"/>
      <c r="M5" s="281"/>
      <c r="N5" s="281"/>
      <c r="O5" s="281"/>
      <c r="P5" s="182"/>
      <c r="Q5" s="182"/>
    </row>
    <row r="6" spans="1:20" ht="18.95" customHeight="1" x14ac:dyDescent="0.25">
      <c r="A6" s="213" t="s">
        <v>229</v>
      </c>
      <c r="B6" s="541"/>
      <c r="C6" s="442"/>
      <c r="D6" s="442"/>
      <c r="E6" s="438"/>
      <c r="F6" s="442"/>
      <c r="G6" s="442"/>
      <c r="H6" s="441"/>
      <c r="I6" s="203"/>
      <c r="J6" s="438"/>
      <c r="K6" s="438"/>
      <c r="L6" s="440"/>
      <c r="M6" s="439" t="s">
        <v>180</v>
      </c>
      <c r="N6" s="438"/>
      <c r="O6" s="438"/>
      <c r="P6" s="203"/>
      <c r="Q6" s="201"/>
    </row>
    <row r="7" spans="1:20" ht="18.95" customHeight="1" x14ac:dyDescent="0.25">
      <c r="A7" s="193"/>
      <c r="B7" s="275"/>
      <c r="C7" s="285"/>
      <c r="D7" s="285"/>
      <c r="E7" s="281"/>
      <c r="F7" s="285"/>
      <c r="G7" s="285"/>
      <c r="H7" s="284"/>
      <c r="I7" s="182"/>
      <c r="J7" s="281"/>
      <c r="K7" s="281"/>
      <c r="L7" s="434"/>
      <c r="M7" s="437" t="s">
        <v>179</v>
      </c>
      <c r="N7" s="436"/>
      <c r="O7" s="436" t="s">
        <v>178</v>
      </c>
      <c r="P7" s="182"/>
      <c r="Q7" s="180"/>
    </row>
    <row r="8" spans="1:20" ht="18.95" customHeight="1" x14ac:dyDescent="0.25">
      <c r="A8" s="193"/>
      <c r="B8" s="540"/>
      <c r="C8" s="285"/>
      <c r="D8" s="285"/>
      <c r="E8" s="281"/>
      <c r="F8" s="285"/>
      <c r="G8" s="285"/>
      <c r="H8" s="284"/>
      <c r="I8" s="182"/>
      <c r="J8" s="435"/>
      <c r="K8" s="281"/>
      <c r="L8" s="434"/>
      <c r="M8" s="433" t="s">
        <v>177</v>
      </c>
      <c r="N8" s="432"/>
      <c r="O8" s="281"/>
      <c r="P8" s="190" t="s">
        <v>176</v>
      </c>
      <c r="Q8" s="180"/>
    </row>
    <row r="9" spans="1:20" ht="18.95" customHeight="1" x14ac:dyDescent="0.25">
      <c r="A9" s="193"/>
      <c r="B9" s="540"/>
      <c r="C9" s="285"/>
      <c r="D9" s="285"/>
      <c r="E9" s="281"/>
      <c r="F9" s="285"/>
      <c r="G9" s="285"/>
      <c r="H9" s="284"/>
      <c r="I9" s="182"/>
      <c r="J9" s="435"/>
      <c r="K9" s="281"/>
      <c r="L9" s="434"/>
      <c r="M9" s="433" t="s">
        <v>175</v>
      </c>
      <c r="N9" s="432"/>
      <c r="O9" s="281"/>
      <c r="P9" s="190" t="s">
        <v>174</v>
      </c>
      <c r="Q9" s="180"/>
    </row>
    <row r="10" spans="1:20" ht="18.95" customHeight="1" thickBot="1" x14ac:dyDescent="0.3">
      <c r="A10" s="193"/>
      <c r="B10" s="540"/>
      <c r="C10" s="285"/>
      <c r="D10" s="285"/>
      <c r="E10" s="281"/>
      <c r="F10" s="285"/>
      <c r="G10" s="285"/>
      <c r="H10" s="284"/>
      <c r="I10" s="182"/>
      <c r="J10" s="281"/>
      <c r="K10" s="281"/>
      <c r="L10" s="434"/>
      <c r="M10" s="433" t="s">
        <v>173</v>
      </c>
      <c r="N10" s="432"/>
      <c r="O10" s="281"/>
      <c r="P10" s="190" t="s">
        <v>172</v>
      </c>
      <c r="Q10" s="180"/>
    </row>
    <row r="11" spans="1:20" ht="18.95" customHeight="1" thickBot="1" x14ac:dyDescent="0.3">
      <c r="A11" s="784" t="s">
        <v>171</v>
      </c>
      <c r="B11" s="785"/>
      <c r="C11" s="785"/>
      <c r="D11" s="785"/>
      <c r="E11" s="785"/>
      <c r="F11" s="785"/>
      <c r="G11" s="785"/>
      <c r="H11" s="785"/>
      <c r="I11" s="785"/>
      <c r="J11" s="785"/>
      <c r="K11" s="785"/>
      <c r="L11" s="785"/>
      <c r="M11" s="785"/>
      <c r="N11" s="785"/>
      <c r="O11" s="785"/>
      <c r="P11" s="785"/>
      <c r="Q11" s="786"/>
    </row>
    <row r="12" spans="1:20" ht="18.95" customHeight="1" x14ac:dyDescent="0.25">
      <c r="A12" s="740" t="s">
        <v>170</v>
      </c>
      <c r="B12" s="752" t="s">
        <v>169</v>
      </c>
      <c r="C12" s="787" t="s">
        <v>168</v>
      </c>
      <c r="D12" s="787" t="s">
        <v>167</v>
      </c>
      <c r="E12" s="790" t="s">
        <v>166</v>
      </c>
      <c r="F12" s="793" t="s">
        <v>165</v>
      </c>
      <c r="G12" s="794"/>
      <c r="H12" s="795"/>
      <c r="I12" s="760" t="s">
        <v>164</v>
      </c>
      <c r="J12" s="761"/>
      <c r="K12" s="790" t="s">
        <v>163</v>
      </c>
      <c r="L12" s="799" t="s">
        <v>162</v>
      </c>
      <c r="M12" s="799"/>
      <c r="N12" s="799"/>
      <c r="O12" s="799"/>
      <c r="P12" s="799"/>
      <c r="Q12" s="749" t="s">
        <v>161</v>
      </c>
    </row>
    <row r="13" spans="1:20" ht="30" customHeight="1" x14ac:dyDescent="0.25">
      <c r="A13" s="741"/>
      <c r="B13" s="746"/>
      <c r="C13" s="788"/>
      <c r="D13" s="788"/>
      <c r="E13" s="791"/>
      <c r="F13" s="796"/>
      <c r="G13" s="797"/>
      <c r="H13" s="798"/>
      <c r="I13" s="762"/>
      <c r="J13" s="763"/>
      <c r="K13" s="791"/>
      <c r="L13" s="782" t="s">
        <v>160</v>
      </c>
      <c r="M13" s="782"/>
      <c r="N13" s="773" t="s">
        <v>228</v>
      </c>
      <c r="O13" s="773"/>
      <c r="P13" s="773"/>
      <c r="Q13" s="750"/>
    </row>
    <row r="14" spans="1:20" ht="45.75" customHeight="1" thickBot="1" x14ac:dyDescent="0.3">
      <c r="A14" s="742"/>
      <c r="B14" s="753"/>
      <c r="C14" s="789"/>
      <c r="D14" s="789"/>
      <c r="E14" s="792"/>
      <c r="F14" s="431" t="s">
        <v>158</v>
      </c>
      <c r="G14" s="431" t="s">
        <v>157</v>
      </c>
      <c r="H14" s="430" t="s">
        <v>156</v>
      </c>
      <c r="I14" s="162" t="s">
        <v>155</v>
      </c>
      <c r="J14" s="429" t="s">
        <v>154</v>
      </c>
      <c r="K14" s="792"/>
      <c r="L14" s="428" t="s">
        <v>153</v>
      </c>
      <c r="M14" s="428" t="s">
        <v>152</v>
      </c>
      <c r="N14" s="427" t="s">
        <v>151</v>
      </c>
      <c r="O14" s="427" t="s">
        <v>150</v>
      </c>
      <c r="P14" s="160" t="s">
        <v>149</v>
      </c>
      <c r="Q14" s="751"/>
    </row>
    <row r="15" spans="1:20" s="60" customFormat="1" ht="19.5" customHeight="1" x14ac:dyDescent="0.25">
      <c r="A15" s="423" t="s">
        <v>148</v>
      </c>
      <c r="B15" s="423" t="s">
        <v>240</v>
      </c>
      <c r="C15" s="426" t="s">
        <v>147</v>
      </c>
      <c r="D15" s="426" t="s">
        <v>227</v>
      </c>
      <c r="E15" s="424" t="s">
        <v>146</v>
      </c>
      <c r="F15" s="426" t="s">
        <v>145</v>
      </c>
      <c r="G15" s="426" t="s">
        <v>144</v>
      </c>
      <c r="H15" s="425" t="s">
        <v>143</v>
      </c>
      <c r="I15" s="423" t="s">
        <v>142</v>
      </c>
      <c r="J15" s="424" t="s">
        <v>141</v>
      </c>
      <c r="K15" s="424" t="s">
        <v>140</v>
      </c>
      <c r="L15" s="424" t="s">
        <v>139</v>
      </c>
      <c r="M15" s="424" t="s">
        <v>138</v>
      </c>
      <c r="N15" s="424" t="s">
        <v>137</v>
      </c>
      <c r="O15" s="424" t="s">
        <v>136</v>
      </c>
      <c r="P15" s="423" t="s">
        <v>135</v>
      </c>
      <c r="Q15" s="422" t="s">
        <v>226</v>
      </c>
      <c r="T15" s="421"/>
    </row>
    <row r="16" spans="1:20" s="534" customFormat="1" ht="25.5" customHeight="1" x14ac:dyDescent="0.25">
      <c r="A16" s="539" t="s">
        <v>132</v>
      </c>
      <c r="B16" s="538"/>
      <c r="C16" s="537" t="e">
        <f>#REF!+#REF!+#REF!+#REF!+#REF!</f>
        <v>#REF!</v>
      </c>
      <c r="D16" s="537" t="e">
        <f>#REF!+#REF!+#REF!+#REF!+#REF!</f>
        <v>#REF!</v>
      </c>
      <c r="E16" s="537"/>
      <c r="F16" s="537" t="e">
        <f>#REF!+#REF!+#REF!+#REF!+#REF!</f>
        <v>#REF!</v>
      </c>
      <c r="G16" s="537" t="e">
        <f>#REF!+#REF!+#REF!+#REF!+#REF!</f>
        <v>#REF!</v>
      </c>
      <c r="H16" s="537" t="e">
        <f>#REF!+#REF!+#REF!+#REF!+#REF!</f>
        <v>#REF!</v>
      </c>
      <c r="I16" s="537"/>
      <c r="J16" s="537"/>
      <c r="K16" s="537"/>
      <c r="L16" s="537"/>
      <c r="M16" s="537"/>
      <c r="N16" s="537" t="e">
        <f>#REF!+#REF!+#REF!+#REF!+#REF!</f>
        <v>#REF!</v>
      </c>
      <c r="O16" s="537"/>
      <c r="P16" s="537" t="e">
        <f>#REF!+#REF!+#REF!+#REF!+#REF!</f>
        <v>#REF!</v>
      </c>
      <c r="Q16" s="536"/>
      <c r="T16" s="535"/>
    </row>
    <row r="17" spans="1:20" s="60" customFormat="1" ht="24.95" customHeight="1" x14ac:dyDescent="0.25">
      <c r="A17" s="533" t="s">
        <v>131</v>
      </c>
      <c r="B17" s="531"/>
      <c r="C17" s="367"/>
      <c r="D17" s="365"/>
      <c r="E17" s="366"/>
      <c r="F17" s="365"/>
      <c r="G17" s="364"/>
      <c r="H17" s="363"/>
      <c r="I17" s="362"/>
      <c r="J17" s="361"/>
      <c r="K17" s="360"/>
      <c r="L17" s="359"/>
      <c r="M17" s="358"/>
      <c r="N17" s="357"/>
      <c r="O17" s="357"/>
      <c r="P17" s="356"/>
      <c r="Q17" s="355"/>
      <c r="T17" s="306"/>
    </row>
    <row r="18" spans="1:20" s="60" customFormat="1" ht="24.95" customHeight="1" x14ac:dyDescent="0.25">
      <c r="A18" s="528" t="s">
        <v>7</v>
      </c>
      <c r="B18" s="529"/>
      <c r="C18" s="331">
        <v>800</v>
      </c>
      <c r="D18" s="329">
        <v>784.99990000000003</v>
      </c>
      <c r="E18" s="330" t="s">
        <v>119</v>
      </c>
      <c r="F18" s="329"/>
      <c r="G18" s="329">
        <v>784.99990000000003</v>
      </c>
      <c r="H18" s="328">
        <f>SUM(F18:G18)</f>
        <v>784.99990000000003</v>
      </c>
      <c r="I18" s="530">
        <v>3.51</v>
      </c>
      <c r="J18" s="326">
        <f>3.51*0.8</f>
        <v>2.8079999999999998</v>
      </c>
      <c r="K18" s="325">
        <f>(I18-J18)/I18</f>
        <v>0.2</v>
      </c>
      <c r="L18" s="324">
        <v>43768</v>
      </c>
      <c r="M18" s="323">
        <f>(H18*L18)*K18</f>
        <v>6871575.1246400001</v>
      </c>
      <c r="N18" s="379">
        <f>H18*I18*K18</f>
        <v>551.06992979999995</v>
      </c>
      <c r="O18" s="379">
        <v>17</v>
      </c>
      <c r="P18" s="380">
        <f>N18*1000*17</f>
        <v>9368188.8065999988</v>
      </c>
      <c r="Q18" s="528"/>
      <c r="T18" s="306"/>
    </row>
    <row r="19" spans="1:20" s="457" customFormat="1" ht="24.95" customHeight="1" x14ac:dyDescent="0.25">
      <c r="A19" s="542" t="s">
        <v>261</v>
      </c>
      <c r="B19" s="543"/>
      <c r="C19" s="444">
        <v>300</v>
      </c>
      <c r="D19" s="445">
        <v>250</v>
      </c>
      <c r="E19" s="446">
        <v>0</v>
      </c>
      <c r="F19" s="445">
        <v>151</v>
      </c>
      <c r="G19" s="445">
        <v>99</v>
      </c>
      <c r="H19" s="447">
        <v>250</v>
      </c>
      <c r="I19" s="544">
        <v>7.02</v>
      </c>
      <c r="J19" s="450">
        <v>5.2649999999999997</v>
      </c>
      <c r="K19" s="451">
        <v>0.5</v>
      </c>
      <c r="L19" s="452">
        <v>51238</v>
      </c>
      <c r="M19" s="453">
        <v>3371188</v>
      </c>
      <c r="N19" s="461">
        <v>287.82</v>
      </c>
      <c r="O19" s="461">
        <v>34</v>
      </c>
      <c r="P19" s="462">
        <v>4892940</v>
      </c>
      <c r="Q19" s="542"/>
      <c r="T19" s="458"/>
    </row>
    <row r="20" spans="1:20" s="60" customFormat="1" ht="24.95" customHeight="1" x14ac:dyDescent="0.25">
      <c r="A20" s="528" t="s">
        <v>9</v>
      </c>
      <c r="B20" s="529"/>
      <c r="C20" s="331">
        <v>10</v>
      </c>
      <c r="D20" s="329">
        <v>12.5</v>
      </c>
      <c r="E20" s="330" t="s">
        <v>122</v>
      </c>
      <c r="F20" s="329"/>
      <c r="G20" s="329">
        <v>12.5</v>
      </c>
      <c r="H20" s="328">
        <f>SUM(F20:G20)</f>
        <v>12.5</v>
      </c>
      <c r="I20" s="530">
        <v>3.51</v>
      </c>
      <c r="J20" s="326">
        <f>3.51*0.6</f>
        <v>2.1059999999999999</v>
      </c>
      <c r="K20" s="325">
        <f>(I20-J20)/I20</f>
        <v>0.4</v>
      </c>
      <c r="L20" s="324">
        <v>43768</v>
      </c>
      <c r="M20" s="323">
        <f>(H20*L20)*K20</f>
        <v>218840</v>
      </c>
      <c r="N20" s="379">
        <f>H20*I20*K20</f>
        <v>17.55</v>
      </c>
      <c r="O20" s="379">
        <v>17</v>
      </c>
      <c r="P20" s="380">
        <f>N20*1000*17</f>
        <v>298350</v>
      </c>
      <c r="Q20" s="528"/>
      <c r="T20" s="306"/>
    </row>
    <row r="21" spans="1:20" s="457" customFormat="1" ht="24.95" customHeight="1" x14ac:dyDescent="0.25">
      <c r="A21" s="542" t="s">
        <v>11</v>
      </c>
      <c r="B21" s="543"/>
      <c r="C21" s="444">
        <v>961</v>
      </c>
      <c r="D21" s="444">
        <v>843</v>
      </c>
      <c r="E21" s="444">
        <v>0</v>
      </c>
      <c r="F21" s="444">
        <v>726</v>
      </c>
      <c r="G21" s="444">
        <v>117</v>
      </c>
      <c r="H21" s="444">
        <v>843</v>
      </c>
      <c r="I21" s="444">
        <v>7.02</v>
      </c>
      <c r="J21" s="444">
        <v>5.2649999999999997</v>
      </c>
      <c r="K21" s="444">
        <v>0.5</v>
      </c>
      <c r="L21" s="444">
        <v>51238</v>
      </c>
      <c r="M21" s="444">
        <v>14088161.600000001</v>
      </c>
      <c r="N21" s="444">
        <v>1141.452</v>
      </c>
      <c r="O21" s="444">
        <v>34</v>
      </c>
      <c r="P21" s="444">
        <v>19404684</v>
      </c>
      <c r="Q21" s="542"/>
      <c r="T21" s="458"/>
    </row>
    <row r="22" spans="1:20" s="60" customFormat="1" ht="24.95" customHeight="1" x14ac:dyDescent="0.25">
      <c r="A22" s="528" t="s">
        <v>260</v>
      </c>
      <c r="B22" s="529"/>
      <c r="C22" s="331">
        <v>73</v>
      </c>
      <c r="D22" s="329">
        <v>69</v>
      </c>
      <c r="E22" s="330" t="s">
        <v>120</v>
      </c>
      <c r="F22" s="329">
        <v>27.2</v>
      </c>
      <c r="G22" s="329">
        <v>41.3</v>
      </c>
      <c r="H22" s="328">
        <f>SUM(F22:G22)</f>
        <v>68.5</v>
      </c>
      <c r="I22" s="530">
        <v>3.51</v>
      </c>
      <c r="J22" s="326">
        <f>3.51*0.9</f>
        <v>3.1589999999999998</v>
      </c>
      <c r="K22" s="325">
        <f>(I22-J22)/I22</f>
        <v>0.1</v>
      </c>
      <c r="L22" s="324">
        <v>7470</v>
      </c>
      <c r="M22" s="323">
        <f>(H22*L22)*K22</f>
        <v>51169.5</v>
      </c>
      <c r="N22" s="379">
        <f>H22*I22*K22</f>
        <v>24.043499999999998</v>
      </c>
      <c r="O22" s="379">
        <v>17</v>
      </c>
      <c r="P22" s="380">
        <f>N22*1000*17</f>
        <v>408739.49999999994</v>
      </c>
      <c r="Q22" s="528"/>
      <c r="T22" s="306"/>
    </row>
    <row r="23" spans="1:20" s="60" customFormat="1" ht="24.95" customHeight="1" x14ac:dyDescent="0.25">
      <c r="A23" s="528" t="s">
        <v>12</v>
      </c>
      <c r="B23" s="529"/>
      <c r="C23" s="331">
        <v>60</v>
      </c>
      <c r="D23" s="329">
        <v>35</v>
      </c>
      <c r="E23" s="330" t="s">
        <v>120</v>
      </c>
      <c r="F23" s="329">
        <v>21</v>
      </c>
      <c r="G23" s="329">
        <v>14</v>
      </c>
      <c r="H23" s="328">
        <f>SUM(F23:G23)</f>
        <v>35</v>
      </c>
      <c r="I23" s="530">
        <v>3.51</v>
      </c>
      <c r="J23" s="326">
        <f>3.51*0.9</f>
        <v>3.1589999999999998</v>
      </c>
      <c r="K23" s="325">
        <f>(I23-J23)/I23</f>
        <v>0.1</v>
      </c>
      <c r="L23" s="324">
        <v>7470</v>
      </c>
      <c r="M23" s="323">
        <f>(H23*L23)*K23</f>
        <v>26145</v>
      </c>
      <c r="N23" s="379">
        <f>H23*I23*K23</f>
        <v>12.285</v>
      </c>
      <c r="O23" s="379">
        <v>17</v>
      </c>
      <c r="P23" s="380">
        <f>N23*1000*17</f>
        <v>208845</v>
      </c>
      <c r="Q23" s="528"/>
      <c r="T23" s="306"/>
    </row>
    <row r="24" spans="1:20" s="457" customFormat="1" ht="24.95" customHeight="1" x14ac:dyDescent="0.25">
      <c r="A24" s="542" t="s">
        <v>18</v>
      </c>
      <c r="B24" s="543"/>
      <c r="C24" s="444">
        <v>93</v>
      </c>
      <c r="D24" s="444">
        <v>84</v>
      </c>
      <c r="E24" s="444">
        <v>0</v>
      </c>
      <c r="F24" s="444">
        <v>12.05</v>
      </c>
      <c r="G24" s="444">
        <v>72.2</v>
      </c>
      <c r="H24" s="444">
        <v>84.25</v>
      </c>
      <c r="I24" s="444">
        <v>7.02</v>
      </c>
      <c r="J24" s="444">
        <v>5.2649999999999997</v>
      </c>
      <c r="K24" s="444">
        <v>0.5</v>
      </c>
      <c r="L24" s="444">
        <v>51238</v>
      </c>
      <c r="M24" s="444">
        <v>1370230.35</v>
      </c>
      <c r="N24" s="444">
        <v>111.70574999999999</v>
      </c>
      <c r="O24" s="444">
        <v>34</v>
      </c>
      <c r="P24" s="444">
        <v>1898997.75</v>
      </c>
      <c r="Q24" s="542"/>
      <c r="T24" s="458"/>
    </row>
    <row r="25" spans="1:20" s="457" customFormat="1" ht="24.95" customHeight="1" x14ac:dyDescent="0.25">
      <c r="A25" s="542" t="s">
        <v>21</v>
      </c>
      <c r="B25" s="543"/>
      <c r="C25" s="444">
        <v>320</v>
      </c>
      <c r="D25" s="444">
        <v>303</v>
      </c>
      <c r="E25" s="444">
        <v>0</v>
      </c>
      <c r="F25" s="444">
        <v>89</v>
      </c>
      <c r="G25" s="444">
        <v>214</v>
      </c>
      <c r="H25" s="444">
        <v>303</v>
      </c>
      <c r="I25" s="444">
        <v>7.02</v>
      </c>
      <c r="J25" s="444">
        <v>5.2649999999999997</v>
      </c>
      <c r="K25" s="444">
        <v>0.5</v>
      </c>
      <c r="L25" s="444">
        <v>51238</v>
      </c>
      <c r="M25" s="444">
        <v>3796263.6</v>
      </c>
      <c r="N25" s="444">
        <v>330.642</v>
      </c>
      <c r="O25" s="444">
        <v>34</v>
      </c>
      <c r="P25" s="444">
        <v>5620914</v>
      </c>
      <c r="Q25" s="542"/>
      <c r="T25" s="458"/>
    </row>
    <row r="26" spans="1:20" s="457" customFormat="1" ht="24.95" customHeight="1" x14ac:dyDescent="0.25">
      <c r="A26" s="542" t="s">
        <v>24</v>
      </c>
      <c r="B26" s="543"/>
      <c r="C26" s="444">
        <v>33.5</v>
      </c>
      <c r="D26" s="445">
        <v>64</v>
      </c>
      <c r="E26" s="446">
        <v>0</v>
      </c>
      <c r="F26" s="445">
        <v>55.7</v>
      </c>
      <c r="G26" s="445">
        <v>8.8000000000000007</v>
      </c>
      <c r="H26" s="447">
        <v>64.5</v>
      </c>
      <c r="I26" s="544">
        <v>10.53</v>
      </c>
      <c r="J26" s="450">
        <v>8.0730000000000004</v>
      </c>
      <c r="K26" s="451">
        <v>0.70000000000000007</v>
      </c>
      <c r="L26" s="452">
        <v>84702</v>
      </c>
      <c r="M26" s="453">
        <v>382028.4</v>
      </c>
      <c r="N26" s="461">
        <v>43.524000000000001</v>
      </c>
      <c r="O26" s="461">
        <v>51</v>
      </c>
      <c r="P26" s="462">
        <v>739908</v>
      </c>
      <c r="Q26" s="542"/>
      <c r="T26" s="458"/>
    </row>
    <row r="27" spans="1:20" s="60" customFormat="1" ht="24.95" customHeight="1" x14ac:dyDescent="0.25">
      <c r="A27" s="528" t="s">
        <v>26</v>
      </c>
      <c r="B27" s="529"/>
      <c r="C27" s="331">
        <v>13</v>
      </c>
      <c r="D27" s="329">
        <v>13.1</v>
      </c>
      <c r="E27" s="330" t="s">
        <v>120</v>
      </c>
      <c r="F27" s="329">
        <v>9</v>
      </c>
      <c r="G27" s="329">
        <v>4</v>
      </c>
      <c r="H27" s="328">
        <f>SUM(F27:G27)</f>
        <v>13</v>
      </c>
      <c r="I27" s="530">
        <v>3.51</v>
      </c>
      <c r="J27" s="326">
        <f>3.51*0.9</f>
        <v>3.1589999999999998</v>
      </c>
      <c r="K27" s="325">
        <f>(I27-J27)/I27</f>
        <v>0.1</v>
      </c>
      <c r="L27" s="324">
        <v>43768</v>
      </c>
      <c r="M27" s="323">
        <f>(H27*L27)*K27</f>
        <v>56898.400000000001</v>
      </c>
      <c r="N27" s="379">
        <f>H27*I27*K27</f>
        <v>4.5629999999999997</v>
      </c>
      <c r="O27" s="379">
        <v>17</v>
      </c>
      <c r="P27" s="380">
        <f>N27*1000*17</f>
        <v>77571</v>
      </c>
      <c r="Q27" s="528"/>
      <c r="T27" s="306"/>
    </row>
    <row r="28" spans="1:20" s="60" customFormat="1" ht="24.95" customHeight="1" x14ac:dyDescent="0.25">
      <c r="A28" s="528" t="s">
        <v>30</v>
      </c>
      <c r="B28" s="529"/>
      <c r="C28" s="331">
        <v>489</v>
      </c>
      <c r="D28" s="329">
        <v>573.99999990000003</v>
      </c>
      <c r="E28" s="330" t="s">
        <v>122</v>
      </c>
      <c r="F28" s="329">
        <v>21.771000000000001</v>
      </c>
      <c r="G28" s="329">
        <v>552</v>
      </c>
      <c r="H28" s="328">
        <f>SUM(F28:G28)</f>
        <v>573.77099999999996</v>
      </c>
      <c r="I28" s="530">
        <v>3.51</v>
      </c>
      <c r="J28" s="326">
        <f>3.51*0.6</f>
        <v>2.1059999999999999</v>
      </c>
      <c r="K28" s="325">
        <f>(I28-J28)/I28</f>
        <v>0.4</v>
      </c>
      <c r="L28" s="324">
        <v>43768</v>
      </c>
      <c r="M28" s="323">
        <f>(H28*L28)*K28</f>
        <v>10045123.6512</v>
      </c>
      <c r="N28" s="379">
        <f>H28*I28*K28</f>
        <v>805.57448399999987</v>
      </c>
      <c r="O28" s="379">
        <v>17</v>
      </c>
      <c r="P28" s="380">
        <f>N28*1000*17</f>
        <v>13694766.227999996</v>
      </c>
      <c r="Q28" s="528"/>
      <c r="T28" s="306"/>
    </row>
    <row r="29" spans="1:20" s="60" customFormat="1" ht="24.95" customHeight="1" x14ac:dyDescent="0.25">
      <c r="A29" s="528" t="s">
        <v>29</v>
      </c>
      <c r="B29" s="529"/>
      <c r="C29" s="331">
        <v>49</v>
      </c>
      <c r="D29" s="329">
        <v>52.5</v>
      </c>
      <c r="E29" s="330" t="s">
        <v>119</v>
      </c>
      <c r="F29" s="329">
        <v>5.36</v>
      </c>
      <c r="G29" s="329">
        <v>1.34</v>
      </c>
      <c r="H29" s="328">
        <f>SUM(F29:G29)</f>
        <v>6.7</v>
      </c>
      <c r="I29" s="530">
        <v>3.51</v>
      </c>
      <c r="J29" s="326">
        <f>3.51*0.8</f>
        <v>2.8079999999999998</v>
      </c>
      <c r="K29" s="325">
        <f>(I29-J29)/I29</f>
        <v>0.2</v>
      </c>
      <c r="L29" s="324">
        <v>43768</v>
      </c>
      <c r="M29" s="323">
        <f>(H29*L29)*K29</f>
        <v>58649.12000000001</v>
      </c>
      <c r="N29" s="379">
        <f>H29*I29*K29</f>
        <v>4.7034000000000002</v>
      </c>
      <c r="O29" s="379">
        <v>17</v>
      </c>
      <c r="P29" s="380">
        <f>N29*1000*17</f>
        <v>79957.8</v>
      </c>
      <c r="Q29" s="528"/>
      <c r="T29" s="306"/>
    </row>
    <row r="30" spans="1:20" s="457" customFormat="1" ht="24.95" customHeight="1" x14ac:dyDescent="0.25">
      <c r="A30" s="542" t="s">
        <v>13</v>
      </c>
      <c r="B30" s="543"/>
      <c r="C30" s="444">
        <v>273</v>
      </c>
      <c r="D30" s="445">
        <v>275.55555555555497</v>
      </c>
      <c r="E30" s="446">
        <v>0</v>
      </c>
      <c r="F30" s="445">
        <v>35</v>
      </c>
      <c r="G30" s="445">
        <v>240.555555555555</v>
      </c>
      <c r="H30" s="447">
        <v>275.55555555555497</v>
      </c>
      <c r="I30" s="544">
        <v>7.02</v>
      </c>
      <c r="J30" s="450">
        <v>5.9669999999999996</v>
      </c>
      <c r="K30" s="451">
        <v>0.30000000000000004</v>
      </c>
      <c r="L30" s="452">
        <v>51238</v>
      </c>
      <c r="M30" s="453">
        <v>1851641.1111111064</v>
      </c>
      <c r="N30" s="461">
        <v>168.86999999999961</v>
      </c>
      <c r="O30" s="461">
        <v>34</v>
      </c>
      <c r="P30" s="462">
        <v>2870789.9999999935</v>
      </c>
      <c r="Q30" s="542"/>
      <c r="T30" s="458"/>
    </row>
    <row r="31" spans="1:20" s="60" customFormat="1" ht="24.95" customHeight="1" x14ac:dyDescent="0.25">
      <c r="A31" s="528" t="s">
        <v>14</v>
      </c>
      <c r="B31" s="529"/>
      <c r="C31" s="331">
        <v>750</v>
      </c>
      <c r="D31" s="329">
        <v>744</v>
      </c>
      <c r="E31" s="330" t="s">
        <v>119</v>
      </c>
      <c r="F31" s="329"/>
      <c r="G31" s="329">
        <v>744</v>
      </c>
      <c r="H31" s="328">
        <f>SUM(F31:G31)</f>
        <v>744</v>
      </c>
      <c r="I31" s="530">
        <v>3.51</v>
      </c>
      <c r="J31" s="326">
        <f>3.51*0.8</f>
        <v>2.8079999999999998</v>
      </c>
      <c r="K31" s="325">
        <f>(I31-J31)/I31</f>
        <v>0.2</v>
      </c>
      <c r="L31" s="324">
        <v>43768</v>
      </c>
      <c r="M31" s="323">
        <f>(H31*L31)*K31</f>
        <v>6512678.4000000004</v>
      </c>
      <c r="N31" s="379">
        <f>H31*I31*K31</f>
        <v>522.28800000000001</v>
      </c>
      <c r="O31" s="379">
        <v>17</v>
      </c>
      <c r="P31" s="380">
        <f>N31*1000*17</f>
        <v>8878896</v>
      </c>
      <c r="Q31" s="528"/>
      <c r="T31" s="306"/>
    </row>
    <row r="32" spans="1:20" s="457" customFormat="1" ht="24.95" customHeight="1" x14ac:dyDescent="0.25">
      <c r="A32" s="542" t="s">
        <v>15</v>
      </c>
      <c r="B32" s="543"/>
      <c r="C32" s="444">
        <v>62</v>
      </c>
      <c r="D32" s="444">
        <v>61</v>
      </c>
      <c r="E32" s="444">
        <v>0</v>
      </c>
      <c r="F32" s="444">
        <v>0</v>
      </c>
      <c r="G32" s="444">
        <v>61</v>
      </c>
      <c r="H32" s="444">
        <v>61</v>
      </c>
      <c r="I32" s="444">
        <v>7.02</v>
      </c>
      <c r="J32" s="444">
        <v>5.9669999999999996</v>
      </c>
      <c r="K32" s="444">
        <v>0.30000000000000004</v>
      </c>
      <c r="L32" s="444">
        <v>51238</v>
      </c>
      <c r="M32" s="444">
        <v>413870.60000000003</v>
      </c>
      <c r="N32" s="444">
        <v>37.556999999999995</v>
      </c>
      <c r="O32" s="444">
        <v>34</v>
      </c>
      <c r="P32" s="444">
        <v>638468.99999999988</v>
      </c>
      <c r="Q32" s="542"/>
      <c r="T32" s="458"/>
    </row>
    <row r="33" spans="1:20" s="60" customFormat="1" ht="24.95" customHeight="1" x14ac:dyDescent="0.25">
      <c r="A33" s="528" t="s">
        <v>28</v>
      </c>
      <c r="B33" s="529"/>
      <c r="C33" s="331">
        <v>7</v>
      </c>
      <c r="D33" s="329">
        <v>6</v>
      </c>
      <c r="E33" s="330" t="s">
        <v>119</v>
      </c>
      <c r="F33" s="329"/>
      <c r="G33" s="329">
        <v>6</v>
      </c>
      <c r="H33" s="328">
        <f t="shared" ref="H33:H38" si="0">SUM(F33:G33)</f>
        <v>6</v>
      </c>
      <c r="I33" s="530">
        <v>3.51</v>
      </c>
      <c r="J33" s="326">
        <f t="shared" ref="J33:J38" si="1">3.51*0.8</f>
        <v>2.8079999999999998</v>
      </c>
      <c r="K33" s="325">
        <f t="shared" ref="K33:K38" si="2">(I33-J33)/I33</f>
        <v>0.2</v>
      </c>
      <c r="L33" s="324">
        <v>43768</v>
      </c>
      <c r="M33" s="323">
        <f t="shared" ref="M33:M38" si="3">(H33*L33)*K33</f>
        <v>52521.600000000006</v>
      </c>
      <c r="N33" s="379">
        <f t="shared" ref="N33:N38" si="4">H33*I33*K33</f>
        <v>4.2119999999999997</v>
      </c>
      <c r="O33" s="379">
        <v>17</v>
      </c>
      <c r="P33" s="380">
        <f t="shared" ref="P33:P38" si="5">N33*1000*17</f>
        <v>71604</v>
      </c>
      <c r="Q33" s="528"/>
      <c r="T33" s="306"/>
    </row>
    <row r="34" spans="1:20" s="60" customFormat="1" ht="24.95" customHeight="1" x14ac:dyDescent="0.25">
      <c r="A34" s="528" t="s">
        <v>20</v>
      </c>
      <c r="B34" s="529"/>
      <c r="C34" s="331">
        <v>350</v>
      </c>
      <c r="D34" s="329">
        <v>300</v>
      </c>
      <c r="E34" s="330" t="s">
        <v>119</v>
      </c>
      <c r="F34" s="329"/>
      <c r="G34" s="329">
        <v>300</v>
      </c>
      <c r="H34" s="328">
        <f t="shared" si="0"/>
        <v>300</v>
      </c>
      <c r="I34" s="530">
        <v>3.51</v>
      </c>
      <c r="J34" s="326">
        <f t="shared" si="1"/>
        <v>2.8079999999999998</v>
      </c>
      <c r="K34" s="325">
        <f t="shared" si="2"/>
        <v>0.2</v>
      </c>
      <c r="L34" s="324">
        <v>43768</v>
      </c>
      <c r="M34" s="323">
        <f t="shared" si="3"/>
        <v>2626080</v>
      </c>
      <c r="N34" s="379">
        <f t="shared" si="4"/>
        <v>210.60000000000002</v>
      </c>
      <c r="O34" s="379">
        <v>17</v>
      </c>
      <c r="P34" s="380">
        <f t="shared" si="5"/>
        <v>3580200.0000000005</v>
      </c>
      <c r="Q34" s="528"/>
      <c r="T34" s="306"/>
    </row>
    <row r="35" spans="1:20" s="60" customFormat="1" ht="24.95" customHeight="1" x14ac:dyDescent="0.25">
      <c r="A35" s="528" t="s">
        <v>259</v>
      </c>
      <c r="B35" s="529"/>
      <c r="C35" s="331">
        <v>6</v>
      </c>
      <c r="D35" s="329">
        <v>12</v>
      </c>
      <c r="E35" s="330" t="s">
        <v>119</v>
      </c>
      <c r="F35" s="329">
        <v>0.97499999999999998</v>
      </c>
      <c r="G35" s="329">
        <v>2.2799999999999998</v>
      </c>
      <c r="H35" s="328">
        <f t="shared" si="0"/>
        <v>3.2549999999999999</v>
      </c>
      <c r="I35" s="530">
        <v>3.51</v>
      </c>
      <c r="J35" s="326">
        <f t="shared" si="1"/>
        <v>2.8079999999999998</v>
      </c>
      <c r="K35" s="325">
        <f t="shared" si="2"/>
        <v>0.2</v>
      </c>
      <c r="L35" s="324">
        <v>43768</v>
      </c>
      <c r="M35" s="323">
        <f t="shared" si="3"/>
        <v>28492.968000000001</v>
      </c>
      <c r="N35" s="379">
        <f t="shared" si="4"/>
        <v>2.2850099999999998</v>
      </c>
      <c r="O35" s="379">
        <v>17</v>
      </c>
      <c r="P35" s="380">
        <f t="shared" si="5"/>
        <v>38845.17</v>
      </c>
      <c r="Q35" s="528"/>
      <c r="T35" s="306"/>
    </row>
    <row r="36" spans="1:20" s="60" customFormat="1" ht="24.95" customHeight="1" x14ac:dyDescent="0.25">
      <c r="A36" s="528" t="s">
        <v>27</v>
      </c>
      <c r="B36" s="529"/>
      <c r="C36" s="331">
        <v>15</v>
      </c>
      <c r="D36" s="329">
        <v>17.5</v>
      </c>
      <c r="E36" s="330" t="s">
        <v>119</v>
      </c>
      <c r="F36" s="329"/>
      <c r="G36" s="329">
        <v>17.5</v>
      </c>
      <c r="H36" s="328">
        <f t="shared" si="0"/>
        <v>17.5</v>
      </c>
      <c r="I36" s="530">
        <v>3.51</v>
      </c>
      <c r="J36" s="326">
        <f t="shared" si="1"/>
        <v>2.8079999999999998</v>
      </c>
      <c r="K36" s="325">
        <f t="shared" si="2"/>
        <v>0.2</v>
      </c>
      <c r="L36" s="324">
        <v>43768</v>
      </c>
      <c r="M36" s="323">
        <f t="shared" si="3"/>
        <v>153188</v>
      </c>
      <c r="N36" s="379">
        <f t="shared" si="4"/>
        <v>12.285</v>
      </c>
      <c r="O36" s="379">
        <v>17</v>
      </c>
      <c r="P36" s="380">
        <f t="shared" si="5"/>
        <v>208845</v>
      </c>
      <c r="Q36" s="528"/>
      <c r="T36" s="306"/>
    </row>
    <row r="37" spans="1:20" s="60" customFormat="1" ht="24.95" customHeight="1" x14ac:dyDescent="0.25">
      <c r="A37" s="528" t="s">
        <v>97</v>
      </c>
      <c r="B37" s="529"/>
      <c r="C37" s="331">
        <v>1450</v>
      </c>
      <c r="D37" s="329">
        <v>1426.4</v>
      </c>
      <c r="E37" s="330" t="s">
        <v>119</v>
      </c>
      <c r="F37" s="329"/>
      <c r="G37" s="329">
        <v>1426.4</v>
      </c>
      <c r="H37" s="328">
        <f t="shared" si="0"/>
        <v>1426.4</v>
      </c>
      <c r="I37" s="530">
        <v>3.51</v>
      </c>
      <c r="J37" s="326">
        <f t="shared" si="1"/>
        <v>2.8079999999999998</v>
      </c>
      <c r="K37" s="325">
        <f t="shared" si="2"/>
        <v>0.2</v>
      </c>
      <c r="L37" s="324">
        <v>43768</v>
      </c>
      <c r="M37" s="323">
        <f t="shared" si="3"/>
        <v>12486135.040000001</v>
      </c>
      <c r="N37" s="379">
        <f t="shared" si="4"/>
        <v>1001.3328</v>
      </c>
      <c r="O37" s="379">
        <v>17</v>
      </c>
      <c r="P37" s="380">
        <f t="shared" si="5"/>
        <v>17022657.600000001</v>
      </c>
      <c r="Q37" s="528"/>
      <c r="T37" s="306"/>
    </row>
    <row r="38" spans="1:20" s="60" customFormat="1" ht="24.95" customHeight="1" x14ac:dyDescent="0.25">
      <c r="A38" s="528" t="s">
        <v>22</v>
      </c>
      <c r="B38" s="529"/>
      <c r="C38" s="331">
        <v>400</v>
      </c>
      <c r="D38" s="329">
        <v>404</v>
      </c>
      <c r="E38" s="330" t="s">
        <v>119</v>
      </c>
      <c r="F38" s="329"/>
      <c r="G38" s="329">
        <v>404</v>
      </c>
      <c r="H38" s="328">
        <f t="shared" si="0"/>
        <v>404</v>
      </c>
      <c r="I38" s="530">
        <v>3.51</v>
      </c>
      <c r="J38" s="326">
        <f t="shared" si="1"/>
        <v>2.8079999999999998</v>
      </c>
      <c r="K38" s="325">
        <f t="shared" si="2"/>
        <v>0.2</v>
      </c>
      <c r="L38" s="324">
        <v>43768</v>
      </c>
      <c r="M38" s="323">
        <f t="shared" si="3"/>
        <v>3536454.4000000004</v>
      </c>
      <c r="N38" s="379">
        <f t="shared" si="4"/>
        <v>283.608</v>
      </c>
      <c r="O38" s="379">
        <v>17</v>
      </c>
      <c r="P38" s="380">
        <f t="shared" si="5"/>
        <v>4821336</v>
      </c>
      <c r="Q38" s="528"/>
      <c r="T38" s="306"/>
    </row>
    <row r="39" spans="1:20" s="457" customFormat="1" ht="24.95" customHeight="1" x14ac:dyDescent="0.25">
      <c r="A39" s="542" t="s">
        <v>23</v>
      </c>
      <c r="B39" s="543"/>
      <c r="C39" s="444">
        <v>0</v>
      </c>
      <c r="D39" s="444">
        <v>297</v>
      </c>
      <c r="E39" s="444">
        <v>0</v>
      </c>
      <c r="F39" s="444">
        <v>113.5</v>
      </c>
      <c r="G39" s="444">
        <v>183.5</v>
      </c>
      <c r="H39" s="444">
        <v>297</v>
      </c>
      <c r="I39" s="444">
        <v>10.53</v>
      </c>
      <c r="J39" s="444">
        <v>8.7749999999999986</v>
      </c>
      <c r="K39" s="444">
        <v>0.5</v>
      </c>
      <c r="L39" s="444">
        <v>84702</v>
      </c>
      <c r="M39" s="444">
        <v>691172.60000000009</v>
      </c>
      <c r="N39" s="444">
        <v>129.51900000000001</v>
      </c>
      <c r="O39" s="444">
        <v>51</v>
      </c>
      <c r="P39" s="444">
        <v>2201823</v>
      </c>
      <c r="Q39" s="542"/>
      <c r="T39" s="458"/>
    </row>
    <row r="40" spans="1:20" s="60" customFormat="1" ht="24.95" customHeight="1" x14ac:dyDescent="0.25">
      <c r="A40" s="532" t="s">
        <v>258</v>
      </c>
      <c r="B40" s="529"/>
      <c r="C40" s="331">
        <v>1205</v>
      </c>
      <c r="D40" s="329">
        <v>1202</v>
      </c>
      <c r="E40" s="330" t="s">
        <v>119</v>
      </c>
      <c r="F40" s="329"/>
      <c r="G40" s="329">
        <v>1202</v>
      </c>
      <c r="H40" s="328">
        <f>SUM(F40:G40)</f>
        <v>1202</v>
      </c>
      <c r="I40" s="530">
        <v>3.51</v>
      </c>
      <c r="J40" s="326">
        <f>3.51*0.8</f>
        <v>2.8079999999999998</v>
      </c>
      <c r="K40" s="325">
        <f>(I40-J40)/I40</f>
        <v>0.2</v>
      </c>
      <c r="L40" s="324">
        <v>43768</v>
      </c>
      <c r="M40" s="323">
        <f>(H40*L40)*K40</f>
        <v>10521827.200000001</v>
      </c>
      <c r="N40" s="379">
        <f>H40*I40*K40</f>
        <v>843.80399999999997</v>
      </c>
      <c r="O40" s="379">
        <v>17</v>
      </c>
      <c r="P40" s="380">
        <f>N40*1000*17</f>
        <v>14344668</v>
      </c>
      <c r="Q40" s="528"/>
      <c r="T40" s="306"/>
    </row>
    <row r="41" spans="1:20" s="60" customFormat="1" ht="24.95" customHeight="1" x14ac:dyDescent="0.25">
      <c r="A41" s="528" t="s">
        <v>257</v>
      </c>
      <c r="B41" s="529"/>
      <c r="C41" s="331">
        <v>45</v>
      </c>
      <c r="D41" s="329">
        <v>44</v>
      </c>
      <c r="E41" s="330" t="s">
        <v>119</v>
      </c>
      <c r="F41" s="329"/>
      <c r="G41" s="329">
        <v>44</v>
      </c>
      <c r="H41" s="328">
        <f>SUM(F41:G41)</f>
        <v>44</v>
      </c>
      <c r="I41" s="530">
        <v>3.51</v>
      </c>
      <c r="J41" s="326">
        <f>3.51*0.8</f>
        <v>2.8079999999999998</v>
      </c>
      <c r="K41" s="325">
        <f>(I41-J41)/I41</f>
        <v>0.2</v>
      </c>
      <c r="L41" s="324">
        <v>43768</v>
      </c>
      <c r="M41" s="323">
        <f>(H41*L41)*K41</f>
        <v>385158.40000000002</v>
      </c>
      <c r="N41" s="379">
        <f>H41*I41*K41</f>
        <v>30.888000000000002</v>
      </c>
      <c r="O41" s="379">
        <v>17</v>
      </c>
      <c r="P41" s="380">
        <f>N41*1000*17</f>
        <v>525096</v>
      </c>
      <c r="Q41" s="783"/>
      <c r="T41" s="306"/>
    </row>
    <row r="42" spans="1:20" s="60" customFormat="1" ht="24.95" customHeight="1" x14ac:dyDescent="0.25">
      <c r="A42" s="528" t="s">
        <v>256</v>
      </c>
      <c r="B42" s="529"/>
      <c r="C42" s="331">
        <v>1619</v>
      </c>
      <c r="D42" s="329">
        <v>2254.4299999999998</v>
      </c>
      <c r="E42" s="330" t="s">
        <v>120</v>
      </c>
      <c r="F42" s="329">
        <v>834.11</v>
      </c>
      <c r="G42" s="329">
        <f>2254-834</f>
        <v>1420</v>
      </c>
      <c r="H42" s="328">
        <f>SUM(F42:G42)</f>
        <v>2254.11</v>
      </c>
      <c r="I42" s="530">
        <v>3.51</v>
      </c>
      <c r="J42" s="326">
        <f>3.51*0.9</f>
        <v>3.1589999999999998</v>
      </c>
      <c r="K42" s="325">
        <f>(I42-J42)/I42</f>
        <v>0.1</v>
      </c>
      <c r="L42" s="324">
        <v>7470</v>
      </c>
      <c r="M42" s="323">
        <f>(H42*L42)*K42</f>
        <v>1683820.17</v>
      </c>
      <c r="N42" s="379">
        <f>H42*I42*K42</f>
        <v>791.19261000000006</v>
      </c>
      <c r="O42" s="379">
        <v>17</v>
      </c>
      <c r="P42" s="380">
        <f>N42*1000*17</f>
        <v>13450274.370000001</v>
      </c>
      <c r="Q42" s="783"/>
      <c r="T42" s="306"/>
    </row>
    <row r="43" spans="1:20" s="60" customFormat="1" ht="19.5" customHeight="1" x14ac:dyDescent="0.25">
      <c r="A43" s="373"/>
      <c r="B43" s="529"/>
      <c r="C43" s="374"/>
      <c r="D43" s="374"/>
      <c r="E43" s="376"/>
      <c r="F43" s="374"/>
      <c r="G43" s="374"/>
      <c r="H43" s="375"/>
      <c r="I43" s="371"/>
      <c r="J43" s="326"/>
      <c r="K43" s="325"/>
      <c r="L43" s="374"/>
      <c r="M43" s="374"/>
      <c r="N43" s="374"/>
      <c r="O43" s="377"/>
      <c r="P43" s="374"/>
      <c r="Q43" s="333"/>
      <c r="T43" s="306"/>
    </row>
    <row r="44" spans="1:20" s="60" customFormat="1" ht="24.95" customHeight="1" x14ac:dyDescent="0.25">
      <c r="A44" s="381" t="s">
        <v>48</v>
      </c>
      <c r="B44" s="531"/>
      <c r="C44" s="367"/>
      <c r="D44" s="365"/>
      <c r="E44" s="366"/>
      <c r="F44" s="365"/>
      <c r="G44" s="364"/>
      <c r="H44" s="363"/>
      <c r="I44" s="362"/>
      <c r="J44" s="361"/>
      <c r="K44" s="360"/>
      <c r="L44" s="359"/>
      <c r="M44" s="358"/>
      <c r="N44" s="357"/>
      <c r="O44" s="357"/>
      <c r="P44" s="356"/>
      <c r="Q44" s="355"/>
      <c r="T44" s="306"/>
    </row>
    <row r="45" spans="1:20" s="457" customFormat="1" ht="24.95" customHeight="1" x14ac:dyDescent="0.25">
      <c r="A45" s="443" t="s">
        <v>49</v>
      </c>
      <c r="B45" s="543"/>
      <c r="C45" s="444">
        <v>171</v>
      </c>
      <c r="D45" s="444">
        <v>119</v>
      </c>
      <c r="E45" s="444">
        <v>0</v>
      </c>
      <c r="F45" s="444">
        <v>119</v>
      </c>
      <c r="G45" s="444">
        <v>0</v>
      </c>
      <c r="H45" s="444">
        <v>119</v>
      </c>
      <c r="I45" s="444">
        <v>7.02</v>
      </c>
      <c r="J45" s="444">
        <v>5.9669999999999996</v>
      </c>
      <c r="K45" s="444">
        <v>0.30000000000000004</v>
      </c>
      <c r="L45" s="444">
        <v>77232</v>
      </c>
      <c r="M45" s="444">
        <v>603695.20000000007</v>
      </c>
      <c r="N45" s="444">
        <v>55.106999999999999</v>
      </c>
      <c r="O45" s="444">
        <v>34</v>
      </c>
      <c r="P45" s="444">
        <v>936819</v>
      </c>
      <c r="Q45" s="456"/>
      <c r="T45" s="458"/>
    </row>
    <row r="46" spans="1:20" s="60" customFormat="1" ht="24.95" customHeight="1" x14ac:dyDescent="0.25">
      <c r="A46" s="528" t="s">
        <v>50</v>
      </c>
      <c r="B46" s="529"/>
      <c r="C46" s="331">
        <v>579</v>
      </c>
      <c r="D46" s="329">
        <v>791</v>
      </c>
      <c r="E46" s="330" t="s">
        <v>120</v>
      </c>
      <c r="F46" s="329">
        <v>791</v>
      </c>
      <c r="G46" s="329"/>
      <c r="H46" s="328">
        <f>SUM(F46:G46)</f>
        <v>791</v>
      </c>
      <c r="I46" s="530">
        <v>3.51</v>
      </c>
      <c r="J46" s="326">
        <f>3.51*0.9</f>
        <v>3.1589999999999998</v>
      </c>
      <c r="K46" s="325">
        <f>(I46-J46)/I46</f>
        <v>0.1</v>
      </c>
      <c r="L46" s="324">
        <v>7470</v>
      </c>
      <c r="M46" s="323">
        <f>(H46*L46)*K46</f>
        <v>590877</v>
      </c>
      <c r="N46" s="379">
        <f>H46*I46*K46</f>
        <v>277.64100000000002</v>
      </c>
      <c r="O46" s="379">
        <v>17</v>
      </c>
      <c r="P46" s="380">
        <f>N46*1000*17</f>
        <v>4719897</v>
      </c>
      <c r="Q46" s="528"/>
      <c r="T46" s="306"/>
    </row>
    <row r="47" spans="1:20" s="60" customFormat="1" ht="24.95" customHeight="1" x14ac:dyDescent="0.25">
      <c r="A47" s="528" t="s">
        <v>51</v>
      </c>
      <c r="B47" s="529"/>
      <c r="C47" s="331">
        <v>218</v>
      </c>
      <c r="D47" s="329">
        <v>94</v>
      </c>
      <c r="E47" s="330" t="s">
        <v>120</v>
      </c>
      <c r="F47" s="329">
        <v>94</v>
      </c>
      <c r="G47" s="329"/>
      <c r="H47" s="328">
        <f>SUM(F47:G47)</f>
        <v>94</v>
      </c>
      <c r="I47" s="530">
        <v>3.51</v>
      </c>
      <c r="J47" s="326">
        <f>3.51*0.9</f>
        <v>3.1589999999999998</v>
      </c>
      <c r="K47" s="325">
        <f>(I47-J47)/I47</f>
        <v>0.1</v>
      </c>
      <c r="L47" s="324">
        <v>7470</v>
      </c>
      <c r="M47" s="323">
        <f>(H47*L47)*K47</f>
        <v>70218</v>
      </c>
      <c r="N47" s="379">
        <f>H47*I47*K47</f>
        <v>32.994</v>
      </c>
      <c r="O47" s="379">
        <v>17</v>
      </c>
      <c r="P47" s="380">
        <f>N47*1000*17</f>
        <v>560898</v>
      </c>
      <c r="Q47" s="528"/>
      <c r="T47" s="306"/>
    </row>
    <row r="48" spans="1:20" s="60" customFormat="1" ht="24.95" customHeight="1" x14ac:dyDescent="0.25">
      <c r="A48" s="528" t="s">
        <v>47</v>
      </c>
      <c r="B48" s="529"/>
      <c r="C48" s="331">
        <v>3</v>
      </c>
      <c r="D48" s="329">
        <v>5</v>
      </c>
      <c r="E48" s="330" t="s">
        <v>120</v>
      </c>
      <c r="F48" s="329">
        <v>5</v>
      </c>
      <c r="G48" s="329"/>
      <c r="H48" s="328">
        <f>SUM(F48:G48)</f>
        <v>5</v>
      </c>
      <c r="I48" s="530">
        <v>3.51</v>
      </c>
      <c r="J48" s="326">
        <f>3.51*0.9</f>
        <v>3.1589999999999998</v>
      </c>
      <c r="K48" s="325">
        <f>(I48-J48)/I48</f>
        <v>0.1</v>
      </c>
      <c r="L48" s="324">
        <v>43768</v>
      </c>
      <c r="M48" s="323">
        <f>(H48*L48)*K48</f>
        <v>21884</v>
      </c>
      <c r="N48" s="379">
        <f>H48*I48*K48</f>
        <v>1.7549999999999999</v>
      </c>
      <c r="O48" s="379">
        <v>17</v>
      </c>
      <c r="P48" s="380">
        <f>N48*1000*17</f>
        <v>29835</v>
      </c>
      <c r="Q48" s="528"/>
      <c r="T48" s="306"/>
    </row>
    <row r="49" spans="1:20" s="60" customFormat="1" ht="24.95" customHeight="1" x14ac:dyDescent="0.25">
      <c r="A49" s="528" t="s">
        <v>48</v>
      </c>
      <c r="B49" s="529"/>
      <c r="C49" s="331">
        <v>52</v>
      </c>
      <c r="D49" s="329">
        <v>40</v>
      </c>
      <c r="E49" s="330" t="s">
        <v>120</v>
      </c>
      <c r="F49" s="329">
        <v>40</v>
      </c>
      <c r="G49" s="329"/>
      <c r="H49" s="328">
        <f>SUM(F49:G49)</f>
        <v>40</v>
      </c>
      <c r="I49" s="530">
        <v>3.51</v>
      </c>
      <c r="J49" s="326">
        <f>3.51*0.9</f>
        <v>3.1589999999999998</v>
      </c>
      <c r="K49" s="325">
        <f>(I49-J49)/I49</f>
        <v>0.1</v>
      </c>
      <c r="L49" s="324">
        <v>7470</v>
      </c>
      <c r="M49" s="323">
        <f>(H49*L49)*K49</f>
        <v>29880</v>
      </c>
      <c r="N49" s="379">
        <f>H49*I49*K49</f>
        <v>14.04</v>
      </c>
      <c r="O49" s="379">
        <v>17</v>
      </c>
      <c r="P49" s="380">
        <f>N49*1000*17</f>
        <v>238680</v>
      </c>
      <c r="Q49" s="528"/>
      <c r="T49" s="306"/>
    </row>
    <row r="50" spans="1:20" s="60" customFormat="1" ht="24.95" customHeight="1" x14ac:dyDescent="0.25">
      <c r="A50" s="528" t="s">
        <v>52</v>
      </c>
      <c r="B50" s="529"/>
      <c r="C50" s="331">
        <v>15</v>
      </c>
      <c r="D50" s="329">
        <v>5.25</v>
      </c>
      <c r="E50" s="330" t="s">
        <v>120</v>
      </c>
      <c r="F50" s="329">
        <v>5.25</v>
      </c>
      <c r="G50" s="329"/>
      <c r="H50" s="328">
        <f>SUM(F50:G50)</f>
        <v>5.25</v>
      </c>
      <c r="I50" s="530">
        <v>3.51</v>
      </c>
      <c r="J50" s="326">
        <f>3.51*0.9</f>
        <v>3.1589999999999998</v>
      </c>
      <c r="K50" s="325">
        <f>(I50-J50)/I50</f>
        <v>0.1</v>
      </c>
      <c r="L50" s="324">
        <v>7470</v>
      </c>
      <c r="M50" s="323">
        <f>(H50*L50)*K50</f>
        <v>3921.75</v>
      </c>
      <c r="N50" s="379">
        <f>H50*I50*K50</f>
        <v>1.8427499999999999</v>
      </c>
      <c r="O50" s="379">
        <v>17</v>
      </c>
      <c r="P50" s="380">
        <f>N50*1000*17</f>
        <v>31326.75</v>
      </c>
      <c r="Q50" s="528"/>
      <c r="T50" s="306"/>
    </row>
    <row r="51" spans="1:20" s="457" customFormat="1" ht="24.95" customHeight="1" x14ac:dyDescent="0.25">
      <c r="A51" s="542" t="s">
        <v>53</v>
      </c>
      <c r="B51" s="543"/>
      <c r="C51" s="444">
        <v>1210</v>
      </c>
      <c r="D51" s="444">
        <v>983</v>
      </c>
      <c r="E51" s="444">
        <v>0</v>
      </c>
      <c r="F51" s="444">
        <v>879.83</v>
      </c>
      <c r="G51" s="444">
        <v>102.67</v>
      </c>
      <c r="H51" s="444">
        <v>982.5</v>
      </c>
      <c r="I51" s="444">
        <v>7.02</v>
      </c>
      <c r="J51" s="444">
        <v>5.9669999999999996</v>
      </c>
      <c r="K51" s="444">
        <v>0.30000000000000004</v>
      </c>
      <c r="L51" s="444">
        <v>40934</v>
      </c>
      <c r="M51" s="444">
        <v>2856578.1</v>
      </c>
      <c r="N51" s="444">
        <v>470.16449999999998</v>
      </c>
      <c r="O51" s="444">
        <v>34</v>
      </c>
      <c r="P51" s="444">
        <v>7992796.5</v>
      </c>
      <c r="Q51" s="542"/>
      <c r="T51" s="458"/>
    </row>
    <row r="52" spans="1:20" s="60" customFormat="1" ht="19.5" customHeight="1" x14ac:dyDescent="0.25">
      <c r="A52" s="373"/>
      <c r="B52" s="529"/>
      <c r="C52" s="374"/>
      <c r="D52" s="374"/>
      <c r="E52" s="376"/>
      <c r="F52" s="374"/>
      <c r="G52" s="374"/>
      <c r="H52" s="375"/>
      <c r="I52" s="371"/>
      <c r="J52" s="326"/>
      <c r="K52" s="325"/>
      <c r="L52" s="374"/>
      <c r="M52" s="374"/>
      <c r="N52" s="374"/>
      <c r="O52" s="377"/>
      <c r="P52" s="374"/>
      <c r="Q52" s="333"/>
      <c r="T52" s="306"/>
    </row>
    <row r="53" spans="1:20" s="60" customFormat="1" ht="19.5" customHeight="1" x14ac:dyDescent="0.25">
      <c r="A53" s="381" t="s">
        <v>239</v>
      </c>
      <c r="B53" s="531"/>
      <c r="C53" s="367"/>
      <c r="D53" s="365"/>
      <c r="E53" s="366"/>
      <c r="F53" s="365"/>
      <c r="G53" s="364"/>
      <c r="H53" s="363"/>
      <c r="I53" s="362"/>
      <c r="J53" s="361"/>
      <c r="K53" s="360"/>
      <c r="L53" s="359"/>
      <c r="M53" s="358"/>
      <c r="N53" s="357"/>
      <c r="O53" s="357"/>
      <c r="P53" s="356"/>
      <c r="Q53" s="355"/>
      <c r="T53" s="306"/>
    </row>
    <row r="54" spans="1:20" s="457" customFormat="1" ht="19.5" customHeight="1" x14ac:dyDescent="0.25">
      <c r="A54" s="443" t="s">
        <v>55</v>
      </c>
      <c r="B54" s="543"/>
      <c r="C54" s="444">
        <v>2620</v>
      </c>
      <c r="D54" s="444">
        <v>2606.5</v>
      </c>
      <c r="E54" s="444">
        <v>0</v>
      </c>
      <c r="F54" s="444">
        <v>1063</v>
      </c>
      <c r="G54" s="444">
        <v>1543.5</v>
      </c>
      <c r="H54" s="444">
        <v>2606.5</v>
      </c>
      <c r="I54" s="444">
        <v>7.02</v>
      </c>
      <c r="J54" s="444">
        <v>5.6159999999999997</v>
      </c>
      <c r="K54" s="444">
        <v>0.4</v>
      </c>
      <c r="L54" s="444">
        <v>51238</v>
      </c>
      <c r="M54" s="444">
        <v>21060833.399999999</v>
      </c>
      <c r="N54" s="444">
        <v>1998.4184999999998</v>
      </c>
      <c r="O54" s="444">
        <v>34</v>
      </c>
      <c r="P54" s="444">
        <v>33973114.5</v>
      </c>
      <c r="Q54" s="456"/>
      <c r="T54" s="458"/>
    </row>
    <row r="55" spans="1:20" s="457" customFormat="1" ht="24.95" customHeight="1" x14ac:dyDescent="0.25">
      <c r="A55" s="542" t="s">
        <v>99</v>
      </c>
      <c r="B55" s="543"/>
      <c r="C55" s="444">
        <v>1462</v>
      </c>
      <c r="D55" s="444">
        <v>1596.62</v>
      </c>
      <c r="E55" s="444">
        <v>0</v>
      </c>
      <c r="F55" s="444">
        <v>337</v>
      </c>
      <c r="G55" s="444">
        <v>1259.6199999999999</v>
      </c>
      <c r="H55" s="444">
        <v>1596.62</v>
      </c>
      <c r="I55" s="444">
        <v>14.04</v>
      </c>
      <c r="J55" s="444">
        <v>10.179</v>
      </c>
      <c r="K55" s="444">
        <v>1.1000000000000001</v>
      </c>
      <c r="L55" s="444">
        <v>128470</v>
      </c>
      <c r="M55" s="444">
        <v>13763841.939999999</v>
      </c>
      <c r="N55" s="444">
        <v>1331.2096200000001</v>
      </c>
      <c r="O55" s="444">
        <v>68</v>
      </c>
      <c r="P55" s="444">
        <v>22630563.539999999</v>
      </c>
      <c r="Q55" s="542"/>
      <c r="T55" s="458"/>
    </row>
    <row r="56" spans="1:20" s="60" customFormat="1" ht="24.95" customHeight="1" x14ac:dyDescent="0.25">
      <c r="A56" s="528" t="s">
        <v>56</v>
      </c>
      <c r="B56" s="529"/>
      <c r="C56" s="331"/>
      <c r="D56" s="329">
        <v>200</v>
      </c>
      <c r="E56" s="330" t="s">
        <v>120</v>
      </c>
      <c r="F56" s="329">
        <v>200</v>
      </c>
      <c r="G56" s="329"/>
      <c r="H56" s="328">
        <f>SUM(F56:G56)</f>
        <v>200</v>
      </c>
      <c r="I56" s="530">
        <v>3.51</v>
      </c>
      <c r="J56" s="326">
        <f>3.51*0.9</f>
        <v>3.1589999999999998</v>
      </c>
      <c r="K56" s="325">
        <f>(I56-J56)/I56</f>
        <v>0.1</v>
      </c>
      <c r="L56" s="324">
        <v>7470</v>
      </c>
      <c r="M56" s="323">
        <f>(H56*L56)*K56</f>
        <v>149400</v>
      </c>
      <c r="N56" s="379">
        <f>H56*I56*K56</f>
        <v>70.2</v>
      </c>
      <c r="O56" s="379">
        <v>17</v>
      </c>
      <c r="P56" s="380">
        <f>N56*1000*17</f>
        <v>1193400</v>
      </c>
      <c r="Q56" s="528"/>
      <c r="T56" s="306"/>
    </row>
    <row r="57" spans="1:20" s="60" customFormat="1" ht="24.95" customHeight="1" x14ac:dyDescent="0.25">
      <c r="A57" s="528" t="s">
        <v>121</v>
      </c>
      <c r="B57" s="529"/>
      <c r="C57" s="331">
        <v>165</v>
      </c>
      <c r="D57" s="329">
        <v>171</v>
      </c>
      <c r="E57" s="330" t="s">
        <v>120</v>
      </c>
      <c r="F57" s="329">
        <v>131</v>
      </c>
      <c r="G57" s="329">
        <v>40</v>
      </c>
      <c r="H57" s="328">
        <f>SUM(F57:G57)</f>
        <v>171</v>
      </c>
      <c r="I57" s="530">
        <v>3.51</v>
      </c>
      <c r="J57" s="326">
        <f>3.51*0.9</f>
        <v>3.1589999999999998</v>
      </c>
      <c r="K57" s="325">
        <f>(I57-J57)/I57</f>
        <v>0.1</v>
      </c>
      <c r="L57" s="324">
        <v>33464</v>
      </c>
      <c r="M57" s="323">
        <f>(H57*L57)*K57</f>
        <v>572234.4</v>
      </c>
      <c r="N57" s="379">
        <f>H57*I57*K57</f>
        <v>60.020999999999994</v>
      </c>
      <c r="O57" s="379">
        <v>17</v>
      </c>
      <c r="P57" s="380">
        <f>N57*1000*17</f>
        <v>1020356.9999999999</v>
      </c>
      <c r="Q57" s="528"/>
      <c r="T57" s="306"/>
    </row>
    <row r="58" spans="1:20" s="457" customFormat="1" ht="24.95" customHeight="1" x14ac:dyDescent="0.25">
      <c r="A58" s="542" t="s">
        <v>59</v>
      </c>
      <c r="B58" s="543"/>
      <c r="C58" s="444">
        <v>801</v>
      </c>
      <c r="D58" s="444">
        <v>777.64</v>
      </c>
      <c r="E58" s="444">
        <v>0</v>
      </c>
      <c r="F58" s="444">
        <v>405</v>
      </c>
      <c r="G58" s="444">
        <v>373</v>
      </c>
      <c r="H58" s="444">
        <v>778</v>
      </c>
      <c r="I58" s="444">
        <v>14.04</v>
      </c>
      <c r="J58" s="444">
        <v>9.8279999999999994</v>
      </c>
      <c r="K58" s="444">
        <v>1.2000000000000002</v>
      </c>
      <c r="L58" s="444">
        <v>133470</v>
      </c>
      <c r="M58" s="444">
        <v>5440002</v>
      </c>
      <c r="N58" s="444">
        <v>683.39699999999993</v>
      </c>
      <c r="O58" s="444">
        <v>68</v>
      </c>
      <c r="P58" s="444">
        <v>11617749</v>
      </c>
      <c r="Q58" s="542"/>
      <c r="T58" s="458"/>
    </row>
    <row r="59" spans="1:20" s="60" customFormat="1" ht="24.95" customHeight="1" x14ac:dyDescent="0.25">
      <c r="A59" s="528" t="s">
        <v>61</v>
      </c>
      <c r="B59" s="529"/>
      <c r="C59" s="331">
        <v>250</v>
      </c>
      <c r="D59" s="329">
        <v>274.2</v>
      </c>
      <c r="E59" s="330" t="s">
        <v>120</v>
      </c>
      <c r="F59" s="329"/>
      <c r="G59" s="329">
        <v>274.2</v>
      </c>
      <c r="H59" s="328">
        <f>SUM(F59:G59)</f>
        <v>274.2</v>
      </c>
      <c r="I59" s="530">
        <v>3.51</v>
      </c>
      <c r="J59" s="326">
        <f>3.51*0.9</f>
        <v>3.1589999999999998</v>
      </c>
      <c r="K59" s="325">
        <f>(I59-J59)/I59</f>
        <v>0.1</v>
      </c>
      <c r="L59" s="324">
        <v>7470</v>
      </c>
      <c r="M59" s="323">
        <f>(H59*L59)*K59</f>
        <v>204827.40000000002</v>
      </c>
      <c r="N59" s="379">
        <f>H59*I59*K59</f>
        <v>96.244199999999992</v>
      </c>
      <c r="O59" s="379">
        <v>17</v>
      </c>
      <c r="P59" s="380">
        <f>N59*1000*17</f>
        <v>1636151.4</v>
      </c>
      <c r="Q59" s="406"/>
      <c r="T59" s="306"/>
    </row>
    <row r="60" spans="1:20" s="60" customFormat="1" ht="24.95" customHeight="1" x14ac:dyDescent="0.25">
      <c r="A60" s="528" t="s">
        <v>125</v>
      </c>
      <c r="B60" s="529"/>
      <c r="C60" s="331">
        <v>6</v>
      </c>
      <c r="D60" s="329">
        <v>4</v>
      </c>
      <c r="E60" s="330" t="s">
        <v>120</v>
      </c>
      <c r="F60" s="329">
        <v>4</v>
      </c>
      <c r="G60" s="329"/>
      <c r="H60" s="328">
        <v>4</v>
      </c>
      <c r="I60" s="530">
        <v>3.51</v>
      </c>
      <c r="J60" s="326">
        <f>3.51*0.9</f>
        <v>3.1589999999999998</v>
      </c>
      <c r="K60" s="325">
        <f>(I60-J60)/I60</f>
        <v>0.1</v>
      </c>
      <c r="L60" s="324">
        <v>7470</v>
      </c>
      <c r="M60" s="323">
        <f>(H60*L60)*K60</f>
        <v>2988</v>
      </c>
      <c r="N60" s="379">
        <f>H60*I60*K60</f>
        <v>1.4039999999999999</v>
      </c>
      <c r="O60" s="379">
        <v>17</v>
      </c>
      <c r="P60" s="380">
        <f>N60*1000*17</f>
        <v>23868</v>
      </c>
      <c r="Q60" s="406"/>
      <c r="T60" s="306"/>
    </row>
    <row r="61" spans="1:20" s="457" customFormat="1" ht="24.95" customHeight="1" x14ac:dyDescent="0.25">
      <c r="A61" s="542" t="s">
        <v>63</v>
      </c>
      <c r="B61" s="543"/>
      <c r="C61" s="444">
        <v>265</v>
      </c>
      <c r="D61" s="444">
        <v>249</v>
      </c>
      <c r="E61" s="444">
        <v>0</v>
      </c>
      <c r="F61" s="444">
        <v>248.5</v>
      </c>
      <c r="G61" s="444">
        <v>0</v>
      </c>
      <c r="H61" s="444">
        <v>248.5</v>
      </c>
      <c r="I61" s="444">
        <v>10.53</v>
      </c>
      <c r="J61" s="444">
        <v>8.0730000000000004</v>
      </c>
      <c r="K61" s="444">
        <v>0.7</v>
      </c>
      <c r="L61" s="444">
        <v>84702</v>
      </c>
      <c r="M61" s="444">
        <v>1569553.5</v>
      </c>
      <c r="N61" s="444">
        <v>168.65549999999999</v>
      </c>
      <c r="O61" s="444">
        <v>51</v>
      </c>
      <c r="P61" s="444">
        <v>2867143.5</v>
      </c>
      <c r="Q61" s="545"/>
      <c r="T61" s="458"/>
    </row>
    <row r="62" spans="1:20" s="60" customFormat="1" ht="24.95" customHeight="1" x14ac:dyDescent="0.25">
      <c r="A62" s="528" t="s">
        <v>220</v>
      </c>
      <c r="B62" s="529"/>
      <c r="C62" s="331">
        <v>200</v>
      </c>
      <c r="D62" s="329">
        <v>191</v>
      </c>
      <c r="E62" s="330" t="s">
        <v>120</v>
      </c>
      <c r="F62" s="329">
        <v>191</v>
      </c>
      <c r="G62" s="329"/>
      <c r="H62" s="328">
        <f>SUM(F62:G62)</f>
        <v>191</v>
      </c>
      <c r="I62" s="530">
        <v>3.51</v>
      </c>
      <c r="J62" s="326">
        <f>3.51*0.9</f>
        <v>3.1589999999999998</v>
      </c>
      <c r="K62" s="325">
        <f>(I62-J62)/I62</f>
        <v>0.1</v>
      </c>
      <c r="L62" s="324">
        <v>7470</v>
      </c>
      <c r="M62" s="323">
        <f>(H62*L62)*K62</f>
        <v>142677</v>
      </c>
      <c r="N62" s="379">
        <f>H62*I62*K62</f>
        <v>67.040999999999997</v>
      </c>
      <c r="O62" s="379">
        <v>17</v>
      </c>
      <c r="P62" s="380">
        <f>N62*1000*17</f>
        <v>1139697</v>
      </c>
      <c r="Q62" s="406"/>
      <c r="T62" s="306"/>
    </row>
    <row r="63" spans="1:20" s="60" customFormat="1" ht="24.95" customHeight="1" x14ac:dyDescent="0.25">
      <c r="A63" s="528" t="s">
        <v>64</v>
      </c>
      <c r="B63" s="529"/>
      <c r="C63" s="331">
        <v>58</v>
      </c>
      <c r="D63" s="329">
        <v>48</v>
      </c>
      <c r="E63" s="330" t="s">
        <v>120</v>
      </c>
      <c r="F63" s="329"/>
      <c r="G63" s="329">
        <v>48</v>
      </c>
      <c r="H63" s="328">
        <f>SUM(F63:G63)</f>
        <v>48</v>
      </c>
      <c r="I63" s="530">
        <v>3.51</v>
      </c>
      <c r="J63" s="326">
        <f>3.51*0.9</f>
        <v>3.1589999999999998</v>
      </c>
      <c r="K63" s="325">
        <f>(I63-J63)/I63</f>
        <v>0.1</v>
      </c>
      <c r="L63" s="324">
        <v>7470</v>
      </c>
      <c r="M63" s="323">
        <f>(H63*L63)*K63</f>
        <v>35856</v>
      </c>
      <c r="N63" s="379">
        <f>H63*I63*K63</f>
        <v>16.847999999999999</v>
      </c>
      <c r="O63" s="379">
        <v>17</v>
      </c>
      <c r="P63" s="380">
        <f>N63*1000*17</f>
        <v>286416</v>
      </c>
      <c r="Q63" s="406"/>
      <c r="T63" s="306"/>
    </row>
    <row r="64" spans="1:20" s="457" customFormat="1" ht="24.95" customHeight="1" x14ac:dyDescent="0.25">
      <c r="A64" s="542" t="s">
        <v>124</v>
      </c>
      <c r="B64" s="543"/>
      <c r="C64" s="444">
        <v>1131</v>
      </c>
      <c r="D64" s="444">
        <v>1245.0999999999999</v>
      </c>
      <c r="E64" s="444">
        <v>0</v>
      </c>
      <c r="F64" s="444">
        <v>944.30000000000007</v>
      </c>
      <c r="G64" s="444">
        <v>305</v>
      </c>
      <c r="H64" s="444">
        <v>1249.3</v>
      </c>
      <c r="I64" s="444">
        <v>28.079999999999991</v>
      </c>
      <c r="J64" s="444">
        <v>20.358000000000004</v>
      </c>
      <c r="K64" s="444">
        <v>2.2000000000000002</v>
      </c>
      <c r="L64" s="444">
        <v>256940</v>
      </c>
      <c r="M64" s="444">
        <v>9998751.0799999982</v>
      </c>
      <c r="N64" s="444">
        <v>1014.2671499999999</v>
      </c>
      <c r="O64" s="444">
        <v>136</v>
      </c>
      <c r="P64" s="444">
        <v>17242541.550000001</v>
      </c>
      <c r="Q64" s="545"/>
      <c r="T64" s="458"/>
    </row>
    <row r="65" spans="1:20" s="60" customFormat="1" ht="33.75" customHeight="1" x14ac:dyDescent="0.25">
      <c r="A65" s="528" t="s">
        <v>65</v>
      </c>
      <c r="B65" s="529"/>
      <c r="C65" s="331">
        <v>40</v>
      </c>
      <c r="D65" s="329">
        <v>32</v>
      </c>
      <c r="E65" s="330" t="s">
        <v>120</v>
      </c>
      <c r="F65" s="329">
        <v>32</v>
      </c>
      <c r="G65" s="329"/>
      <c r="H65" s="328">
        <f>SUM(F65:G65)</f>
        <v>32</v>
      </c>
      <c r="I65" s="530">
        <v>3.51</v>
      </c>
      <c r="J65" s="326">
        <f>3.51*0.9</f>
        <v>3.1589999999999998</v>
      </c>
      <c r="K65" s="325">
        <f>(I65-J65)/I65</f>
        <v>0.1</v>
      </c>
      <c r="L65" s="324">
        <v>7470</v>
      </c>
      <c r="M65" s="323">
        <f>(H65*L65)*K65</f>
        <v>23904</v>
      </c>
      <c r="N65" s="379">
        <f>H65*I65*K65</f>
        <v>11.231999999999999</v>
      </c>
      <c r="O65" s="379">
        <v>17</v>
      </c>
      <c r="P65" s="380">
        <f>N65*1000*17</f>
        <v>190944</v>
      </c>
      <c r="Q65" s="528"/>
      <c r="T65" s="306"/>
    </row>
    <row r="66" spans="1:20" s="60" customFormat="1" ht="24.95" customHeight="1" x14ac:dyDescent="0.25">
      <c r="A66" s="528" t="s">
        <v>126</v>
      </c>
      <c r="B66" s="529"/>
      <c r="C66" s="331">
        <v>70</v>
      </c>
      <c r="D66" s="329">
        <v>62</v>
      </c>
      <c r="E66" s="330" t="s">
        <v>120</v>
      </c>
      <c r="F66" s="329"/>
      <c r="G66" s="329">
        <v>62</v>
      </c>
      <c r="H66" s="328">
        <f>SUM(F66:G66)</f>
        <v>62</v>
      </c>
      <c r="I66" s="530">
        <v>3.51</v>
      </c>
      <c r="J66" s="326">
        <f>3.51*0.9</f>
        <v>3.1589999999999998</v>
      </c>
      <c r="K66" s="325">
        <f>(I66-J66)/I66</f>
        <v>0.1</v>
      </c>
      <c r="L66" s="324">
        <v>7470</v>
      </c>
      <c r="M66" s="323">
        <f>(H66*L66)*K66</f>
        <v>46314</v>
      </c>
      <c r="N66" s="379">
        <f>H66*I66*K66</f>
        <v>21.762</v>
      </c>
      <c r="O66" s="379">
        <v>17</v>
      </c>
      <c r="P66" s="380">
        <f>N66*1000*17</f>
        <v>369954</v>
      </c>
      <c r="Q66" s="528"/>
      <c r="T66" s="306"/>
    </row>
    <row r="67" spans="1:20" s="60" customFormat="1" ht="24.95" customHeight="1" x14ac:dyDescent="0.25">
      <c r="A67" s="528" t="s">
        <v>255</v>
      </c>
      <c r="B67" s="529"/>
      <c r="C67" s="331">
        <v>16</v>
      </c>
      <c r="D67" s="329">
        <v>14</v>
      </c>
      <c r="E67" s="330" t="s">
        <v>216</v>
      </c>
      <c r="F67" s="329"/>
      <c r="G67" s="329">
        <v>14</v>
      </c>
      <c r="H67" s="328">
        <f>SUM(F67:G67)</f>
        <v>14</v>
      </c>
      <c r="I67" s="530">
        <v>3.51</v>
      </c>
      <c r="J67" s="326">
        <f>3.51*0.7</f>
        <v>2.4569999999999999</v>
      </c>
      <c r="K67" s="325">
        <f>(I67-J67)/I67</f>
        <v>0.3</v>
      </c>
      <c r="L67" s="324">
        <v>33464</v>
      </c>
      <c r="M67" s="323">
        <f>(H67*L67)*K67</f>
        <v>140548.79999999999</v>
      </c>
      <c r="N67" s="379">
        <f>H67*I67*K67</f>
        <v>14.741999999999999</v>
      </c>
      <c r="O67" s="379">
        <v>17</v>
      </c>
      <c r="P67" s="380">
        <f>N67*1000*17</f>
        <v>250614</v>
      </c>
      <c r="Q67" s="528"/>
      <c r="T67" s="306"/>
    </row>
    <row r="68" spans="1:20" s="457" customFormat="1" ht="24.95" customHeight="1" x14ac:dyDescent="0.25">
      <c r="A68" s="542" t="s">
        <v>66</v>
      </c>
      <c r="B68" s="543"/>
      <c r="C68" s="444">
        <v>523</v>
      </c>
      <c r="D68" s="444">
        <v>541.25</v>
      </c>
      <c r="E68" s="444">
        <v>0</v>
      </c>
      <c r="F68" s="444">
        <v>195.5</v>
      </c>
      <c r="G68" s="444">
        <v>345.75</v>
      </c>
      <c r="H68" s="444">
        <v>541.25</v>
      </c>
      <c r="I68" s="444">
        <v>7.02</v>
      </c>
      <c r="J68" s="444">
        <v>5.6159999999999997</v>
      </c>
      <c r="K68" s="444">
        <v>0.4</v>
      </c>
      <c r="L68" s="444">
        <v>51238</v>
      </c>
      <c r="M68" s="444">
        <v>2264919.5999999996</v>
      </c>
      <c r="N68" s="444">
        <v>295.45425</v>
      </c>
      <c r="O68" s="444">
        <v>34</v>
      </c>
      <c r="P68" s="444">
        <v>5022722.25</v>
      </c>
      <c r="Q68" s="542"/>
      <c r="T68" s="458"/>
    </row>
    <row r="69" spans="1:20" s="457" customFormat="1" ht="24.95" customHeight="1" x14ac:dyDescent="0.25">
      <c r="A69" s="542" t="s">
        <v>67</v>
      </c>
      <c r="B69" s="543"/>
      <c r="C69" s="444">
        <v>495</v>
      </c>
      <c r="D69" s="444">
        <v>612</v>
      </c>
      <c r="E69" s="444">
        <v>0</v>
      </c>
      <c r="F69" s="444">
        <v>225</v>
      </c>
      <c r="G69" s="444">
        <v>387</v>
      </c>
      <c r="H69" s="444">
        <v>612</v>
      </c>
      <c r="I69" s="444">
        <v>7.02</v>
      </c>
      <c r="J69" s="444">
        <v>5.6159999999999997</v>
      </c>
      <c r="K69" s="444">
        <v>0.4</v>
      </c>
      <c r="L69" s="444">
        <v>51238</v>
      </c>
      <c r="M69" s="444">
        <v>6487879.7999999998</v>
      </c>
      <c r="N69" s="444">
        <v>556.68599999999992</v>
      </c>
      <c r="O69" s="444">
        <v>34</v>
      </c>
      <c r="P69" s="444">
        <v>9463661.9999999981</v>
      </c>
      <c r="Q69" s="542"/>
      <c r="T69" s="458"/>
    </row>
    <row r="70" spans="1:20" s="60" customFormat="1" ht="24.95" customHeight="1" x14ac:dyDescent="0.25">
      <c r="A70" s="528" t="s">
        <v>254</v>
      </c>
      <c r="B70" s="529"/>
      <c r="C70" s="331">
        <v>2</v>
      </c>
      <c r="D70" s="329">
        <v>2</v>
      </c>
      <c r="E70" s="330" t="s">
        <v>119</v>
      </c>
      <c r="F70" s="329"/>
      <c r="G70" s="329">
        <v>2</v>
      </c>
      <c r="H70" s="328">
        <f>SUM(F70:G70)</f>
        <v>2</v>
      </c>
      <c r="I70" s="530">
        <v>3.51</v>
      </c>
      <c r="J70" s="326">
        <f>3.51*0.7</f>
        <v>2.4569999999999999</v>
      </c>
      <c r="K70" s="325">
        <f>(I70-J70)/I70</f>
        <v>0.3</v>
      </c>
      <c r="L70" s="324">
        <v>7470</v>
      </c>
      <c r="M70" s="323">
        <f>(H70*L70)*K70</f>
        <v>4482</v>
      </c>
      <c r="N70" s="379">
        <f>H70*I70*K70</f>
        <v>2.1059999999999999</v>
      </c>
      <c r="O70" s="379">
        <v>17</v>
      </c>
      <c r="P70" s="380">
        <f>N70*1000*17</f>
        <v>35802</v>
      </c>
      <c r="Q70" s="528"/>
      <c r="T70" s="306"/>
    </row>
    <row r="71" spans="1:20" s="60" customFormat="1" ht="24.95" customHeight="1" x14ac:dyDescent="0.25">
      <c r="A71" s="528" t="s">
        <v>68</v>
      </c>
      <c r="B71" s="529"/>
      <c r="C71" s="331"/>
      <c r="D71" s="329">
        <v>62.2</v>
      </c>
      <c r="E71" s="330" t="s">
        <v>120</v>
      </c>
      <c r="F71" s="329">
        <v>62</v>
      </c>
      <c r="G71" s="329"/>
      <c r="H71" s="328">
        <f>SUM(F71:G71)</f>
        <v>62</v>
      </c>
      <c r="I71" s="530">
        <v>3.51</v>
      </c>
      <c r="J71" s="326">
        <f>3.51*0.9</f>
        <v>3.1589999999999998</v>
      </c>
      <c r="K71" s="325">
        <f>(I71-J71)/I71</f>
        <v>0.1</v>
      </c>
      <c r="L71" s="324">
        <v>7470</v>
      </c>
      <c r="M71" s="323">
        <f>(H71*L71)*K71</f>
        <v>46314</v>
      </c>
      <c r="N71" s="379">
        <f>H71*I71*K71</f>
        <v>21.762</v>
      </c>
      <c r="O71" s="379">
        <v>17</v>
      </c>
      <c r="P71" s="380">
        <f>N71*1000*17</f>
        <v>369954</v>
      </c>
      <c r="Q71" s="528"/>
      <c r="T71" s="306"/>
    </row>
    <row r="72" spans="1:20" s="60" customFormat="1" ht="24.95" customHeight="1" x14ac:dyDescent="0.25">
      <c r="A72" s="528" t="s">
        <v>69</v>
      </c>
      <c r="B72" s="529"/>
      <c r="C72" s="331">
        <v>50</v>
      </c>
      <c r="D72" s="329">
        <v>50</v>
      </c>
      <c r="E72" s="330" t="s">
        <v>119</v>
      </c>
      <c r="F72" s="329"/>
      <c r="G72" s="329">
        <v>50</v>
      </c>
      <c r="H72" s="328">
        <f>SUM(F72:G72)</f>
        <v>50</v>
      </c>
      <c r="I72" s="530">
        <v>3.51</v>
      </c>
      <c r="J72" s="326">
        <f>3.51*0.7</f>
        <v>2.4569999999999999</v>
      </c>
      <c r="K72" s="325">
        <f>(I72-J72)/I72</f>
        <v>0.3</v>
      </c>
      <c r="L72" s="324">
        <v>43768</v>
      </c>
      <c r="M72" s="323">
        <f>(H72*L72)*K72</f>
        <v>656520</v>
      </c>
      <c r="N72" s="379">
        <f>H72*I72*K72</f>
        <v>52.65</v>
      </c>
      <c r="O72" s="379">
        <v>17</v>
      </c>
      <c r="P72" s="380">
        <f>N72*1000*17</f>
        <v>895050</v>
      </c>
      <c r="Q72" s="528"/>
      <c r="T72" s="306"/>
    </row>
    <row r="73" spans="1:20" s="60" customFormat="1" ht="24.95" customHeight="1" x14ac:dyDescent="0.25">
      <c r="A73" s="528" t="s">
        <v>70</v>
      </c>
      <c r="B73" s="529"/>
      <c r="C73" s="331">
        <v>10</v>
      </c>
      <c r="D73" s="329">
        <v>10</v>
      </c>
      <c r="E73" s="330" t="s">
        <v>120</v>
      </c>
      <c r="F73" s="329">
        <v>10</v>
      </c>
      <c r="G73" s="329"/>
      <c r="H73" s="328">
        <f>SUM(F73:G73)</f>
        <v>10</v>
      </c>
      <c r="I73" s="530">
        <v>3.51</v>
      </c>
      <c r="J73" s="326">
        <f>3.51*0.9</f>
        <v>3.1589999999999998</v>
      </c>
      <c r="K73" s="325">
        <f>(I73-J73)/I73</f>
        <v>0.1</v>
      </c>
      <c r="L73" s="324">
        <v>7470</v>
      </c>
      <c r="M73" s="323">
        <f>(H73*L73)*K73</f>
        <v>7470</v>
      </c>
      <c r="N73" s="379">
        <f>H73*I73*K73</f>
        <v>3.51</v>
      </c>
      <c r="O73" s="379">
        <v>17</v>
      </c>
      <c r="P73" s="380">
        <f>N73*1000*17</f>
        <v>59670</v>
      </c>
      <c r="Q73" s="528"/>
      <c r="T73" s="306"/>
    </row>
    <row r="74" spans="1:20" s="60" customFormat="1" ht="19.5" customHeight="1" x14ac:dyDescent="0.25">
      <c r="A74" s="373"/>
      <c r="B74" s="529"/>
      <c r="C74" s="374"/>
      <c r="D74" s="374"/>
      <c r="E74" s="376"/>
      <c r="F74" s="374"/>
      <c r="G74" s="374"/>
      <c r="H74" s="374"/>
      <c r="I74" s="371"/>
      <c r="J74" s="326"/>
      <c r="K74" s="325"/>
      <c r="L74" s="374"/>
      <c r="M74" s="374"/>
      <c r="N74" s="374"/>
      <c r="O74" s="377"/>
      <c r="P74" s="374"/>
      <c r="Q74" s="333"/>
      <c r="T74" s="306"/>
    </row>
    <row r="75" spans="1:20" s="60" customFormat="1" ht="19.5" customHeight="1" x14ac:dyDescent="0.25">
      <c r="A75" s="381" t="s">
        <v>253</v>
      </c>
      <c r="B75" s="531"/>
      <c r="C75" s="367"/>
      <c r="D75" s="365"/>
      <c r="E75" s="366"/>
      <c r="F75" s="365"/>
      <c r="G75" s="364"/>
      <c r="H75" s="363"/>
      <c r="I75" s="362"/>
      <c r="J75" s="361"/>
      <c r="K75" s="360"/>
      <c r="L75" s="359"/>
      <c r="M75" s="358"/>
      <c r="N75" s="357"/>
      <c r="O75" s="357"/>
      <c r="P75" s="356"/>
      <c r="Q75" s="355"/>
      <c r="T75" s="306"/>
    </row>
    <row r="76" spans="1:20" s="60" customFormat="1" ht="24.95" customHeight="1" x14ac:dyDescent="0.25">
      <c r="A76" s="528" t="s">
        <v>252</v>
      </c>
      <c r="B76" s="529"/>
      <c r="C76" s="331">
        <v>45</v>
      </c>
      <c r="D76" s="329">
        <v>36</v>
      </c>
      <c r="E76" s="330" t="s">
        <v>119</v>
      </c>
      <c r="F76" s="329"/>
      <c r="G76" s="329">
        <v>36</v>
      </c>
      <c r="H76" s="328">
        <f>SUM(F76:G76)</f>
        <v>36</v>
      </c>
      <c r="I76" s="530">
        <v>3.51</v>
      </c>
      <c r="J76" s="326">
        <f>3.51*0.7</f>
        <v>2.4569999999999999</v>
      </c>
      <c r="K76" s="325">
        <f>(I76-J76)/I76</f>
        <v>0.3</v>
      </c>
      <c r="L76" s="324">
        <v>43768</v>
      </c>
      <c r="M76" s="323">
        <f>(H76*L76)*K76</f>
        <v>472694.39999999997</v>
      </c>
      <c r="N76" s="379">
        <f>H76*I76*K76</f>
        <v>37.907999999999994</v>
      </c>
      <c r="O76" s="379">
        <v>17</v>
      </c>
      <c r="P76" s="380">
        <f>N76*1000*17</f>
        <v>644435.99999999988</v>
      </c>
      <c r="Q76" s="528"/>
      <c r="T76" s="306"/>
    </row>
    <row r="77" spans="1:20" s="60" customFormat="1" ht="24.95" customHeight="1" x14ac:dyDescent="0.25">
      <c r="A77" s="528" t="s">
        <v>72</v>
      </c>
      <c r="B77" s="529"/>
      <c r="C77" s="331">
        <v>47</v>
      </c>
      <c r="D77" s="329">
        <v>52</v>
      </c>
      <c r="E77" s="330" t="s">
        <v>120</v>
      </c>
      <c r="F77" s="329">
        <v>42</v>
      </c>
      <c r="G77" s="329">
        <v>10</v>
      </c>
      <c r="H77" s="328">
        <f>SUM(F77:G77)</f>
        <v>52</v>
      </c>
      <c r="I77" s="530">
        <v>3.51</v>
      </c>
      <c r="J77" s="326">
        <f>3.51*0.9</f>
        <v>3.1589999999999998</v>
      </c>
      <c r="K77" s="325">
        <f>(I77-J77)/I77</f>
        <v>0.1</v>
      </c>
      <c r="L77" s="324">
        <v>7470</v>
      </c>
      <c r="M77" s="323">
        <f>(H77*L77)*K77</f>
        <v>38844</v>
      </c>
      <c r="N77" s="379">
        <f>H77*I77*K77</f>
        <v>18.251999999999999</v>
      </c>
      <c r="O77" s="379">
        <v>17</v>
      </c>
      <c r="P77" s="380">
        <f>N77*1000*17</f>
        <v>310284</v>
      </c>
      <c r="Q77" s="528"/>
      <c r="T77" s="306"/>
    </row>
    <row r="78" spans="1:20" s="60" customFormat="1" ht="24.95" customHeight="1" x14ac:dyDescent="0.25">
      <c r="A78" s="528" t="s">
        <v>73</v>
      </c>
      <c r="B78" s="529"/>
      <c r="C78" s="331">
        <v>1200</v>
      </c>
      <c r="D78" s="329">
        <v>1071</v>
      </c>
      <c r="E78" s="330" t="s">
        <v>120</v>
      </c>
      <c r="F78" s="329">
        <v>1071</v>
      </c>
      <c r="G78" s="329"/>
      <c r="H78" s="328">
        <f>SUM(F78:G78)</f>
        <v>1071</v>
      </c>
      <c r="I78" s="530">
        <v>3.51</v>
      </c>
      <c r="J78" s="326">
        <f>3.51*0.9</f>
        <v>3.1589999999999998</v>
      </c>
      <c r="K78" s="325">
        <f>(I78-J78)/I78</f>
        <v>0.1</v>
      </c>
      <c r="L78" s="324">
        <v>7470</v>
      </c>
      <c r="M78" s="323">
        <f>(H78*L78)*K78</f>
        <v>800037</v>
      </c>
      <c r="N78" s="379">
        <f>H78*I78*K78</f>
        <v>375.92099999999999</v>
      </c>
      <c r="O78" s="379">
        <v>17</v>
      </c>
      <c r="P78" s="380">
        <f>N78*1000*17</f>
        <v>6390657</v>
      </c>
      <c r="Q78" s="528"/>
      <c r="T78" s="306"/>
    </row>
    <row r="79" spans="1:20" s="457" customFormat="1" ht="24.95" customHeight="1" x14ac:dyDescent="0.25">
      <c r="A79" s="542" t="s">
        <v>100</v>
      </c>
      <c r="B79" s="543"/>
      <c r="C79" s="444">
        <v>295</v>
      </c>
      <c r="D79" s="444">
        <v>1030.0900000000001</v>
      </c>
      <c r="E79" s="444">
        <v>0</v>
      </c>
      <c r="F79" s="444">
        <v>824</v>
      </c>
      <c r="G79" s="444">
        <v>206</v>
      </c>
      <c r="H79" s="444">
        <v>1030</v>
      </c>
      <c r="I79" s="444">
        <v>7.02</v>
      </c>
      <c r="J79" s="444">
        <v>5.6159999999999997</v>
      </c>
      <c r="K79" s="444">
        <v>0.4</v>
      </c>
      <c r="L79" s="444">
        <v>51238</v>
      </c>
      <c r="M79" s="444">
        <v>4385362.8</v>
      </c>
      <c r="N79" s="444">
        <v>566.5139999999999</v>
      </c>
      <c r="O79" s="444">
        <v>34</v>
      </c>
      <c r="P79" s="444">
        <v>9630737.9999999981</v>
      </c>
      <c r="Q79" s="542"/>
      <c r="T79" s="458"/>
    </row>
    <row r="80" spans="1:20" s="60" customFormat="1" ht="24.95" customHeight="1" x14ac:dyDescent="0.25">
      <c r="A80" s="528" t="s">
        <v>74</v>
      </c>
      <c r="B80" s="529"/>
      <c r="C80" s="331">
        <v>2982</v>
      </c>
      <c r="D80" s="329">
        <v>6429</v>
      </c>
      <c r="E80" s="330" t="s">
        <v>120</v>
      </c>
      <c r="F80" s="329">
        <v>4628.25</v>
      </c>
      <c r="G80" s="329">
        <v>1800.75</v>
      </c>
      <c r="H80" s="328">
        <f t="shared" ref="H80:H87" si="6">SUM(F80:G80)</f>
        <v>6429</v>
      </c>
      <c r="I80" s="530">
        <v>3.51</v>
      </c>
      <c r="J80" s="326">
        <f>3.51*0.9</f>
        <v>3.1589999999999998</v>
      </c>
      <c r="K80" s="325">
        <f t="shared" ref="K80:K87" si="7">(I80-J80)/I80</f>
        <v>0.1</v>
      </c>
      <c r="L80" s="324">
        <v>7470</v>
      </c>
      <c r="M80" s="323">
        <f t="shared" ref="M80:M87" si="8">(H80*L80)*K80</f>
        <v>4802463</v>
      </c>
      <c r="N80" s="379">
        <f t="shared" ref="N80:N87" si="9">H80*I80*K80</f>
        <v>2256.5789999999997</v>
      </c>
      <c r="O80" s="379">
        <v>17</v>
      </c>
      <c r="P80" s="380">
        <f t="shared" ref="P80:P87" si="10">N80*1000*17</f>
        <v>38361842.999999993</v>
      </c>
      <c r="Q80" s="528"/>
      <c r="T80" s="306"/>
    </row>
    <row r="81" spans="1:20" s="60" customFormat="1" ht="24.95" customHeight="1" x14ac:dyDescent="0.25">
      <c r="A81" s="528" t="s">
        <v>251</v>
      </c>
      <c r="B81" s="529"/>
      <c r="C81" s="331">
        <v>2</v>
      </c>
      <c r="D81" s="329">
        <v>2</v>
      </c>
      <c r="E81" s="330" t="s">
        <v>120</v>
      </c>
      <c r="F81" s="329">
        <v>2</v>
      </c>
      <c r="G81" s="329"/>
      <c r="H81" s="328">
        <f t="shared" si="6"/>
        <v>2</v>
      </c>
      <c r="I81" s="530">
        <v>3.51</v>
      </c>
      <c r="J81" s="326">
        <f>3.51*0.9</f>
        <v>3.1589999999999998</v>
      </c>
      <c r="K81" s="325">
        <f t="shared" si="7"/>
        <v>0.1</v>
      </c>
      <c r="L81" s="324">
        <v>7470</v>
      </c>
      <c r="M81" s="323">
        <f t="shared" si="8"/>
        <v>1494</v>
      </c>
      <c r="N81" s="379">
        <f t="shared" si="9"/>
        <v>0.70199999999999996</v>
      </c>
      <c r="O81" s="379">
        <v>17</v>
      </c>
      <c r="P81" s="380">
        <f t="shared" si="10"/>
        <v>11934</v>
      </c>
      <c r="Q81" s="528"/>
      <c r="T81" s="306"/>
    </row>
    <row r="82" spans="1:20" s="60" customFormat="1" ht="24.95" customHeight="1" x14ac:dyDescent="0.25">
      <c r="A82" s="406" t="s">
        <v>75</v>
      </c>
      <c r="B82" s="529"/>
      <c r="C82" s="331">
        <v>3</v>
      </c>
      <c r="D82" s="329">
        <v>3</v>
      </c>
      <c r="E82" s="330" t="s">
        <v>216</v>
      </c>
      <c r="F82" s="329"/>
      <c r="G82" s="329">
        <v>2.5</v>
      </c>
      <c r="H82" s="328">
        <f t="shared" si="6"/>
        <v>2.5</v>
      </c>
      <c r="I82" s="530">
        <v>3.51</v>
      </c>
      <c r="J82" s="326">
        <f>3.51*0.7</f>
        <v>2.4569999999999999</v>
      </c>
      <c r="K82" s="325">
        <f t="shared" si="7"/>
        <v>0.3</v>
      </c>
      <c r="L82" s="324">
        <v>33464</v>
      </c>
      <c r="M82" s="323">
        <f t="shared" si="8"/>
        <v>25098</v>
      </c>
      <c r="N82" s="379">
        <f t="shared" si="9"/>
        <v>2.6324999999999994</v>
      </c>
      <c r="O82" s="379">
        <v>17</v>
      </c>
      <c r="P82" s="380">
        <f t="shared" si="10"/>
        <v>44752.499999999993</v>
      </c>
      <c r="Q82" s="528"/>
      <c r="T82" s="306"/>
    </row>
    <row r="83" spans="1:20" s="60" customFormat="1" ht="24.95" customHeight="1" x14ac:dyDescent="0.25">
      <c r="A83" s="528" t="s">
        <v>76</v>
      </c>
      <c r="B83" s="529"/>
      <c r="C83" s="331">
        <v>25</v>
      </c>
      <c r="D83" s="329">
        <v>15</v>
      </c>
      <c r="E83" s="330" t="s">
        <v>216</v>
      </c>
      <c r="F83" s="329"/>
      <c r="G83" s="329">
        <v>15</v>
      </c>
      <c r="H83" s="328">
        <f t="shared" si="6"/>
        <v>15</v>
      </c>
      <c r="I83" s="530">
        <v>3.51</v>
      </c>
      <c r="J83" s="326">
        <f>3.51*0.7</f>
        <v>2.4569999999999999</v>
      </c>
      <c r="K83" s="325">
        <f t="shared" si="7"/>
        <v>0.3</v>
      </c>
      <c r="L83" s="324">
        <v>43768</v>
      </c>
      <c r="M83" s="323">
        <f t="shared" si="8"/>
        <v>196956</v>
      </c>
      <c r="N83" s="379">
        <f t="shared" si="9"/>
        <v>15.794999999999998</v>
      </c>
      <c r="O83" s="379">
        <v>17</v>
      </c>
      <c r="P83" s="380">
        <f t="shared" si="10"/>
        <v>268514.99999999994</v>
      </c>
      <c r="Q83" s="528"/>
      <c r="T83" s="306"/>
    </row>
    <row r="84" spans="1:20" s="60" customFormat="1" ht="24.95" customHeight="1" x14ac:dyDescent="0.25">
      <c r="A84" s="528" t="s">
        <v>250</v>
      </c>
      <c r="B84" s="529"/>
      <c r="C84" s="331">
        <v>165</v>
      </c>
      <c r="D84" s="329">
        <v>188</v>
      </c>
      <c r="E84" s="330" t="s">
        <v>120</v>
      </c>
      <c r="F84" s="329">
        <v>188</v>
      </c>
      <c r="G84" s="329"/>
      <c r="H84" s="328">
        <f t="shared" si="6"/>
        <v>188</v>
      </c>
      <c r="I84" s="530">
        <v>3.51</v>
      </c>
      <c r="J84" s="326">
        <f>3.51*0.9</f>
        <v>3.1589999999999998</v>
      </c>
      <c r="K84" s="325">
        <f t="shared" si="7"/>
        <v>0.1</v>
      </c>
      <c r="L84" s="324">
        <v>7470</v>
      </c>
      <c r="M84" s="323">
        <f t="shared" si="8"/>
        <v>140436</v>
      </c>
      <c r="N84" s="379">
        <f t="shared" si="9"/>
        <v>65.988</v>
      </c>
      <c r="O84" s="379">
        <v>17</v>
      </c>
      <c r="P84" s="380">
        <f t="shared" si="10"/>
        <v>1121796</v>
      </c>
      <c r="Q84" s="528"/>
      <c r="T84" s="306"/>
    </row>
    <row r="85" spans="1:20" s="60" customFormat="1" ht="24.95" customHeight="1" x14ac:dyDescent="0.25">
      <c r="A85" s="528" t="s">
        <v>77</v>
      </c>
      <c r="B85" s="529"/>
      <c r="C85" s="331">
        <v>10</v>
      </c>
      <c r="D85" s="329">
        <v>8</v>
      </c>
      <c r="E85" s="330" t="s">
        <v>120</v>
      </c>
      <c r="F85" s="329">
        <v>4</v>
      </c>
      <c r="G85" s="329">
        <v>4</v>
      </c>
      <c r="H85" s="328">
        <f t="shared" si="6"/>
        <v>8</v>
      </c>
      <c r="I85" s="530">
        <v>3.51</v>
      </c>
      <c r="J85" s="326">
        <f>3.51*0.9</f>
        <v>3.1589999999999998</v>
      </c>
      <c r="K85" s="325">
        <f t="shared" si="7"/>
        <v>0.1</v>
      </c>
      <c r="L85" s="324">
        <v>7470</v>
      </c>
      <c r="M85" s="323">
        <f t="shared" si="8"/>
        <v>5976</v>
      </c>
      <c r="N85" s="379">
        <f t="shared" si="9"/>
        <v>2.8079999999999998</v>
      </c>
      <c r="O85" s="379">
        <v>17</v>
      </c>
      <c r="P85" s="380">
        <f t="shared" si="10"/>
        <v>47736</v>
      </c>
      <c r="Q85" s="528"/>
      <c r="T85" s="306"/>
    </row>
    <row r="86" spans="1:20" s="60" customFormat="1" ht="24.95" customHeight="1" x14ac:dyDescent="0.25">
      <c r="A86" s="528" t="s">
        <v>2</v>
      </c>
      <c r="B86" s="529"/>
      <c r="C86" s="331">
        <v>5</v>
      </c>
      <c r="D86" s="329">
        <v>5</v>
      </c>
      <c r="E86" s="330" t="s">
        <v>120</v>
      </c>
      <c r="F86" s="329">
        <v>5</v>
      </c>
      <c r="G86" s="329"/>
      <c r="H86" s="328">
        <f t="shared" si="6"/>
        <v>5</v>
      </c>
      <c r="I86" s="530">
        <v>3.51</v>
      </c>
      <c r="J86" s="326">
        <f>3.51*0.9</f>
        <v>3.1589999999999998</v>
      </c>
      <c r="K86" s="325">
        <f t="shared" si="7"/>
        <v>0.1</v>
      </c>
      <c r="L86" s="324">
        <v>7470</v>
      </c>
      <c r="M86" s="323">
        <f t="shared" si="8"/>
        <v>3735</v>
      </c>
      <c r="N86" s="379">
        <f t="shared" si="9"/>
        <v>1.7549999999999999</v>
      </c>
      <c r="O86" s="379">
        <v>17</v>
      </c>
      <c r="P86" s="380">
        <f t="shared" si="10"/>
        <v>29835</v>
      </c>
      <c r="Q86" s="528"/>
      <c r="T86" s="306"/>
    </row>
    <row r="87" spans="1:20" s="60" customFormat="1" ht="24.95" customHeight="1" x14ac:dyDescent="0.25">
      <c r="A87" s="528" t="s">
        <v>249</v>
      </c>
      <c r="B87" s="529"/>
      <c r="C87" s="331">
        <v>384</v>
      </c>
      <c r="D87" s="329">
        <v>199</v>
      </c>
      <c r="E87" s="330" t="s">
        <v>120</v>
      </c>
      <c r="F87" s="329">
        <v>199</v>
      </c>
      <c r="G87" s="329"/>
      <c r="H87" s="328">
        <f t="shared" si="6"/>
        <v>199</v>
      </c>
      <c r="I87" s="530">
        <v>3.51</v>
      </c>
      <c r="J87" s="326">
        <f>3.51*0.9</f>
        <v>3.1589999999999998</v>
      </c>
      <c r="K87" s="325">
        <f t="shared" si="7"/>
        <v>0.1</v>
      </c>
      <c r="L87" s="324">
        <v>33464</v>
      </c>
      <c r="M87" s="323">
        <f t="shared" si="8"/>
        <v>665933.60000000009</v>
      </c>
      <c r="N87" s="379">
        <f t="shared" si="9"/>
        <v>69.849000000000004</v>
      </c>
      <c r="O87" s="379">
        <v>17</v>
      </c>
      <c r="P87" s="380">
        <f t="shared" si="10"/>
        <v>1187433</v>
      </c>
      <c r="Q87" s="528"/>
      <c r="T87" s="306"/>
    </row>
    <row r="88" spans="1:20" s="457" customFormat="1" ht="24.95" customHeight="1" x14ac:dyDescent="0.25">
      <c r="A88" s="542" t="s">
        <v>79</v>
      </c>
      <c r="B88" s="543"/>
      <c r="C88" s="444">
        <v>275</v>
      </c>
      <c r="D88" s="444">
        <v>270</v>
      </c>
      <c r="E88" s="444">
        <v>0</v>
      </c>
      <c r="F88" s="444">
        <v>200</v>
      </c>
      <c r="G88" s="444">
        <v>70</v>
      </c>
      <c r="H88" s="444">
        <v>270</v>
      </c>
      <c r="I88" s="444">
        <v>7.02</v>
      </c>
      <c r="J88" s="444">
        <v>5.6159999999999997</v>
      </c>
      <c r="K88" s="444">
        <v>0.4</v>
      </c>
      <c r="L88" s="444">
        <v>77232</v>
      </c>
      <c r="M88" s="444">
        <v>2860328</v>
      </c>
      <c r="N88" s="444">
        <v>235.17</v>
      </c>
      <c r="O88" s="444">
        <v>34</v>
      </c>
      <c r="P88" s="444">
        <v>3997890</v>
      </c>
      <c r="Q88" s="542"/>
      <c r="T88" s="458"/>
    </row>
    <row r="89" spans="1:20" s="60" customFormat="1" ht="24.95" customHeight="1" x14ac:dyDescent="0.25">
      <c r="A89" s="528" t="s">
        <v>80</v>
      </c>
      <c r="B89" s="529"/>
      <c r="C89" s="331">
        <v>155</v>
      </c>
      <c r="D89" s="329">
        <v>152</v>
      </c>
      <c r="E89" s="330" t="s">
        <v>119</v>
      </c>
      <c r="F89" s="329">
        <v>152</v>
      </c>
      <c r="G89" s="329"/>
      <c r="H89" s="328">
        <f>SUM(F89:G89)</f>
        <v>152</v>
      </c>
      <c r="I89" s="530">
        <v>3.51</v>
      </c>
      <c r="J89" s="326">
        <f>3.51*0.7</f>
        <v>2.4569999999999999</v>
      </c>
      <c r="K89" s="325">
        <f>(I89-J89)/I89</f>
        <v>0.3</v>
      </c>
      <c r="L89" s="324">
        <v>43768</v>
      </c>
      <c r="M89" s="323">
        <f>(H89*L89)*K89</f>
        <v>1995820.7999999998</v>
      </c>
      <c r="N89" s="379">
        <f>H89*I89*K89</f>
        <v>160.05599999999998</v>
      </c>
      <c r="O89" s="379">
        <v>17</v>
      </c>
      <c r="P89" s="380">
        <f>N89*1000*17</f>
        <v>2720951.9999999995</v>
      </c>
      <c r="Q89" s="528"/>
      <c r="T89" s="306"/>
    </row>
    <row r="90" spans="1:20" s="60" customFormat="1" ht="24.95" customHeight="1" x14ac:dyDescent="0.25">
      <c r="A90" s="528" t="s">
        <v>248</v>
      </c>
      <c r="B90" s="529"/>
      <c r="C90" s="331">
        <v>34</v>
      </c>
      <c r="D90" s="329">
        <v>36</v>
      </c>
      <c r="E90" s="330" t="s">
        <v>120</v>
      </c>
      <c r="F90" s="329">
        <v>36</v>
      </c>
      <c r="G90" s="328"/>
      <c r="H90" s="328">
        <f>SUM(F90:G90)</f>
        <v>36</v>
      </c>
      <c r="I90" s="530">
        <v>3.51</v>
      </c>
      <c r="J90" s="326">
        <f>3.51*0.9</f>
        <v>3.1589999999999998</v>
      </c>
      <c r="K90" s="325">
        <f>(I90-J90)/I90</f>
        <v>0.1</v>
      </c>
      <c r="L90" s="324">
        <v>33464</v>
      </c>
      <c r="M90" s="323">
        <f>(H90*L90)*K90</f>
        <v>120470.40000000001</v>
      </c>
      <c r="N90" s="379">
        <f>H90*I90*K90</f>
        <v>12.635999999999999</v>
      </c>
      <c r="O90" s="379">
        <v>17</v>
      </c>
      <c r="P90" s="380">
        <f>N90*1000*17</f>
        <v>214812</v>
      </c>
      <c r="Q90" s="528"/>
      <c r="T90" s="306"/>
    </row>
    <row r="91" spans="1:20" s="457" customFormat="1" ht="24.95" customHeight="1" x14ac:dyDescent="0.25">
      <c r="A91" s="542" t="s">
        <v>247</v>
      </c>
      <c r="B91" s="543"/>
      <c r="C91" s="444">
        <v>428</v>
      </c>
      <c r="D91" s="444">
        <v>415.5</v>
      </c>
      <c r="E91" s="444">
        <v>0</v>
      </c>
      <c r="F91" s="444">
        <v>350</v>
      </c>
      <c r="G91" s="444">
        <v>65.5</v>
      </c>
      <c r="H91" s="444">
        <v>415.5</v>
      </c>
      <c r="I91" s="444">
        <v>7.02</v>
      </c>
      <c r="J91" s="444">
        <v>5.6159999999999997</v>
      </c>
      <c r="K91" s="444">
        <v>0.4</v>
      </c>
      <c r="L91" s="444">
        <v>77232</v>
      </c>
      <c r="M91" s="444">
        <v>2031281.2</v>
      </c>
      <c r="N91" s="444">
        <v>191.82150000000001</v>
      </c>
      <c r="O91" s="444">
        <v>34</v>
      </c>
      <c r="P91" s="444">
        <v>3260965.5</v>
      </c>
      <c r="Q91" s="542"/>
      <c r="T91" s="458"/>
    </row>
    <row r="92" spans="1:20" s="457" customFormat="1" ht="24.95" customHeight="1" x14ac:dyDescent="0.25">
      <c r="A92" s="542" t="s">
        <v>113</v>
      </c>
      <c r="B92" s="543"/>
      <c r="C92" s="444">
        <v>557</v>
      </c>
      <c r="D92" s="444">
        <v>542.5</v>
      </c>
      <c r="E92" s="444">
        <v>0</v>
      </c>
      <c r="F92" s="444">
        <v>490.5</v>
      </c>
      <c r="G92" s="444">
        <v>52</v>
      </c>
      <c r="H92" s="444">
        <v>542.5</v>
      </c>
      <c r="I92" s="444">
        <v>7.02</v>
      </c>
      <c r="J92" s="444">
        <v>5.6159999999999997</v>
      </c>
      <c r="K92" s="444">
        <v>0.4</v>
      </c>
      <c r="L92" s="444">
        <v>66928</v>
      </c>
      <c r="M92" s="444">
        <v>2163447.6</v>
      </c>
      <c r="N92" s="444">
        <v>226.92150000000001</v>
      </c>
      <c r="O92" s="444">
        <v>34</v>
      </c>
      <c r="P92" s="444">
        <v>3857665.5</v>
      </c>
      <c r="Q92" s="542"/>
      <c r="T92" s="458"/>
    </row>
    <row r="93" spans="1:20" s="60" customFormat="1" ht="24.95" customHeight="1" x14ac:dyDescent="0.25">
      <c r="A93" s="528" t="s">
        <v>82</v>
      </c>
      <c r="B93" s="529"/>
      <c r="C93" s="331">
        <v>1341</v>
      </c>
      <c r="D93" s="329">
        <v>1283</v>
      </c>
      <c r="E93" s="330" t="s">
        <v>120</v>
      </c>
      <c r="F93" s="329">
        <v>1283</v>
      </c>
      <c r="G93" s="329"/>
      <c r="H93" s="328">
        <f>SUM(F93:G93)</f>
        <v>1283</v>
      </c>
      <c r="I93" s="530">
        <v>3.51</v>
      </c>
      <c r="J93" s="326">
        <f>3.51*0.9</f>
        <v>3.1589999999999998</v>
      </c>
      <c r="K93" s="325">
        <f>(I93-J93)/I93</f>
        <v>0.1</v>
      </c>
      <c r="L93" s="324">
        <v>33464</v>
      </c>
      <c r="M93" s="323">
        <f>(H93*L93)*K93</f>
        <v>4293431.2</v>
      </c>
      <c r="N93" s="379">
        <f>H93*I93*K93</f>
        <v>450.33300000000003</v>
      </c>
      <c r="O93" s="379">
        <v>17</v>
      </c>
      <c r="P93" s="380">
        <f>N93*1000*17</f>
        <v>7655661</v>
      </c>
      <c r="Q93" s="528"/>
      <c r="T93" s="306"/>
    </row>
    <row r="94" spans="1:20" s="60" customFormat="1" ht="24.95" customHeight="1" x14ac:dyDescent="0.25">
      <c r="A94" s="373"/>
      <c r="B94" s="529"/>
      <c r="C94" s="374"/>
      <c r="D94" s="374"/>
      <c r="E94" s="376"/>
      <c r="F94" s="374"/>
      <c r="G94" s="374"/>
      <c r="H94" s="374"/>
      <c r="I94" s="371"/>
      <c r="J94" s="326"/>
      <c r="K94" s="325"/>
      <c r="L94" s="374"/>
      <c r="M94" s="374"/>
      <c r="N94" s="374"/>
      <c r="O94" s="377"/>
      <c r="P94" s="374"/>
      <c r="Q94" s="333"/>
      <c r="T94" s="306"/>
    </row>
    <row r="95" spans="1:20" s="60" customFormat="1" ht="19.5" customHeight="1" x14ac:dyDescent="0.25">
      <c r="A95" s="381" t="s">
        <v>246</v>
      </c>
      <c r="B95" s="531"/>
      <c r="C95" s="367"/>
      <c r="D95" s="365"/>
      <c r="E95" s="366"/>
      <c r="F95" s="365"/>
      <c r="G95" s="364"/>
      <c r="H95" s="363"/>
      <c r="I95" s="362"/>
      <c r="J95" s="361"/>
      <c r="K95" s="360"/>
      <c r="L95" s="359"/>
      <c r="M95" s="358"/>
      <c r="N95" s="357"/>
      <c r="O95" s="357"/>
      <c r="P95" s="356"/>
      <c r="Q95" s="355"/>
      <c r="T95" s="306"/>
    </row>
    <row r="96" spans="1:20" s="60" customFormat="1" ht="24.95" customHeight="1" x14ac:dyDescent="0.25">
      <c r="A96" s="528" t="s">
        <v>85</v>
      </c>
      <c r="B96" s="529"/>
      <c r="C96" s="331">
        <v>13</v>
      </c>
      <c r="D96" s="329">
        <v>13</v>
      </c>
      <c r="E96" s="330" t="s">
        <v>119</v>
      </c>
      <c r="F96" s="329">
        <v>13</v>
      </c>
      <c r="G96" s="329"/>
      <c r="H96" s="328">
        <f t="shared" ref="H96:H106" si="11">SUM(F96:G96)</f>
        <v>13</v>
      </c>
      <c r="I96" s="530">
        <v>3.51</v>
      </c>
      <c r="J96" s="326">
        <f>3.51*0.8</f>
        <v>2.8079999999999998</v>
      </c>
      <c r="K96" s="325">
        <f t="shared" ref="K96:K106" si="12">(I96-J96)/I96</f>
        <v>0.2</v>
      </c>
      <c r="L96" s="324">
        <v>43768</v>
      </c>
      <c r="M96" s="323">
        <f t="shared" ref="M96:M106" si="13">(H96*L96)*K96</f>
        <v>113796.8</v>
      </c>
      <c r="N96" s="379">
        <f t="shared" ref="N96:N106" si="14">H96*I96*K96</f>
        <v>9.1259999999999994</v>
      </c>
      <c r="O96" s="379">
        <v>17</v>
      </c>
      <c r="P96" s="380">
        <f t="shared" ref="P96:P106" si="15">N96*1000*17</f>
        <v>155142</v>
      </c>
      <c r="Q96" s="528"/>
      <c r="T96" s="306"/>
    </row>
    <row r="97" spans="1:20" s="60" customFormat="1" ht="24.95" customHeight="1" x14ac:dyDescent="0.25">
      <c r="A97" s="528" t="s">
        <v>185</v>
      </c>
      <c r="B97" s="529"/>
      <c r="C97" s="331">
        <v>314</v>
      </c>
      <c r="D97" s="329">
        <v>515</v>
      </c>
      <c r="E97" s="330" t="s">
        <v>120</v>
      </c>
      <c r="F97" s="329">
        <v>252.35</v>
      </c>
      <c r="G97" s="329">
        <v>262.64999999999998</v>
      </c>
      <c r="H97" s="328">
        <f t="shared" si="11"/>
        <v>515</v>
      </c>
      <c r="I97" s="530">
        <v>3.51</v>
      </c>
      <c r="J97" s="326">
        <f t="shared" ref="J97:J106" si="16">3.51*0.9</f>
        <v>3.1589999999999998</v>
      </c>
      <c r="K97" s="325">
        <f t="shared" si="12"/>
        <v>0.1</v>
      </c>
      <c r="L97" s="324">
        <v>7470</v>
      </c>
      <c r="M97" s="323">
        <f t="shared" si="13"/>
        <v>384705</v>
      </c>
      <c r="N97" s="379">
        <f t="shared" si="14"/>
        <v>180.76499999999999</v>
      </c>
      <c r="O97" s="379">
        <v>17</v>
      </c>
      <c r="P97" s="380">
        <f t="shared" si="15"/>
        <v>3073005</v>
      </c>
      <c r="Q97" s="528"/>
      <c r="T97" s="306"/>
    </row>
    <row r="98" spans="1:20" s="60" customFormat="1" ht="24.95" customHeight="1" x14ac:dyDescent="0.25">
      <c r="A98" s="528" t="s">
        <v>87</v>
      </c>
      <c r="B98" s="529"/>
      <c r="C98" s="331">
        <v>123</v>
      </c>
      <c r="D98" s="329">
        <v>100</v>
      </c>
      <c r="E98" s="330" t="s">
        <v>120</v>
      </c>
      <c r="F98" s="329">
        <v>100</v>
      </c>
      <c r="G98" s="329"/>
      <c r="H98" s="328">
        <f t="shared" si="11"/>
        <v>100</v>
      </c>
      <c r="I98" s="530">
        <v>3.51</v>
      </c>
      <c r="J98" s="326">
        <f t="shared" si="16"/>
        <v>3.1589999999999998</v>
      </c>
      <c r="K98" s="325">
        <f t="shared" si="12"/>
        <v>0.1</v>
      </c>
      <c r="L98" s="324">
        <v>7470</v>
      </c>
      <c r="M98" s="323">
        <f t="shared" si="13"/>
        <v>74700</v>
      </c>
      <c r="N98" s="379">
        <f t="shared" si="14"/>
        <v>35.1</v>
      </c>
      <c r="O98" s="379">
        <v>17</v>
      </c>
      <c r="P98" s="380">
        <f t="shared" si="15"/>
        <v>596700</v>
      </c>
      <c r="Q98" s="528"/>
      <c r="T98" s="306"/>
    </row>
    <row r="99" spans="1:20" s="60" customFormat="1" ht="24.95" customHeight="1" x14ac:dyDescent="0.25">
      <c r="A99" s="528" t="s">
        <v>86</v>
      </c>
      <c r="B99" s="529"/>
      <c r="C99" s="331">
        <v>58</v>
      </c>
      <c r="D99" s="329">
        <v>55</v>
      </c>
      <c r="E99" s="330" t="s">
        <v>120</v>
      </c>
      <c r="F99" s="329">
        <v>55</v>
      </c>
      <c r="G99" s="329"/>
      <c r="H99" s="328">
        <f t="shared" si="11"/>
        <v>55</v>
      </c>
      <c r="I99" s="530">
        <v>3.51</v>
      </c>
      <c r="J99" s="326">
        <f t="shared" si="16"/>
        <v>3.1589999999999998</v>
      </c>
      <c r="K99" s="325">
        <f t="shared" si="12"/>
        <v>0.1</v>
      </c>
      <c r="L99" s="324">
        <v>7470</v>
      </c>
      <c r="M99" s="323">
        <f t="shared" si="13"/>
        <v>41085</v>
      </c>
      <c r="N99" s="379">
        <f t="shared" si="14"/>
        <v>19.305</v>
      </c>
      <c r="O99" s="379">
        <v>17</v>
      </c>
      <c r="P99" s="380">
        <f t="shared" si="15"/>
        <v>328185</v>
      </c>
      <c r="Q99" s="528"/>
      <c r="T99" s="306"/>
    </row>
    <row r="100" spans="1:20" s="60" customFormat="1" ht="24.95" customHeight="1" x14ac:dyDescent="0.25">
      <c r="A100" s="528" t="s">
        <v>98</v>
      </c>
      <c r="B100" s="529"/>
      <c r="C100" s="331">
        <v>104</v>
      </c>
      <c r="D100" s="329">
        <v>134</v>
      </c>
      <c r="E100" s="330" t="s">
        <v>120</v>
      </c>
      <c r="F100" s="329">
        <v>97</v>
      </c>
      <c r="G100" s="329">
        <v>37</v>
      </c>
      <c r="H100" s="328">
        <f t="shared" si="11"/>
        <v>134</v>
      </c>
      <c r="I100" s="530">
        <v>3.51</v>
      </c>
      <c r="J100" s="326">
        <f t="shared" si="16"/>
        <v>3.1589999999999998</v>
      </c>
      <c r="K100" s="325">
        <f t="shared" si="12"/>
        <v>0.1</v>
      </c>
      <c r="L100" s="324">
        <v>7470</v>
      </c>
      <c r="M100" s="323">
        <f t="shared" si="13"/>
        <v>100098</v>
      </c>
      <c r="N100" s="379">
        <f t="shared" si="14"/>
        <v>47.033999999999999</v>
      </c>
      <c r="O100" s="379">
        <v>17</v>
      </c>
      <c r="P100" s="380">
        <f t="shared" si="15"/>
        <v>799578</v>
      </c>
      <c r="Q100" s="528"/>
      <c r="T100" s="306"/>
    </row>
    <row r="101" spans="1:20" s="60" customFormat="1" ht="24.95" customHeight="1" x14ac:dyDescent="0.25">
      <c r="A101" s="528" t="s">
        <v>109</v>
      </c>
      <c r="B101" s="529"/>
      <c r="C101" s="331">
        <v>298</v>
      </c>
      <c r="D101" s="329">
        <v>310</v>
      </c>
      <c r="E101" s="330" t="s">
        <v>120</v>
      </c>
      <c r="F101" s="329">
        <v>270</v>
      </c>
      <c r="G101" s="329">
        <v>40</v>
      </c>
      <c r="H101" s="328">
        <f t="shared" si="11"/>
        <v>310</v>
      </c>
      <c r="I101" s="530">
        <v>3.51</v>
      </c>
      <c r="J101" s="326">
        <f t="shared" si="16"/>
        <v>3.1589999999999998</v>
      </c>
      <c r="K101" s="325">
        <f t="shared" si="12"/>
        <v>0.1</v>
      </c>
      <c r="L101" s="324">
        <v>7470</v>
      </c>
      <c r="M101" s="323">
        <f t="shared" si="13"/>
        <v>231570</v>
      </c>
      <c r="N101" s="379">
        <f t="shared" si="14"/>
        <v>108.81</v>
      </c>
      <c r="O101" s="379">
        <v>17</v>
      </c>
      <c r="P101" s="380">
        <f t="shared" si="15"/>
        <v>1849770</v>
      </c>
      <c r="Q101" s="528"/>
      <c r="T101" s="306"/>
    </row>
    <row r="102" spans="1:20" s="60" customFormat="1" ht="24.95" customHeight="1" x14ac:dyDescent="0.25">
      <c r="A102" s="528" t="s">
        <v>245</v>
      </c>
      <c r="B102" s="529"/>
      <c r="C102" s="331">
        <v>69</v>
      </c>
      <c r="D102" s="329">
        <v>83</v>
      </c>
      <c r="E102" s="330" t="s">
        <v>120</v>
      </c>
      <c r="F102" s="329">
        <v>83</v>
      </c>
      <c r="G102" s="329"/>
      <c r="H102" s="328">
        <f t="shared" si="11"/>
        <v>83</v>
      </c>
      <c r="I102" s="530">
        <v>3.51</v>
      </c>
      <c r="J102" s="326">
        <f t="shared" si="16"/>
        <v>3.1589999999999998</v>
      </c>
      <c r="K102" s="325">
        <f t="shared" si="12"/>
        <v>0.1</v>
      </c>
      <c r="L102" s="324">
        <v>7470</v>
      </c>
      <c r="M102" s="323">
        <f t="shared" si="13"/>
        <v>62001</v>
      </c>
      <c r="N102" s="379">
        <f t="shared" si="14"/>
        <v>29.132999999999999</v>
      </c>
      <c r="O102" s="379">
        <v>17</v>
      </c>
      <c r="P102" s="380">
        <f t="shared" si="15"/>
        <v>495261</v>
      </c>
      <c r="Q102" s="528"/>
      <c r="T102" s="306"/>
    </row>
    <row r="103" spans="1:20" s="60" customFormat="1" ht="24.95" customHeight="1" x14ac:dyDescent="0.25">
      <c r="A103" s="528" t="s">
        <v>103</v>
      </c>
      <c r="B103" s="529"/>
      <c r="C103" s="331">
        <v>90</v>
      </c>
      <c r="D103" s="329">
        <v>75</v>
      </c>
      <c r="E103" s="330" t="s">
        <v>120</v>
      </c>
      <c r="F103" s="329">
        <v>75</v>
      </c>
      <c r="G103" s="329"/>
      <c r="H103" s="328">
        <f t="shared" si="11"/>
        <v>75</v>
      </c>
      <c r="I103" s="530">
        <v>3.51</v>
      </c>
      <c r="J103" s="326">
        <f t="shared" si="16"/>
        <v>3.1589999999999998</v>
      </c>
      <c r="K103" s="325">
        <f t="shared" si="12"/>
        <v>0.1</v>
      </c>
      <c r="L103" s="324">
        <v>7470</v>
      </c>
      <c r="M103" s="323">
        <f t="shared" si="13"/>
        <v>56025</v>
      </c>
      <c r="N103" s="379">
        <f t="shared" si="14"/>
        <v>26.325000000000003</v>
      </c>
      <c r="O103" s="379">
        <v>17</v>
      </c>
      <c r="P103" s="380">
        <f t="shared" si="15"/>
        <v>447525.00000000006</v>
      </c>
      <c r="Q103" s="528"/>
      <c r="T103" s="306"/>
    </row>
    <row r="104" spans="1:20" s="60" customFormat="1" ht="24.95" customHeight="1" x14ac:dyDescent="0.25">
      <c r="A104" s="528" t="s">
        <v>237</v>
      </c>
      <c r="B104" s="529"/>
      <c r="C104" s="331"/>
      <c r="D104" s="329">
        <v>693.5</v>
      </c>
      <c r="E104" s="330" t="s">
        <v>120</v>
      </c>
      <c r="F104" s="329">
        <v>104.02500000000001</v>
      </c>
      <c r="G104" s="329">
        <v>589.47500000000002</v>
      </c>
      <c r="H104" s="328">
        <f t="shared" si="11"/>
        <v>693.5</v>
      </c>
      <c r="I104" s="530">
        <v>3.51</v>
      </c>
      <c r="J104" s="326">
        <f t="shared" si="16"/>
        <v>3.1589999999999998</v>
      </c>
      <c r="K104" s="325">
        <f t="shared" si="12"/>
        <v>0.1</v>
      </c>
      <c r="L104" s="324">
        <v>7470</v>
      </c>
      <c r="M104" s="323">
        <f t="shared" si="13"/>
        <v>518044.5</v>
      </c>
      <c r="N104" s="379">
        <f t="shared" si="14"/>
        <v>243.41849999999999</v>
      </c>
      <c r="O104" s="379">
        <v>17</v>
      </c>
      <c r="P104" s="380">
        <f t="shared" si="15"/>
        <v>4138114.5</v>
      </c>
      <c r="Q104" s="528"/>
      <c r="T104" s="306"/>
    </row>
    <row r="105" spans="1:20" s="60" customFormat="1" ht="24.95" customHeight="1" x14ac:dyDescent="0.25">
      <c r="A105" s="528" t="s">
        <v>91</v>
      </c>
      <c r="B105" s="529"/>
      <c r="C105" s="331">
        <v>70</v>
      </c>
      <c r="D105" s="329">
        <v>480</v>
      </c>
      <c r="E105" s="330" t="s">
        <v>120</v>
      </c>
      <c r="F105" s="329">
        <v>360</v>
      </c>
      <c r="G105" s="329">
        <v>120</v>
      </c>
      <c r="H105" s="328">
        <f t="shared" si="11"/>
        <v>480</v>
      </c>
      <c r="I105" s="530">
        <v>3.51</v>
      </c>
      <c r="J105" s="326">
        <f t="shared" si="16"/>
        <v>3.1589999999999998</v>
      </c>
      <c r="K105" s="325">
        <f t="shared" si="12"/>
        <v>0.1</v>
      </c>
      <c r="L105" s="324">
        <v>7470</v>
      </c>
      <c r="M105" s="323">
        <f t="shared" si="13"/>
        <v>358560</v>
      </c>
      <c r="N105" s="379">
        <f t="shared" si="14"/>
        <v>168.48000000000002</v>
      </c>
      <c r="O105" s="379">
        <v>17</v>
      </c>
      <c r="P105" s="380">
        <f t="shared" si="15"/>
        <v>2864160.0000000005</v>
      </c>
      <c r="Q105" s="528"/>
      <c r="T105" s="306"/>
    </row>
    <row r="106" spans="1:20" s="60" customFormat="1" ht="24.95" customHeight="1" x14ac:dyDescent="0.25">
      <c r="A106" s="528" t="s">
        <v>107</v>
      </c>
      <c r="B106" s="529"/>
      <c r="C106" s="331">
        <v>190</v>
      </c>
      <c r="D106" s="329">
        <v>198</v>
      </c>
      <c r="E106" s="330" t="s">
        <v>120</v>
      </c>
      <c r="F106" s="329">
        <v>34</v>
      </c>
      <c r="G106" s="329">
        <v>42</v>
      </c>
      <c r="H106" s="328">
        <f t="shared" si="11"/>
        <v>76</v>
      </c>
      <c r="I106" s="530">
        <v>3.51</v>
      </c>
      <c r="J106" s="326">
        <f t="shared" si="16"/>
        <v>3.1589999999999998</v>
      </c>
      <c r="K106" s="325">
        <f t="shared" si="12"/>
        <v>0.1</v>
      </c>
      <c r="L106" s="324">
        <v>7470</v>
      </c>
      <c r="M106" s="323">
        <f t="shared" si="13"/>
        <v>56772</v>
      </c>
      <c r="N106" s="379">
        <f t="shared" si="14"/>
        <v>26.676000000000002</v>
      </c>
      <c r="O106" s="379">
        <v>17</v>
      </c>
      <c r="P106" s="380">
        <f t="shared" si="15"/>
        <v>453492.00000000006</v>
      </c>
      <c r="Q106" s="528"/>
      <c r="T106" s="306"/>
    </row>
    <row r="107" spans="1:20" s="457" customFormat="1" ht="24.95" customHeight="1" x14ac:dyDescent="0.25">
      <c r="A107" s="542" t="s">
        <v>217</v>
      </c>
      <c r="B107" s="543"/>
      <c r="C107" s="444">
        <v>105</v>
      </c>
      <c r="D107" s="444">
        <v>100</v>
      </c>
      <c r="E107" s="444">
        <v>0</v>
      </c>
      <c r="F107" s="444">
        <v>0</v>
      </c>
      <c r="G107" s="444">
        <v>100</v>
      </c>
      <c r="H107" s="444">
        <v>100</v>
      </c>
      <c r="I107" s="444">
        <v>7.02</v>
      </c>
      <c r="J107" s="444">
        <v>5.9669999999999996</v>
      </c>
      <c r="K107" s="444">
        <v>0.30000000000000004</v>
      </c>
      <c r="L107" s="444">
        <v>51238</v>
      </c>
      <c r="M107" s="444">
        <v>226825.40000000002</v>
      </c>
      <c r="N107" s="444">
        <v>41.769000000000005</v>
      </c>
      <c r="O107" s="444">
        <v>34</v>
      </c>
      <c r="P107" s="444">
        <v>710073</v>
      </c>
      <c r="Q107" s="542"/>
      <c r="T107" s="458"/>
    </row>
    <row r="108" spans="1:20" s="60" customFormat="1" ht="24.95" customHeight="1" x14ac:dyDescent="0.25">
      <c r="A108" s="528" t="s">
        <v>92</v>
      </c>
      <c r="B108" s="529"/>
      <c r="C108" s="331">
        <v>4</v>
      </c>
      <c r="D108" s="329">
        <v>6</v>
      </c>
      <c r="E108" s="330" t="s">
        <v>216</v>
      </c>
      <c r="F108" s="329">
        <v>3</v>
      </c>
      <c r="G108" s="328">
        <v>2.5</v>
      </c>
      <c r="H108" s="328">
        <f>G108+F108</f>
        <v>5.5</v>
      </c>
      <c r="I108" s="530">
        <v>3.51</v>
      </c>
      <c r="J108" s="326">
        <f>3.51*0.8</f>
        <v>2.8079999999999998</v>
      </c>
      <c r="K108" s="325">
        <f>(I108-J108)/I108</f>
        <v>0.2</v>
      </c>
      <c r="L108" s="324">
        <v>33464</v>
      </c>
      <c r="M108" s="323">
        <f>(H108*L108)*K108</f>
        <v>36810.400000000001</v>
      </c>
      <c r="N108" s="379">
        <f>H108*I108*K108</f>
        <v>3.8610000000000002</v>
      </c>
      <c r="O108" s="379">
        <v>17</v>
      </c>
      <c r="P108" s="380">
        <f>N108*1000*17</f>
        <v>65637</v>
      </c>
      <c r="Q108" s="528"/>
      <c r="T108" s="306"/>
    </row>
    <row r="109" spans="1:20" s="60" customFormat="1" ht="24.95" customHeight="1" x14ac:dyDescent="0.25">
      <c r="A109" s="528" t="s">
        <v>3</v>
      </c>
      <c r="B109" s="529"/>
      <c r="C109" s="331">
        <v>51</v>
      </c>
      <c r="D109" s="329">
        <v>35</v>
      </c>
      <c r="E109" s="330" t="s">
        <v>120</v>
      </c>
      <c r="F109" s="329">
        <v>26</v>
      </c>
      <c r="G109" s="328">
        <v>9</v>
      </c>
      <c r="H109" s="328">
        <f>SUM(F109:G109)</f>
        <v>35</v>
      </c>
      <c r="I109" s="530">
        <v>3.51</v>
      </c>
      <c r="J109" s="326">
        <f>3.51*0.9</f>
        <v>3.1589999999999998</v>
      </c>
      <c r="K109" s="325">
        <f>(I109-J109)/I109</f>
        <v>0.1</v>
      </c>
      <c r="L109" s="324">
        <v>7470</v>
      </c>
      <c r="M109" s="323">
        <f>(H109*L109)*K109</f>
        <v>26145</v>
      </c>
      <c r="N109" s="379">
        <f>H109*I109*K109</f>
        <v>12.285</v>
      </c>
      <c r="O109" s="379">
        <v>17</v>
      </c>
      <c r="P109" s="380">
        <f>N109*1000*17</f>
        <v>208845</v>
      </c>
      <c r="Q109" s="528"/>
      <c r="T109" s="306"/>
    </row>
    <row r="110" spans="1:20" s="60" customFormat="1" ht="24.95" customHeight="1" x14ac:dyDescent="0.25">
      <c r="A110" s="528" t="s">
        <v>106</v>
      </c>
      <c r="B110" s="529"/>
      <c r="C110" s="331">
        <v>591</v>
      </c>
      <c r="D110" s="329">
        <v>482.28</v>
      </c>
      <c r="E110" s="330" t="s">
        <v>120</v>
      </c>
      <c r="F110" s="329">
        <v>225</v>
      </c>
      <c r="G110" s="328">
        <f>482-225</f>
        <v>257</v>
      </c>
      <c r="H110" s="328">
        <f>SUM(F110:G110)</f>
        <v>482</v>
      </c>
      <c r="I110" s="530">
        <v>3.51</v>
      </c>
      <c r="J110" s="326">
        <f>3.51*0.9</f>
        <v>3.1589999999999998</v>
      </c>
      <c r="K110" s="325">
        <f>(I110-J110)/I110</f>
        <v>0.1</v>
      </c>
      <c r="L110" s="324">
        <v>7470</v>
      </c>
      <c r="M110" s="323">
        <f>(H110*L110)*K110</f>
        <v>360054</v>
      </c>
      <c r="N110" s="379">
        <f>H110*I110*K110</f>
        <v>169.18200000000002</v>
      </c>
      <c r="O110" s="379">
        <v>17</v>
      </c>
      <c r="P110" s="380">
        <f>N110*1000*17</f>
        <v>2876094.0000000005</v>
      </c>
      <c r="Q110" s="528"/>
      <c r="T110" s="306"/>
    </row>
    <row r="111" spans="1:20" s="60" customFormat="1" ht="24.95" customHeight="1" x14ac:dyDescent="0.25">
      <c r="A111" s="528" t="s">
        <v>94</v>
      </c>
      <c r="B111" s="529"/>
      <c r="C111" s="331">
        <v>17</v>
      </c>
      <c r="D111" s="329">
        <v>14.375</v>
      </c>
      <c r="E111" s="330" t="s">
        <v>120</v>
      </c>
      <c r="F111" s="329">
        <v>14.375</v>
      </c>
      <c r="G111" s="329"/>
      <c r="H111" s="328">
        <f>SUM(F111:G111)</f>
        <v>14.375</v>
      </c>
      <c r="I111" s="530">
        <v>3.51</v>
      </c>
      <c r="J111" s="326">
        <v>2.81</v>
      </c>
      <c r="K111" s="325">
        <f>(I111-J111)/I111</f>
        <v>0.19943019943019938</v>
      </c>
      <c r="L111" s="324">
        <v>7470</v>
      </c>
      <c r="M111" s="323">
        <f>(H111*L111)*K111</f>
        <v>21415.064102564098</v>
      </c>
      <c r="N111" s="379">
        <f>H111*I111*K111</f>
        <v>10.062499999999996</v>
      </c>
      <c r="O111" s="379">
        <v>17</v>
      </c>
      <c r="P111" s="380">
        <f>N111*1000*17</f>
        <v>171062.49999999994</v>
      </c>
      <c r="Q111" s="528"/>
      <c r="T111" s="306"/>
    </row>
    <row r="112" spans="1:20" s="457" customFormat="1" ht="24.95" customHeight="1" x14ac:dyDescent="0.25">
      <c r="A112" s="542" t="s">
        <v>88</v>
      </c>
      <c r="B112" s="543"/>
      <c r="C112" s="444">
        <v>287</v>
      </c>
      <c r="D112" s="444">
        <v>564.25</v>
      </c>
      <c r="E112" s="444">
        <v>0</v>
      </c>
      <c r="F112" s="444">
        <v>557.25</v>
      </c>
      <c r="G112" s="444">
        <v>7</v>
      </c>
      <c r="H112" s="444">
        <v>564.25</v>
      </c>
      <c r="I112" s="444">
        <v>7.02</v>
      </c>
      <c r="J112" s="444">
        <v>5.6180000000000003</v>
      </c>
      <c r="K112" s="444">
        <v>0.39943019943019942</v>
      </c>
      <c r="L112" s="444">
        <v>51238</v>
      </c>
      <c r="M112" s="444">
        <v>891434.8153846151</v>
      </c>
      <c r="N112" s="444">
        <v>394.98899999999986</v>
      </c>
      <c r="O112" s="444">
        <v>34</v>
      </c>
      <c r="P112" s="444">
        <v>6714812.9999999981</v>
      </c>
      <c r="Q112" s="542"/>
      <c r="T112" s="458"/>
    </row>
    <row r="113" spans="1:20" s="60" customFormat="1" ht="24.95" customHeight="1" x14ac:dyDescent="0.25">
      <c r="A113" s="528" t="s">
        <v>110</v>
      </c>
      <c r="B113" s="529"/>
      <c r="C113" s="331">
        <v>372</v>
      </c>
      <c r="D113" s="329">
        <v>238.5</v>
      </c>
      <c r="E113" s="330" t="s">
        <v>120</v>
      </c>
      <c r="F113" s="329">
        <v>35.25</v>
      </c>
      <c r="G113" s="329">
        <v>203.25</v>
      </c>
      <c r="H113" s="328">
        <f>SUM(F113:G113)</f>
        <v>238.5</v>
      </c>
      <c r="I113" s="530">
        <v>3.51</v>
      </c>
      <c r="J113" s="326">
        <f>3.51*0.9</f>
        <v>3.1589999999999998</v>
      </c>
      <c r="K113" s="325">
        <f>(I113-J113)/I113</f>
        <v>0.1</v>
      </c>
      <c r="L113" s="324">
        <v>7470</v>
      </c>
      <c r="M113" s="323">
        <f>(H113*L113)*K113</f>
        <v>178159.5</v>
      </c>
      <c r="N113" s="379">
        <f>H113*I113*K113</f>
        <v>83.71350000000001</v>
      </c>
      <c r="O113" s="379">
        <v>17</v>
      </c>
      <c r="P113" s="380">
        <f>N113*1000*17</f>
        <v>1423129.5000000002</v>
      </c>
      <c r="Q113" s="528"/>
      <c r="T113" s="306"/>
    </row>
    <row r="114" spans="1:20" s="60" customFormat="1" ht="24.95" customHeight="1" x14ac:dyDescent="0.25">
      <c r="A114" s="271"/>
      <c r="B114" s="522"/>
      <c r="C114" s="523"/>
      <c r="D114" s="523"/>
      <c r="E114" s="527"/>
      <c r="F114" s="525"/>
      <c r="G114" s="525"/>
      <c r="H114" s="523"/>
      <c r="I114" s="526"/>
      <c r="J114" s="265"/>
      <c r="K114" s="309"/>
      <c r="L114" s="525"/>
      <c r="M114" s="525"/>
      <c r="N114" s="525"/>
      <c r="O114" s="524"/>
      <c r="P114" s="523"/>
      <c r="Q114" s="260"/>
      <c r="T114" s="306"/>
    </row>
    <row r="115" spans="1:20" s="60" customFormat="1" ht="24.95" customHeight="1" x14ac:dyDescent="0.25">
      <c r="A115" s="271"/>
      <c r="B115" s="522"/>
      <c r="C115" s="523"/>
      <c r="D115" s="523"/>
      <c r="E115" s="527"/>
      <c r="F115" s="525"/>
      <c r="G115" s="525"/>
      <c r="H115" s="523"/>
      <c r="I115" s="526"/>
      <c r="J115" s="265"/>
      <c r="K115" s="309"/>
      <c r="L115" s="525"/>
      <c r="M115" s="525"/>
      <c r="N115" s="525"/>
      <c r="O115" s="524"/>
      <c r="P115" s="523"/>
      <c r="Q115" s="260"/>
      <c r="T115" s="306"/>
    </row>
    <row r="116" spans="1:20" s="60" customFormat="1" ht="19.5" customHeight="1" x14ac:dyDescent="0.25">
      <c r="A116" s="271"/>
      <c r="B116" s="522"/>
      <c r="C116" s="308"/>
      <c r="D116" s="308"/>
      <c r="E116" s="311"/>
      <c r="F116" s="308"/>
      <c r="G116" s="308"/>
      <c r="H116" s="308"/>
      <c r="I116" s="310"/>
      <c r="J116" s="265"/>
      <c r="K116" s="309"/>
      <c r="L116" s="308"/>
      <c r="M116" s="308"/>
      <c r="N116" s="308"/>
      <c r="O116" s="262"/>
      <c r="P116" s="308"/>
      <c r="Q116" s="307"/>
      <c r="T116" s="306"/>
    </row>
    <row r="117" spans="1:20" s="60" customFormat="1" ht="19.5" customHeight="1" x14ac:dyDescent="0.25">
      <c r="A117" s="800" t="s">
        <v>190</v>
      </c>
      <c r="B117" s="800"/>
      <c r="C117" s="800"/>
      <c r="D117" s="800"/>
      <c r="E117" s="274"/>
      <c r="F117" s="801" t="s">
        <v>189</v>
      </c>
      <c r="G117" s="801"/>
      <c r="H117" s="801"/>
      <c r="I117" s="801"/>
      <c r="J117" s="801"/>
      <c r="K117" s="274"/>
      <c r="L117" s="273"/>
      <c r="M117" s="801" t="s">
        <v>188</v>
      </c>
      <c r="N117" s="801"/>
      <c r="O117" s="801"/>
      <c r="P117" s="801"/>
      <c r="Q117" s="272"/>
    </row>
    <row r="118" spans="1:20" s="60" customFormat="1" ht="19.5" customHeight="1" x14ac:dyDescent="0.25">
      <c r="A118" s="802"/>
      <c r="B118" s="802"/>
      <c r="C118" s="802"/>
      <c r="D118" s="802"/>
      <c r="E118" s="274"/>
      <c r="F118" s="802" t="s">
        <v>187</v>
      </c>
      <c r="G118" s="802"/>
      <c r="H118" s="802"/>
      <c r="I118" s="802"/>
      <c r="J118" s="802"/>
      <c r="K118" s="274"/>
      <c r="L118" s="273"/>
      <c r="M118" s="802" t="s">
        <v>186</v>
      </c>
      <c r="N118" s="802"/>
      <c r="O118" s="802"/>
      <c r="P118" s="802"/>
      <c r="Q118" s="272"/>
    </row>
    <row r="119" spans="1:20" s="60" customFormat="1" ht="19.5" customHeight="1" x14ac:dyDescent="0.2">
      <c r="A119" s="271"/>
      <c r="B119" s="521"/>
      <c r="C119" s="269"/>
      <c r="D119" s="269"/>
      <c r="E119" s="270"/>
      <c r="F119" s="269"/>
      <c r="G119" s="268"/>
      <c r="H119" s="267"/>
      <c r="I119" s="266"/>
      <c r="J119" s="265"/>
      <c r="K119" s="262"/>
      <c r="L119" s="264"/>
      <c r="M119" s="263"/>
      <c r="N119" s="262"/>
      <c r="O119" s="262"/>
      <c r="P119" s="261"/>
      <c r="Q119" s="260"/>
    </row>
  </sheetData>
  <mergeCells count="24">
    <mergeCell ref="A118:D118"/>
    <mergeCell ref="F118:J118"/>
    <mergeCell ref="M118:P118"/>
    <mergeCell ref="L12:P12"/>
    <mergeCell ref="Q12:Q14"/>
    <mergeCell ref="A117:D117"/>
    <mergeCell ref="F117:J117"/>
    <mergeCell ref="M117:P117"/>
    <mergeCell ref="L13:M13"/>
    <mergeCell ref="N13:P13"/>
    <mergeCell ref="Q41:Q42"/>
    <mergeCell ref="A1:Q1"/>
    <mergeCell ref="A2:Q2"/>
    <mergeCell ref="A3:Q3"/>
    <mergeCell ref="A4:Q4"/>
    <mergeCell ref="A11:Q11"/>
    <mergeCell ref="A12:A14"/>
    <mergeCell ref="B12:B14"/>
    <mergeCell ref="C12:C14"/>
    <mergeCell ref="D12:D14"/>
    <mergeCell ref="E12:E14"/>
    <mergeCell ref="F12:H13"/>
    <mergeCell ref="I12:J13"/>
    <mergeCell ref="K12:K14"/>
  </mergeCells>
  <printOptions horizontalCentered="1"/>
  <pageMargins left="0" right="0" top="0.25" bottom="0.25" header="0.46" footer="0"/>
  <pageSetup paperSize="258" scale="66" orientation="landscape" verticalDpi="300" r:id="rId1"/>
  <headerFooter alignWithMargins="0"/>
  <rowBreaks count="1" manualBreakCount="1">
    <brk id="115" max="16"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1D68C-2F2C-E94B-968A-49A4C1CD6067}">
  <sheetPr>
    <tabColor rgb="FFFFFF00"/>
  </sheetPr>
  <dimension ref="A1:T53"/>
  <sheetViews>
    <sheetView view="pageBreakPreview" topLeftCell="A11" zoomScale="85" zoomScaleNormal="60" zoomScaleSheetLayoutView="85" workbookViewId="0">
      <selection activeCell="A28" sqref="A28:A46"/>
    </sheetView>
  </sheetViews>
  <sheetFormatPr defaultColWidth="9.140625" defaultRowHeight="18.95" customHeight="1" x14ac:dyDescent="0.25"/>
  <cols>
    <col min="1" max="1" width="20.140625" style="463" customWidth="1"/>
    <col min="2" max="2" width="19.42578125" style="463" customWidth="1"/>
    <col min="3" max="3" width="16.42578125" style="464" customWidth="1"/>
    <col min="4" max="4" width="15.85546875" style="464" customWidth="1"/>
    <col min="5" max="5" width="25.140625" style="464" customWidth="1"/>
    <col min="6" max="6" width="15.28515625" style="463" customWidth="1"/>
    <col min="7" max="7" width="16.85546875" style="463" customWidth="1"/>
    <col min="8" max="8" width="19.140625" style="463" customWidth="1"/>
    <col min="9" max="9" width="15" style="463" customWidth="1"/>
    <col min="10" max="10" width="13.42578125" style="463" customWidth="1"/>
    <col min="11" max="11" width="11.140625" style="463" customWidth="1"/>
    <col min="12" max="12" width="25.140625" style="463" customWidth="1"/>
    <col min="13" max="13" width="26.42578125" style="463" customWidth="1"/>
    <col min="14" max="14" width="16.28515625" style="463" customWidth="1"/>
    <col min="15" max="15" width="12.140625" style="463" customWidth="1"/>
    <col min="16" max="16" width="29.42578125" style="463" customWidth="1"/>
    <col min="17" max="17" width="21.85546875" style="463" customWidth="1"/>
    <col min="18" max="18" width="9.140625" style="248"/>
    <col min="19" max="19" width="22.7109375" style="248" customWidth="1"/>
    <col min="20" max="20" width="29.28515625" style="248" customWidth="1"/>
    <col min="21" max="16384" width="9.140625" style="248"/>
  </cols>
  <sheetData>
    <row r="1" spans="1:20" ht="26.25" customHeight="1" x14ac:dyDescent="0.25">
      <c r="A1" s="815" t="s">
        <v>244</v>
      </c>
      <c r="B1" s="815"/>
      <c r="C1" s="815"/>
      <c r="D1" s="815"/>
      <c r="E1" s="815"/>
      <c r="F1" s="815"/>
      <c r="G1" s="815"/>
      <c r="H1" s="815"/>
      <c r="I1" s="815"/>
      <c r="J1" s="815"/>
      <c r="K1" s="815"/>
      <c r="L1" s="815"/>
      <c r="M1" s="815"/>
      <c r="N1" s="815"/>
      <c r="O1" s="815"/>
      <c r="P1" s="815"/>
      <c r="Q1" s="815"/>
    </row>
    <row r="2" spans="1:20" ht="18.95" customHeight="1" x14ac:dyDescent="0.25">
      <c r="A2" s="815" t="s">
        <v>243</v>
      </c>
      <c r="B2" s="815"/>
      <c r="C2" s="815"/>
      <c r="D2" s="815"/>
      <c r="E2" s="815"/>
      <c r="F2" s="815"/>
      <c r="G2" s="815"/>
      <c r="H2" s="815"/>
      <c r="I2" s="815"/>
      <c r="J2" s="815"/>
      <c r="K2" s="815"/>
      <c r="L2" s="815"/>
      <c r="M2" s="815"/>
      <c r="N2" s="815"/>
      <c r="O2" s="815"/>
      <c r="P2" s="815"/>
      <c r="Q2" s="815"/>
    </row>
    <row r="3" spans="1:20" ht="18.95" customHeight="1" x14ac:dyDescent="0.25">
      <c r="A3" s="815" t="s">
        <v>242</v>
      </c>
      <c r="B3" s="815"/>
      <c r="C3" s="815"/>
      <c r="D3" s="815"/>
      <c r="E3" s="815"/>
      <c r="F3" s="815"/>
      <c r="G3" s="815"/>
      <c r="H3" s="815"/>
      <c r="I3" s="815"/>
      <c r="J3" s="815"/>
      <c r="K3" s="815"/>
      <c r="L3" s="815"/>
      <c r="M3" s="815"/>
      <c r="N3" s="815"/>
      <c r="O3" s="815"/>
      <c r="P3" s="815"/>
      <c r="Q3" s="815"/>
    </row>
    <row r="4" spans="1:20" ht="18.75" customHeight="1" x14ac:dyDescent="0.25">
      <c r="A4" s="816" t="s">
        <v>241</v>
      </c>
      <c r="B4" s="816"/>
      <c r="C4" s="816"/>
      <c r="D4" s="816"/>
      <c r="E4" s="816"/>
      <c r="F4" s="816"/>
      <c r="G4" s="816"/>
      <c r="H4" s="816"/>
      <c r="I4" s="816"/>
      <c r="J4" s="816"/>
      <c r="K4" s="816"/>
      <c r="L4" s="816"/>
      <c r="M4" s="816"/>
      <c r="N4" s="816"/>
      <c r="O4" s="816"/>
      <c r="P4" s="816"/>
      <c r="Q4" s="816"/>
    </row>
    <row r="5" spans="1:20" ht="6" customHeight="1" thickBot="1" x14ac:dyDescent="0.3">
      <c r="A5" s="480"/>
      <c r="B5" s="480"/>
      <c r="C5" s="480"/>
      <c r="D5" s="480"/>
      <c r="E5" s="480"/>
      <c r="F5" s="480"/>
      <c r="G5" s="480"/>
      <c r="H5" s="480"/>
      <c r="I5" s="480"/>
      <c r="J5" s="480"/>
      <c r="K5" s="480"/>
      <c r="L5" s="480"/>
      <c r="M5" s="480"/>
      <c r="N5" s="480"/>
      <c r="O5" s="480"/>
      <c r="P5" s="480"/>
      <c r="Q5" s="480"/>
    </row>
    <row r="6" spans="1:20" ht="18.95" customHeight="1" x14ac:dyDescent="0.25">
      <c r="A6" s="512" t="s">
        <v>229</v>
      </c>
      <c r="B6" s="511"/>
      <c r="C6" s="508"/>
      <c r="D6" s="508"/>
      <c r="E6" s="508"/>
      <c r="F6" s="508"/>
      <c r="G6" s="508"/>
      <c r="H6" s="508"/>
      <c r="I6" s="508"/>
      <c r="J6" s="508"/>
      <c r="K6" s="508"/>
      <c r="L6" s="510"/>
      <c r="M6" s="509" t="s">
        <v>180</v>
      </c>
      <c r="N6" s="508"/>
      <c r="O6" s="508"/>
      <c r="P6" s="508"/>
      <c r="Q6" s="507"/>
    </row>
    <row r="7" spans="1:20" ht="18.95" customHeight="1" x14ac:dyDescent="0.25">
      <c r="A7" s="503"/>
      <c r="B7" s="506"/>
      <c r="C7" s="498"/>
      <c r="D7" s="498"/>
      <c r="E7" s="498"/>
      <c r="F7" s="498"/>
      <c r="G7" s="498"/>
      <c r="H7" s="498"/>
      <c r="I7" s="498"/>
      <c r="J7" s="498"/>
      <c r="K7" s="498"/>
      <c r="L7" s="501"/>
      <c r="M7" s="505" t="s">
        <v>179</v>
      </c>
      <c r="N7" s="504"/>
      <c r="O7" s="504" t="s">
        <v>178</v>
      </c>
      <c r="P7" s="498"/>
      <c r="Q7" s="497"/>
    </row>
    <row r="8" spans="1:20" ht="18.95" customHeight="1" x14ac:dyDescent="0.25">
      <c r="A8" s="503"/>
      <c r="B8" s="502"/>
      <c r="C8" s="498"/>
      <c r="D8" s="498"/>
      <c r="E8" s="498"/>
      <c r="F8" s="498"/>
      <c r="G8" s="498"/>
      <c r="H8" s="498"/>
      <c r="I8" s="498"/>
      <c r="J8" s="498"/>
      <c r="K8" s="498"/>
      <c r="L8" s="501"/>
      <c r="M8" s="500" t="s">
        <v>177</v>
      </c>
      <c r="N8" s="499"/>
      <c r="O8" s="498"/>
      <c r="P8" s="498" t="s">
        <v>176</v>
      </c>
      <c r="Q8" s="497"/>
    </row>
    <row r="9" spans="1:20" ht="18.95" customHeight="1" x14ac:dyDescent="0.25">
      <c r="A9" s="503"/>
      <c r="B9" s="502"/>
      <c r="C9" s="498"/>
      <c r="D9" s="498"/>
      <c r="E9" s="498"/>
      <c r="F9" s="498"/>
      <c r="G9" s="498"/>
      <c r="H9" s="498"/>
      <c r="I9" s="498"/>
      <c r="J9" s="498"/>
      <c r="K9" s="498"/>
      <c r="L9" s="501"/>
      <c r="M9" s="500" t="s">
        <v>175</v>
      </c>
      <c r="N9" s="499"/>
      <c r="O9" s="498"/>
      <c r="P9" s="498" t="s">
        <v>174</v>
      </c>
      <c r="Q9" s="497"/>
    </row>
    <row r="10" spans="1:20" ht="18.95" customHeight="1" thickBot="1" x14ac:dyDescent="0.3">
      <c r="A10" s="503"/>
      <c r="B10" s="502"/>
      <c r="C10" s="498"/>
      <c r="D10" s="498"/>
      <c r="E10" s="498"/>
      <c r="F10" s="498"/>
      <c r="G10" s="498"/>
      <c r="H10" s="498"/>
      <c r="I10" s="498"/>
      <c r="J10" s="498"/>
      <c r="K10" s="498"/>
      <c r="L10" s="501"/>
      <c r="M10" s="500" t="s">
        <v>173</v>
      </c>
      <c r="N10" s="499"/>
      <c r="O10" s="498"/>
      <c r="P10" s="498" t="s">
        <v>172</v>
      </c>
      <c r="Q10" s="497"/>
    </row>
    <row r="11" spans="1:20" s="493" customFormat="1" ht="18.95" customHeight="1" thickBot="1" x14ac:dyDescent="0.3">
      <c r="A11" s="817" t="s">
        <v>171</v>
      </c>
      <c r="B11" s="818"/>
      <c r="C11" s="818"/>
      <c r="D11" s="818"/>
      <c r="E11" s="818"/>
      <c r="F11" s="818"/>
      <c r="G11" s="818"/>
      <c r="H11" s="818"/>
      <c r="I11" s="818"/>
      <c r="J11" s="818"/>
      <c r="K11" s="818"/>
      <c r="L11" s="818"/>
      <c r="M11" s="818"/>
      <c r="N11" s="818"/>
      <c r="O11" s="818"/>
      <c r="P11" s="818"/>
      <c r="Q11" s="819"/>
    </row>
    <row r="12" spans="1:20" s="493" customFormat="1" ht="18.95" customHeight="1" x14ac:dyDescent="0.25">
      <c r="A12" s="820" t="s">
        <v>170</v>
      </c>
      <c r="B12" s="809" t="s">
        <v>169</v>
      </c>
      <c r="C12" s="809" t="s">
        <v>168</v>
      </c>
      <c r="D12" s="809" t="s">
        <v>167</v>
      </c>
      <c r="E12" s="809" t="s">
        <v>166</v>
      </c>
      <c r="F12" s="803" t="s">
        <v>165</v>
      </c>
      <c r="G12" s="804"/>
      <c r="H12" s="805"/>
      <c r="I12" s="803" t="s">
        <v>164</v>
      </c>
      <c r="J12" s="805"/>
      <c r="K12" s="809" t="s">
        <v>163</v>
      </c>
      <c r="L12" s="809" t="s">
        <v>162</v>
      </c>
      <c r="M12" s="809"/>
      <c r="N12" s="809"/>
      <c r="O12" s="809"/>
      <c r="P12" s="809"/>
      <c r="Q12" s="812" t="s">
        <v>161</v>
      </c>
    </row>
    <row r="13" spans="1:20" s="493" customFormat="1" ht="30" customHeight="1" x14ac:dyDescent="0.25">
      <c r="A13" s="821"/>
      <c r="B13" s="810"/>
      <c r="C13" s="810"/>
      <c r="D13" s="810"/>
      <c r="E13" s="810"/>
      <c r="F13" s="806"/>
      <c r="G13" s="807"/>
      <c r="H13" s="808"/>
      <c r="I13" s="806"/>
      <c r="J13" s="808"/>
      <c r="K13" s="810"/>
      <c r="L13" s="810" t="s">
        <v>160</v>
      </c>
      <c r="M13" s="810"/>
      <c r="N13" s="810" t="s">
        <v>228</v>
      </c>
      <c r="O13" s="810"/>
      <c r="P13" s="810"/>
      <c r="Q13" s="813"/>
    </row>
    <row r="14" spans="1:20" s="493" customFormat="1" ht="45.75" customHeight="1" thickBot="1" x14ac:dyDescent="0.3">
      <c r="A14" s="822"/>
      <c r="B14" s="811"/>
      <c r="C14" s="811"/>
      <c r="D14" s="811"/>
      <c r="E14" s="811"/>
      <c r="F14" s="496" t="s">
        <v>158</v>
      </c>
      <c r="G14" s="496" t="s">
        <v>157</v>
      </c>
      <c r="H14" s="496" t="s">
        <v>156</v>
      </c>
      <c r="I14" s="496" t="s">
        <v>155</v>
      </c>
      <c r="J14" s="496" t="s">
        <v>154</v>
      </c>
      <c r="K14" s="811"/>
      <c r="L14" s="494" t="s">
        <v>153</v>
      </c>
      <c r="M14" s="494" t="s">
        <v>152</v>
      </c>
      <c r="N14" s="495" t="s">
        <v>151</v>
      </c>
      <c r="O14" s="495" t="s">
        <v>150</v>
      </c>
      <c r="P14" s="494" t="s">
        <v>149</v>
      </c>
      <c r="Q14" s="814"/>
    </row>
    <row r="15" spans="1:20" s="471" customFormat="1" ht="19.5" customHeight="1" x14ac:dyDescent="0.25">
      <c r="A15" s="492" t="s">
        <v>148</v>
      </c>
      <c r="B15" s="492" t="s">
        <v>240</v>
      </c>
      <c r="C15" s="492" t="s">
        <v>147</v>
      </c>
      <c r="D15" s="492" t="s">
        <v>227</v>
      </c>
      <c r="E15" s="492" t="s">
        <v>146</v>
      </c>
      <c r="F15" s="492" t="s">
        <v>145</v>
      </c>
      <c r="G15" s="492" t="s">
        <v>144</v>
      </c>
      <c r="H15" s="492" t="s">
        <v>143</v>
      </c>
      <c r="I15" s="492" t="s">
        <v>142</v>
      </c>
      <c r="J15" s="492" t="s">
        <v>141</v>
      </c>
      <c r="K15" s="492" t="s">
        <v>140</v>
      </c>
      <c r="L15" s="492" t="s">
        <v>139</v>
      </c>
      <c r="M15" s="492" t="s">
        <v>138</v>
      </c>
      <c r="N15" s="492" t="s">
        <v>137</v>
      </c>
      <c r="O15" s="492" t="s">
        <v>136</v>
      </c>
      <c r="P15" s="492" t="s">
        <v>135</v>
      </c>
      <c r="Q15" s="491" t="s">
        <v>226</v>
      </c>
      <c r="T15" s="472"/>
    </row>
    <row r="16" spans="1:20" s="486" customFormat="1" ht="25.5" customHeight="1" x14ac:dyDescent="0.25">
      <c r="A16" s="489" t="s">
        <v>132</v>
      </c>
      <c r="B16" s="490"/>
      <c r="C16" s="489">
        <f>C20+C24+C17+C27</f>
        <v>8250</v>
      </c>
      <c r="D16" s="489">
        <f>D20+D24+D17+D27</f>
        <v>10815.69</v>
      </c>
      <c r="E16" s="489"/>
      <c r="F16" s="489">
        <f>F20+F24+F17+F27</f>
        <v>7309.25</v>
      </c>
      <c r="G16" s="489">
        <f>G20+G24+G17+G27</f>
        <v>3418.5</v>
      </c>
      <c r="H16" s="489">
        <f>H20+H24+H17+H27</f>
        <v>10727.75</v>
      </c>
      <c r="I16" s="489"/>
      <c r="J16" s="489"/>
      <c r="K16" s="489"/>
      <c r="L16" s="489"/>
      <c r="M16" s="489">
        <f>M20+M24+M17+M27</f>
        <v>52375795.628496438</v>
      </c>
      <c r="N16" s="489">
        <f>N20+N24+N17+N27</f>
        <v>21282.391755000001</v>
      </c>
      <c r="O16" s="489"/>
      <c r="P16" s="489">
        <f>P20+P24+P17+P27</f>
        <v>361800659.83499998</v>
      </c>
      <c r="Q16" s="488"/>
      <c r="T16" s="487"/>
    </row>
    <row r="17" spans="1:20" s="479" customFormat="1" ht="19.5" customHeight="1" x14ac:dyDescent="0.25">
      <c r="A17" s="483" t="s">
        <v>48</v>
      </c>
      <c r="B17" s="483"/>
      <c r="C17" s="482">
        <f>SUM(C18:C19)</f>
        <v>63</v>
      </c>
      <c r="D17" s="482">
        <f>SUM(D18:D19)</f>
        <v>144.5</v>
      </c>
      <c r="E17" s="483"/>
      <c r="F17" s="482">
        <f>SUM(F18:F19)</f>
        <v>55</v>
      </c>
      <c r="G17" s="482">
        <f>SUM(G18:G19)</f>
        <v>12</v>
      </c>
      <c r="H17" s="482">
        <f>SUM(H18:H19)</f>
        <v>67</v>
      </c>
      <c r="I17" s="485"/>
      <c r="J17" s="485"/>
      <c r="K17" s="483"/>
      <c r="L17" s="481"/>
      <c r="M17" s="482">
        <f>SUM(M18:M19)</f>
        <v>2005741.7555205049</v>
      </c>
      <c r="N17" s="482">
        <f>SUM(N18:N19)</f>
        <v>210.33750000000001</v>
      </c>
      <c r="O17" s="483"/>
      <c r="P17" s="482">
        <f>SUM(P18:P19)</f>
        <v>3575737.5</v>
      </c>
      <c r="Q17" s="481"/>
      <c r="T17" s="480"/>
    </row>
    <row r="18" spans="1:20" s="471" customFormat="1" ht="18.75" customHeight="1" x14ac:dyDescent="0.25">
      <c r="A18" s="473" t="s">
        <v>52</v>
      </c>
      <c r="B18" s="473"/>
      <c r="C18" s="478">
        <v>40</v>
      </c>
      <c r="D18" s="473">
        <v>119.5</v>
      </c>
      <c r="E18" s="473" t="s">
        <v>238</v>
      </c>
      <c r="F18" s="473">
        <v>30</v>
      </c>
      <c r="G18" s="473">
        <v>12</v>
      </c>
      <c r="H18" s="474">
        <f>SUM(F18:G18)</f>
        <v>42</v>
      </c>
      <c r="I18" s="477">
        <v>3.17</v>
      </c>
      <c r="J18" s="476">
        <v>0.03</v>
      </c>
      <c r="K18" s="475">
        <f>(I18-J18)/I18</f>
        <v>0.99053627760252372</v>
      </c>
      <c r="L18" s="474">
        <v>43768</v>
      </c>
      <c r="M18" s="474">
        <f>(H18*L18)*K18</f>
        <v>1820859.2555205049</v>
      </c>
      <c r="N18" s="473">
        <f>H18*I18*K18</f>
        <v>131.88</v>
      </c>
      <c r="O18" s="473">
        <v>17</v>
      </c>
      <c r="P18" s="474">
        <f>N18*1000*17</f>
        <v>2241960</v>
      </c>
      <c r="Q18" s="473"/>
      <c r="T18" s="472"/>
    </row>
    <row r="19" spans="1:20" s="471" customFormat="1" ht="18.75" customHeight="1" x14ac:dyDescent="0.25">
      <c r="A19" s="473" t="s">
        <v>51</v>
      </c>
      <c r="B19" s="473"/>
      <c r="C19" s="478">
        <v>23</v>
      </c>
      <c r="D19" s="473">
        <v>25</v>
      </c>
      <c r="E19" s="473" t="s">
        <v>114</v>
      </c>
      <c r="F19" s="473">
        <v>25</v>
      </c>
      <c r="G19" s="473"/>
      <c r="H19" s="474">
        <f>SUM(F19:G19)</f>
        <v>25</v>
      </c>
      <c r="I19" s="477">
        <v>3.17</v>
      </c>
      <c r="J19" s="476">
        <f>3.17*0.01</f>
        <v>3.1699999999999999E-2</v>
      </c>
      <c r="K19" s="475">
        <f>(I19-J19)/I19</f>
        <v>0.9900000000000001</v>
      </c>
      <c r="L19" s="474">
        <v>7470</v>
      </c>
      <c r="M19" s="474">
        <f>(H19*L19)*K19</f>
        <v>184882.50000000003</v>
      </c>
      <c r="N19" s="473">
        <f>H19*I19*K19</f>
        <v>78.45750000000001</v>
      </c>
      <c r="O19" s="473">
        <v>17</v>
      </c>
      <c r="P19" s="474">
        <f>N19*1000*17</f>
        <v>1333777.5000000002</v>
      </c>
      <c r="Q19" s="473"/>
      <c r="T19" s="472"/>
    </row>
    <row r="20" spans="1:20" s="479" customFormat="1" ht="19.5" customHeight="1" x14ac:dyDescent="0.25">
      <c r="A20" s="483" t="s">
        <v>239</v>
      </c>
      <c r="B20" s="483"/>
      <c r="C20" s="482">
        <f>SUM(C21:C23)</f>
        <v>855</v>
      </c>
      <c r="D20" s="482">
        <f>SUM(D21:D23)</f>
        <v>869</v>
      </c>
      <c r="E20" s="483"/>
      <c r="F20" s="482">
        <f>SUM(F21:F23)</f>
        <v>0</v>
      </c>
      <c r="G20" s="482">
        <f>SUM(G21:G23)</f>
        <v>869</v>
      </c>
      <c r="H20" s="482">
        <f>SUM(H21:H23)</f>
        <v>869</v>
      </c>
      <c r="I20" s="485"/>
      <c r="J20" s="485"/>
      <c r="K20" s="484"/>
      <c r="L20" s="481"/>
      <c r="M20" s="482">
        <f>SUM(M21:M23)</f>
        <v>2208090.8000000003</v>
      </c>
      <c r="N20" s="482">
        <f>SUM(N21:N23)</f>
        <v>160.56050000000005</v>
      </c>
      <c r="O20" s="483"/>
      <c r="P20" s="482">
        <f>SUM(P21:P23)</f>
        <v>2729528.5000000009</v>
      </c>
      <c r="Q20" s="481"/>
      <c r="T20" s="480"/>
    </row>
    <row r="21" spans="1:20" s="471" customFormat="1" ht="18.75" customHeight="1" x14ac:dyDescent="0.25">
      <c r="A21" s="473" t="s">
        <v>126</v>
      </c>
      <c r="B21" s="473"/>
      <c r="C21" s="478">
        <v>150</v>
      </c>
      <c r="D21" s="473">
        <v>144</v>
      </c>
      <c r="E21" s="473" t="s">
        <v>238</v>
      </c>
      <c r="F21" s="473"/>
      <c r="G21" s="473">
        <v>144</v>
      </c>
      <c r="H21" s="474">
        <f>SUM(F21:G21)</f>
        <v>144</v>
      </c>
      <c r="I21" s="477">
        <v>3.17</v>
      </c>
      <c r="J21" s="476">
        <f>3.17*0.9</f>
        <v>2.8530000000000002</v>
      </c>
      <c r="K21" s="475">
        <f>(I21-J21)/I21</f>
        <v>9.9999999999999922E-2</v>
      </c>
      <c r="L21" s="474">
        <v>43768</v>
      </c>
      <c r="M21" s="474">
        <f>(H21*L21)*K21</f>
        <v>630259.19999999949</v>
      </c>
      <c r="N21" s="473">
        <f>H21*I21*K21</f>
        <v>45.647999999999968</v>
      </c>
      <c r="O21" s="473">
        <v>17</v>
      </c>
      <c r="P21" s="474">
        <f>N21*1000*17</f>
        <v>776015.99999999953</v>
      </c>
      <c r="Q21" s="473"/>
      <c r="T21" s="472"/>
    </row>
    <row r="22" spans="1:20" s="471" customFormat="1" ht="18.75" customHeight="1" x14ac:dyDescent="0.25">
      <c r="A22" s="473" t="s">
        <v>59</v>
      </c>
      <c r="B22" s="473"/>
      <c r="C22" s="478">
        <v>688</v>
      </c>
      <c r="D22" s="473">
        <v>708</v>
      </c>
      <c r="E22" s="473" t="s">
        <v>238</v>
      </c>
      <c r="F22" s="473"/>
      <c r="G22" s="473">
        <v>708</v>
      </c>
      <c r="H22" s="474">
        <f>SUM(F22:G22)</f>
        <v>708</v>
      </c>
      <c r="I22" s="477">
        <v>3.17</v>
      </c>
      <c r="J22" s="476">
        <f>3.17*0.95</f>
        <v>3.0114999999999998</v>
      </c>
      <c r="K22" s="475">
        <f>(I22-J22)/I22</f>
        <v>5.0000000000000031E-2</v>
      </c>
      <c r="L22" s="474">
        <v>43768</v>
      </c>
      <c r="M22" s="474">
        <f>(H22*L22)*K22</f>
        <v>1549387.2000000009</v>
      </c>
      <c r="N22" s="473">
        <f>H22*I22*K22</f>
        <v>112.21800000000007</v>
      </c>
      <c r="O22" s="473">
        <v>17</v>
      </c>
      <c r="P22" s="474">
        <f>N22*1000*17</f>
        <v>1907706.0000000012</v>
      </c>
      <c r="Q22" s="473"/>
      <c r="T22" s="472"/>
    </row>
    <row r="23" spans="1:20" s="471" customFormat="1" ht="18.75" customHeight="1" x14ac:dyDescent="0.25">
      <c r="A23" s="473" t="s">
        <v>124</v>
      </c>
      <c r="B23" s="473"/>
      <c r="C23" s="478">
        <v>17</v>
      </c>
      <c r="D23" s="473">
        <v>17</v>
      </c>
      <c r="E23" s="473" t="s">
        <v>238</v>
      </c>
      <c r="F23" s="473"/>
      <c r="G23" s="473">
        <v>17</v>
      </c>
      <c r="H23" s="474">
        <f>SUM(F23:G23)</f>
        <v>17</v>
      </c>
      <c r="I23" s="477">
        <v>3.17</v>
      </c>
      <c r="J23" s="476">
        <f>3.17*0.95</f>
        <v>3.0114999999999998</v>
      </c>
      <c r="K23" s="475">
        <f>(I23-J23)/I23</f>
        <v>5.0000000000000031E-2</v>
      </c>
      <c r="L23" s="474">
        <v>33464</v>
      </c>
      <c r="M23" s="474">
        <f>(H23*L23)*K23</f>
        <v>28444.400000000016</v>
      </c>
      <c r="N23" s="473">
        <f>H23*I23*K23</f>
        <v>2.6945000000000019</v>
      </c>
      <c r="O23" s="473">
        <v>17</v>
      </c>
      <c r="P23" s="474">
        <f>N23*1000*17</f>
        <v>45806.500000000029</v>
      </c>
      <c r="Q23" s="473"/>
      <c r="T23" s="472"/>
    </row>
    <row r="24" spans="1:20" s="479" customFormat="1" ht="19.5" customHeight="1" x14ac:dyDescent="0.25">
      <c r="A24" s="481" t="s">
        <v>118</v>
      </c>
      <c r="B24" s="483"/>
      <c r="C24" s="482">
        <f>SUM(C25:C26)</f>
        <v>322</v>
      </c>
      <c r="D24" s="482">
        <f>SUM(D25:D26)</f>
        <v>348</v>
      </c>
      <c r="E24" s="483"/>
      <c r="F24" s="482">
        <f>SUM(F25:F26)</f>
        <v>348</v>
      </c>
      <c r="G24" s="482">
        <f>G25</f>
        <v>0</v>
      </c>
      <c r="H24" s="482">
        <f>SUM(H25:H26)</f>
        <v>348</v>
      </c>
      <c r="I24" s="485"/>
      <c r="J24" s="485"/>
      <c r="K24" s="484"/>
      <c r="L24" s="482"/>
      <c r="M24" s="482">
        <f>SUM(M25:M26)</f>
        <v>2536214.4000000004</v>
      </c>
      <c r="N24" s="482">
        <f>SUM(N25:N26)</f>
        <v>1076.2784000000001</v>
      </c>
      <c r="O24" s="483"/>
      <c r="P24" s="482">
        <f>SUM(P25:P26)</f>
        <v>18296732.800000001</v>
      </c>
      <c r="Q24" s="481"/>
      <c r="T24" s="480"/>
    </row>
    <row r="25" spans="1:20" s="471" customFormat="1" ht="18.75" customHeight="1" x14ac:dyDescent="0.25">
      <c r="A25" s="473" t="s">
        <v>101</v>
      </c>
      <c r="B25" s="473"/>
      <c r="C25" s="478">
        <v>122</v>
      </c>
      <c r="D25" s="473">
        <v>125</v>
      </c>
      <c r="E25" s="473" t="s">
        <v>114</v>
      </c>
      <c r="F25" s="473">
        <v>125</v>
      </c>
      <c r="G25" s="473"/>
      <c r="H25" s="474">
        <f>SUM(F25:G25)</f>
        <v>125</v>
      </c>
      <c r="I25" s="477">
        <v>3.17</v>
      </c>
      <c r="J25" s="476">
        <f>3.17*0.05</f>
        <v>0.1585</v>
      </c>
      <c r="K25" s="475">
        <f>(I25-J25)/I25</f>
        <v>0.95</v>
      </c>
      <c r="L25" s="474">
        <v>7470</v>
      </c>
      <c r="M25" s="474">
        <f>(H25*L25)*K25</f>
        <v>887062.5</v>
      </c>
      <c r="N25" s="473">
        <f>H25*I25*K25</f>
        <v>376.4375</v>
      </c>
      <c r="O25" s="473">
        <v>17</v>
      </c>
      <c r="P25" s="474">
        <f>N25*1000*17</f>
        <v>6399437.5</v>
      </c>
      <c r="Q25" s="473"/>
      <c r="T25" s="472"/>
    </row>
    <row r="26" spans="1:20" s="471" customFormat="1" ht="18.75" customHeight="1" x14ac:dyDescent="0.25">
      <c r="A26" s="473" t="s">
        <v>102</v>
      </c>
      <c r="B26" s="473"/>
      <c r="C26" s="478">
        <v>200</v>
      </c>
      <c r="D26" s="473">
        <v>223</v>
      </c>
      <c r="E26" s="473" t="s">
        <v>114</v>
      </c>
      <c r="F26" s="473">
        <v>223</v>
      </c>
      <c r="G26" s="473"/>
      <c r="H26" s="474">
        <f>SUM(F26:G26)</f>
        <v>223</v>
      </c>
      <c r="I26" s="477">
        <v>3.17</v>
      </c>
      <c r="J26" s="476">
        <f>3.17*0.01</f>
        <v>3.1699999999999999E-2</v>
      </c>
      <c r="K26" s="475">
        <f>(I26-J26)/I26</f>
        <v>0.9900000000000001</v>
      </c>
      <c r="L26" s="474">
        <v>7470</v>
      </c>
      <c r="M26" s="474">
        <f>(H26*L26)*K26</f>
        <v>1649151.9000000001</v>
      </c>
      <c r="N26" s="473">
        <f>H26*I26*K26</f>
        <v>699.84090000000003</v>
      </c>
      <c r="O26" s="473">
        <v>17</v>
      </c>
      <c r="P26" s="474">
        <f>N26*1000*17</f>
        <v>11897295.300000001</v>
      </c>
      <c r="Q26" s="473"/>
      <c r="T26" s="472"/>
    </row>
    <row r="27" spans="1:20" s="479" customFormat="1" ht="19.5" customHeight="1" x14ac:dyDescent="0.25">
      <c r="A27" s="481" t="s">
        <v>112</v>
      </c>
      <c r="B27" s="483"/>
      <c r="C27" s="482">
        <f>SUM(C30:C46)</f>
        <v>7010</v>
      </c>
      <c r="D27" s="482">
        <f>SUM(D30:D46)</f>
        <v>9454.19</v>
      </c>
      <c r="E27" s="483"/>
      <c r="F27" s="482">
        <f>SUM(F28:F46)</f>
        <v>6906.25</v>
      </c>
      <c r="G27" s="482">
        <f>SUM(G28:G46)</f>
        <v>2537.5</v>
      </c>
      <c r="H27" s="482">
        <f>SUM(H28:H46)</f>
        <v>9443.75</v>
      </c>
      <c r="I27" s="485"/>
      <c r="J27" s="485"/>
      <c r="K27" s="484"/>
      <c r="L27" s="482"/>
      <c r="M27" s="482">
        <f>SUM(M30:M46)</f>
        <v>45625748.672975935</v>
      </c>
      <c r="N27" s="482">
        <f>SUM(N30:N46)</f>
        <v>19835.215355</v>
      </c>
      <c r="O27" s="483"/>
      <c r="P27" s="482">
        <f>SUM(P30:P46)</f>
        <v>337198661.03499997</v>
      </c>
      <c r="Q27" s="481"/>
      <c r="T27" s="480"/>
    </row>
    <row r="28" spans="1:20" s="471" customFormat="1" ht="19.5" customHeight="1" x14ac:dyDescent="0.25">
      <c r="A28" s="473" t="s">
        <v>87</v>
      </c>
      <c r="B28" s="473"/>
      <c r="C28" s="478">
        <v>600</v>
      </c>
      <c r="D28" s="478">
        <v>635</v>
      </c>
      <c r="E28" s="478" t="s">
        <v>114</v>
      </c>
      <c r="F28" s="478">
        <v>630</v>
      </c>
      <c r="G28" s="478">
        <v>35</v>
      </c>
      <c r="H28" s="474">
        <f>SUM(F28:G28)</f>
        <v>665</v>
      </c>
      <c r="I28" s="477">
        <v>3.17</v>
      </c>
      <c r="J28" s="476">
        <v>0.03</v>
      </c>
      <c r="K28" s="475">
        <f>(I28-J28)/I28</f>
        <v>0.99053627760252372</v>
      </c>
      <c r="L28" s="474">
        <v>7470</v>
      </c>
      <c r="M28" s="474">
        <f>(H28*L28)*K28</f>
        <v>4920538.4858044162</v>
      </c>
      <c r="N28" s="473">
        <f>H28*I28*K28</f>
        <v>2088.1</v>
      </c>
      <c r="O28" s="473">
        <v>17</v>
      </c>
      <c r="P28" s="474">
        <f>N28*1000*17</f>
        <v>35497700</v>
      </c>
      <c r="Q28" s="474"/>
      <c r="T28" s="472"/>
    </row>
    <row r="29" spans="1:20" s="519" customFormat="1" ht="19.5" customHeight="1" x14ac:dyDescent="0.25">
      <c r="A29" s="513" t="s">
        <v>92</v>
      </c>
      <c r="B29" s="513"/>
      <c r="C29" s="514">
        <v>13</v>
      </c>
      <c r="D29" s="514">
        <v>21</v>
      </c>
      <c r="E29" s="514">
        <v>0</v>
      </c>
      <c r="F29" s="514">
        <v>0</v>
      </c>
      <c r="G29" s="514">
        <v>14.9</v>
      </c>
      <c r="H29" s="515">
        <v>14.9</v>
      </c>
      <c r="I29" s="516">
        <v>6.34</v>
      </c>
      <c r="J29" s="517">
        <v>2.883</v>
      </c>
      <c r="K29" s="518">
        <v>1.0905362776025236</v>
      </c>
      <c r="L29" s="515">
        <v>14940</v>
      </c>
      <c r="M29" s="515">
        <v>76988.129337539431</v>
      </c>
      <c r="N29" s="513">
        <v>32.670999999999999</v>
      </c>
      <c r="O29" s="513">
        <v>34</v>
      </c>
      <c r="P29" s="515">
        <v>555407.00000000012</v>
      </c>
      <c r="Q29" s="515"/>
      <c r="T29" s="520"/>
    </row>
    <row r="30" spans="1:20" s="471" customFormat="1" ht="19.5" customHeight="1" x14ac:dyDescent="0.25">
      <c r="A30" s="473" t="s">
        <v>185</v>
      </c>
      <c r="B30" s="473"/>
      <c r="C30" s="478">
        <v>170</v>
      </c>
      <c r="D30" s="478">
        <v>50</v>
      </c>
      <c r="E30" s="478" t="s">
        <v>114</v>
      </c>
      <c r="F30" s="478">
        <v>49.9</v>
      </c>
      <c r="G30" s="478"/>
      <c r="H30" s="474">
        <f>SUM(F30:G30)</f>
        <v>49.9</v>
      </c>
      <c r="I30" s="477">
        <v>3.17</v>
      </c>
      <c r="J30" s="476">
        <v>0.03</v>
      </c>
      <c r="K30" s="475">
        <f>(I30-J30)/I30</f>
        <v>0.99053627760252372</v>
      </c>
      <c r="L30" s="474">
        <v>7470</v>
      </c>
      <c r="M30" s="474">
        <f>(H30*L30)*K30</f>
        <v>369225.36908517353</v>
      </c>
      <c r="N30" s="473">
        <f>H30*I30*K30</f>
        <v>156.68600000000001</v>
      </c>
      <c r="O30" s="473">
        <v>17</v>
      </c>
      <c r="P30" s="474">
        <f>N30*1000*17</f>
        <v>2663662</v>
      </c>
      <c r="Q30" s="474"/>
      <c r="T30" s="472"/>
    </row>
    <row r="31" spans="1:20" s="519" customFormat="1" ht="19.5" customHeight="1" x14ac:dyDescent="0.25">
      <c r="A31" s="513" t="s">
        <v>84</v>
      </c>
      <c r="B31" s="513"/>
      <c r="C31" s="514">
        <v>617</v>
      </c>
      <c r="D31" s="514">
        <v>403</v>
      </c>
      <c r="E31" s="514">
        <v>0</v>
      </c>
      <c r="F31" s="514">
        <v>202.8</v>
      </c>
      <c r="G31" s="514">
        <v>153.80000000000001</v>
      </c>
      <c r="H31" s="514">
        <v>356.6</v>
      </c>
      <c r="I31" s="514">
        <v>9.51</v>
      </c>
      <c r="J31" s="514">
        <v>9.1700000000000004E-2</v>
      </c>
      <c r="K31" s="514">
        <v>2.9710725552050476</v>
      </c>
      <c r="L31" s="514">
        <v>58708</v>
      </c>
      <c r="M31" s="514">
        <v>2832619.9929842278</v>
      </c>
      <c r="N31" s="514">
        <v>1119.7148200000001</v>
      </c>
      <c r="O31" s="514">
        <v>51</v>
      </c>
      <c r="P31" s="514">
        <v>19035151.940000005</v>
      </c>
      <c r="Q31" s="515"/>
      <c r="T31" s="520"/>
    </row>
    <row r="32" spans="1:20" s="471" customFormat="1" ht="19.5" customHeight="1" x14ac:dyDescent="0.25">
      <c r="A32" s="473" t="s">
        <v>217</v>
      </c>
      <c r="B32" s="473"/>
      <c r="C32" s="478"/>
      <c r="D32" s="478">
        <v>30</v>
      </c>
      <c r="E32" s="478" t="s">
        <v>114</v>
      </c>
      <c r="F32" s="478">
        <v>29.8</v>
      </c>
      <c r="G32" s="478"/>
      <c r="H32" s="474">
        <f>SUM(F32:G32)</f>
        <v>29.8</v>
      </c>
      <c r="I32" s="477">
        <v>3.17</v>
      </c>
      <c r="J32" s="476">
        <v>0.03</v>
      </c>
      <c r="K32" s="475">
        <f>(I32-J32)/I32</f>
        <v>0.99053627760252372</v>
      </c>
      <c r="L32" s="474">
        <v>7470</v>
      </c>
      <c r="M32" s="474">
        <f>(H32*L32)*K32</f>
        <v>220499.3186119874</v>
      </c>
      <c r="N32" s="473">
        <f>H32*I32*K32</f>
        <v>93.572000000000003</v>
      </c>
      <c r="O32" s="473">
        <v>17</v>
      </c>
      <c r="P32" s="474">
        <f>N32*1000*17</f>
        <v>1590724</v>
      </c>
      <c r="Q32" s="474"/>
      <c r="T32" s="472"/>
    </row>
    <row r="33" spans="1:20" s="471" customFormat="1" ht="19.5" customHeight="1" x14ac:dyDescent="0.25">
      <c r="A33" s="473" t="s">
        <v>3</v>
      </c>
      <c r="B33" s="473"/>
      <c r="C33" s="478">
        <v>250</v>
      </c>
      <c r="D33" s="478">
        <v>238</v>
      </c>
      <c r="E33" s="478" t="s">
        <v>114</v>
      </c>
      <c r="F33" s="478"/>
      <c r="G33" s="478">
        <v>237.9</v>
      </c>
      <c r="H33" s="474">
        <f>SUM(F33:G33)</f>
        <v>237.9</v>
      </c>
      <c r="I33" s="477">
        <v>3.17</v>
      </c>
      <c r="J33" s="476">
        <v>0.03</v>
      </c>
      <c r="K33" s="475">
        <f>(I33-J33)/I33</f>
        <v>0.99053627760252372</v>
      </c>
      <c r="L33" s="474">
        <v>7470</v>
      </c>
      <c r="M33" s="474">
        <f>(H33*L33)*K33</f>
        <v>1760294.8958990537</v>
      </c>
      <c r="N33" s="473">
        <f>H33*I33*K33</f>
        <v>747.00600000000009</v>
      </c>
      <c r="O33" s="473">
        <v>17</v>
      </c>
      <c r="P33" s="474">
        <f>N33*1000*17</f>
        <v>12699102.000000002</v>
      </c>
      <c r="Q33" s="474"/>
      <c r="T33" s="472"/>
    </row>
    <row r="34" spans="1:20" s="471" customFormat="1" ht="19.5" customHeight="1" x14ac:dyDescent="0.25">
      <c r="A34" s="473" t="s">
        <v>108</v>
      </c>
      <c r="B34" s="473"/>
      <c r="C34" s="478">
        <v>260</v>
      </c>
      <c r="D34" s="478">
        <v>243.6</v>
      </c>
      <c r="E34" s="478" t="s">
        <v>114</v>
      </c>
      <c r="F34" s="478">
        <v>224.4</v>
      </c>
      <c r="G34" s="478"/>
      <c r="H34" s="474">
        <f>SUM(F34:G34)</f>
        <v>224.4</v>
      </c>
      <c r="I34" s="477">
        <v>3.17</v>
      </c>
      <c r="J34" s="476">
        <v>0.03</v>
      </c>
      <c r="K34" s="475">
        <f>(I34-J34)/I34</f>
        <v>0.99053627760252372</v>
      </c>
      <c r="L34" s="474">
        <v>7470</v>
      </c>
      <c r="M34" s="474">
        <f>(H34*L34)*K34</f>
        <v>1660404.2649842273</v>
      </c>
      <c r="N34" s="473">
        <f>H34*I34*K34</f>
        <v>704.61599999999999</v>
      </c>
      <c r="O34" s="473">
        <v>17</v>
      </c>
      <c r="P34" s="474">
        <f>N34*1000*17</f>
        <v>11978472</v>
      </c>
      <c r="Q34" s="474"/>
      <c r="T34" s="472"/>
    </row>
    <row r="35" spans="1:20" s="519" customFormat="1" ht="19.5" customHeight="1" x14ac:dyDescent="0.25">
      <c r="A35" s="513" t="s">
        <v>94</v>
      </c>
      <c r="B35" s="513"/>
      <c r="C35" s="514">
        <v>62</v>
      </c>
      <c r="D35" s="514">
        <v>93.75</v>
      </c>
      <c r="E35" s="514">
        <v>0</v>
      </c>
      <c r="F35" s="514">
        <v>92.75</v>
      </c>
      <c r="G35" s="514">
        <v>1</v>
      </c>
      <c r="H35" s="514">
        <v>93.75</v>
      </c>
      <c r="I35" s="514">
        <v>9.51</v>
      </c>
      <c r="J35" s="514">
        <v>9.1700000000000004E-2</v>
      </c>
      <c r="K35" s="514">
        <v>2.9710725552050476</v>
      </c>
      <c r="L35" s="514">
        <v>58708</v>
      </c>
      <c r="M35" s="514">
        <v>729271.87279179809</v>
      </c>
      <c r="N35" s="514">
        <v>294.21902499999999</v>
      </c>
      <c r="O35" s="514">
        <v>52</v>
      </c>
      <c r="P35" s="514">
        <v>5001723.4250000007</v>
      </c>
      <c r="Q35" s="515"/>
      <c r="T35" s="520"/>
    </row>
    <row r="36" spans="1:20" s="471" customFormat="1" ht="19.5" customHeight="1" x14ac:dyDescent="0.25">
      <c r="A36" s="473" t="s">
        <v>103</v>
      </c>
      <c r="B36" s="473"/>
      <c r="C36" s="478"/>
      <c r="D36" s="478">
        <v>500</v>
      </c>
      <c r="E36" s="478" t="s">
        <v>114</v>
      </c>
      <c r="F36" s="478">
        <v>500</v>
      </c>
      <c r="G36" s="478"/>
      <c r="H36" s="474">
        <f>SUM(F36:G36)</f>
        <v>500</v>
      </c>
      <c r="I36" s="477">
        <v>3.17</v>
      </c>
      <c r="J36" s="476">
        <v>0.03</v>
      </c>
      <c r="K36" s="475">
        <f>(I36-J36)/I36</f>
        <v>0.99053627760252372</v>
      </c>
      <c r="L36" s="474">
        <v>7470</v>
      </c>
      <c r="M36" s="474">
        <f>(H36*L36)*K36</f>
        <v>3699652.996845426</v>
      </c>
      <c r="N36" s="473">
        <f>H36*I36*K36</f>
        <v>1570</v>
      </c>
      <c r="O36" s="473">
        <v>17</v>
      </c>
      <c r="P36" s="474">
        <f>N36*1000*17</f>
        <v>26690000</v>
      </c>
      <c r="Q36" s="474"/>
      <c r="T36" s="472"/>
    </row>
    <row r="37" spans="1:20" s="471" customFormat="1" ht="19.5" customHeight="1" x14ac:dyDescent="0.25">
      <c r="A37" s="473" t="s">
        <v>107</v>
      </c>
      <c r="B37" s="473"/>
      <c r="C37" s="478">
        <v>266</v>
      </c>
      <c r="D37" s="478">
        <v>143</v>
      </c>
      <c r="E37" s="478" t="s">
        <v>114</v>
      </c>
      <c r="F37" s="478">
        <v>128.69999999999999</v>
      </c>
      <c r="G37" s="478"/>
      <c r="H37" s="474">
        <f>SUM(F37:G37)</f>
        <v>128.69999999999999</v>
      </c>
      <c r="I37" s="477">
        <v>3.17</v>
      </c>
      <c r="J37" s="476">
        <f>3.17*0.01</f>
        <v>3.1699999999999999E-2</v>
      </c>
      <c r="K37" s="475">
        <f>(I37-J37)/I37</f>
        <v>0.9900000000000001</v>
      </c>
      <c r="L37" s="474">
        <v>7470</v>
      </c>
      <c r="M37" s="474">
        <f>(H37*L37)*K37</f>
        <v>951775.11</v>
      </c>
      <c r="N37" s="473">
        <f>H37*I37*K37</f>
        <v>403.89920999999998</v>
      </c>
      <c r="O37" s="473">
        <v>17</v>
      </c>
      <c r="P37" s="474">
        <f>N37*1000*17</f>
        <v>6866286.5699999994</v>
      </c>
      <c r="Q37" s="474"/>
      <c r="T37" s="472"/>
    </row>
    <row r="38" spans="1:20" s="471" customFormat="1" ht="24.95" customHeight="1" x14ac:dyDescent="0.25">
      <c r="A38" s="473" t="s">
        <v>88</v>
      </c>
      <c r="B38" s="473"/>
      <c r="C38" s="478">
        <v>1305</v>
      </c>
      <c r="D38" s="473">
        <v>1593</v>
      </c>
      <c r="E38" s="473" t="s">
        <v>120</v>
      </c>
      <c r="F38" s="473">
        <v>1592.8</v>
      </c>
      <c r="G38" s="473"/>
      <c r="H38" s="474">
        <f>SUM(F38:G38)</f>
        <v>1592.8</v>
      </c>
      <c r="I38" s="477">
        <v>4.17</v>
      </c>
      <c r="J38" s="476">
        <f>3.17*0.9</f>
        <v>2.8530000000000002</v>
      </c>
      <c r="K38" s="475">
        <f>(I38-J38)/I38</f>
        <v>0.31582733812949632</v>
      </c>
      <c r="L38" s="474">
        <v>7471</v>
      </c>
      <c r="M38" s="474">
        <f>(H38*L38)*K38</f>
        <v>3758284.9375539552</v>
      </c>
      <c r="N38" s="473">
        <f>H38*I38*K38</f>
        <v>2097.7175999999995</v>
      </c>
      <c r="O38" s="473">
        <v>18</v>
      </c>
      <c r="P38" s="474">
        <f>N38*1000*17</f>
        <v>35661199.199999996</v>
      </c>
      <c r="Q38" s="473"/>
      <c r="T38" s="472"/>
    </row>
    <row r="39" spans="1:20" s="519" customFormat="1" ht="24.95" customHeight="1" x14ac:dyDescent="0.25">
      <c r="A39" s="513" t="s">
        <v>106</v>
      </c>
      <c r="B39" s="513"/>
      <c r="C39" s="514">
        <v>184</v>
      </c>
      <c r="D39" s="514">
        <v>1450</v>
      </c>
      <c r="E39" s="514">
        <v>0</v>
      </c>
      <c r="F39" s="514">
        <v>202.2</v>
      </c>
      <c r="G39" s="514">
        <v>806.4</v>
      </c>
      <c r="H39" s="514">
        <v>1008.5999999999999</v>
      </c>
      <c r="I39" s="514">
        <v>7.34</v>
      </c>
      <c r="J39" s="514">
        <v>5.7060000000000004</v>
      </c>
      <c r="K39" s="514">
        <v>0.41582733812949624</v>
      </c>
      <c r="L39" s="514">
        <v>14941</v>
      </c>
      <c r="M39" s="514">
        <v>882427.88345323666</v>
      </c>
      <c r="N39" s="514">
        <v>399.72619999999972</v>
      </c>
      <c r="O39" s="514">
        <v>35</v>
      </c>
      <c r="P39" s="514">
        <v>6795345.3999999966</v>
      </c>
      <c r="Q39" s="513"/>
      <c r="T39" s="520"/>
    </row>
    <row r="40" spans="1:20" s="471" customFormat="1" ht="24.95" customHeight="1" x14ac:dyDescent="0.25">
      <c r="A40" s="473" t="s">
        <v>237</v>
      </c>
      <c r="B40" s="473"/>
      <c r="C40" s="478">
        <v>1097</v>
      </c>
      <c r="D40" s="473">
        <v>1235.3399999999999</v>
      </c>
      <c r="E40" s="473" t="s">
        <v>120</v>
      </c>
      <c r="F40" s="473">
        <v>636.79999999999995</v>
      </c>
      <c r="G40" s="473">
        <v>599</v>
      </c>
      <c r="H40" s="474">
        <f t="shared" ref="H40:H46" si="0">SUM(F40:G40)</f>
        <v>1235.8</v>
      </c>
      <c r="I40" s="477">
        <v>3.17</v>
      </c>
      <c r="J40" s="476">
        <v>0.03</v>
      </c>
      <c r="K40" s="475">
        <f t="shared" ref="K40:K46" si="1">(I40-J40)/I40</f>
        <v>0.99053627760252372</v>
      </c>
      <c r="L40" s="474">
        <v>7471</v>
      </c>
      <c r="M40" s="474">
        <f t="shared" ref="M40:M46" si="2">(H40*L40)*K40</f>
        <v>9145286.451735016</v>
      </c>
      <c r="N40" s="473">
        <f t="shared" ref="N40:N46" si="3">H40*I40*K40</f>
        <v>3880.4120000000003</v>
      </c>
      <c r="O40" s="473">
        <v>17</v>
      </c>
      <c r="P40" s="474">
        <f t="shared" ref="P40:P46" si="4">N40*1000*17</f>
        <v>65967004.000000007</v>
      </c>
      <c r="Q40" s="473"/>
      <c r="T40" s="472"/>
    </row>
    <row r="41" spans="1:20" s="471" customFormat="1" ht="24.95" customHeight="1" x14ac:dyDescent="0.25">
      <c r="A41" s="473" t="s">
        <v>90</v>
      </c>
      <c r="B41" s="473"/>
      <c r="C41" s="478">
        <v>194</v>
      </c>
      <c r="D41" s="473">
        <v>274</v>
      </c>
      <c r="E41" s="473" t="s">
        <v>120</v>
      </c>
      <c r="F41" s="473">
        <v>244.6</v>
      </c>
      <c r="G41" s="473"/>
      <c r="H41" s="474">
        <f t="shared" si="0"/>
        <v>244.6</v>
      </c>
      <c r="I41" s="477">
        <v>3.17</v>
      </c>
      <c r="J41" s="476">
        <v>0.03</v>
      </c>
      <c r="K41" s="475">
        <f t="shared" si="1"/>
        <v>0.99053627760252372</v>
      </c>
      <c r="L41" s="474">
        <v>7471</v>
      </c>
      <c r="M41" s="474">
        <f t="shared" si="2"/>
        <v>1810112.5312302839</v>
      </c>
      <c r="N41" s="473">
        <f t="shared" si="3"/>
        <v>768.04399999999998</v>
      </c>
      <c r="O41" s="473">
        <v>17</v>
      </c>
      <c r="P41" s="474">
        <f t="shared" si="4"/>
        <v>13056748</v>
      </c>
      <c r="Q41" s="473"/>
      <c r="T41" s="472"/>
    </row>
    <row r="42" spans="1:20" s="471" customFormat="1" ht="24.95" customHeight="1" x14ac:dyDescent="0.25">
      <c r="A42" s="473" t="s">
        <v>109</v>
      </c>
      <c r="B42" s="473"/>
      <c r="C42" s="478">
        <v>1195</v>
      </c>
      <c r="D42" s="473">
        <v>1350</v>
      </c>
      <c r="E42" s="473" t="s">
        <v>120</v>
      </c>
      <c r="F42" s="473">
        <v>1210</v>
      </c>
      <c r="G42" s="473"/>
      <c r="H42" s="474">
        <f t="shared" si="0"/>
        <v>1210</v>
      </c>
      <c r="I42" s="477">
        <v>3.17</v>
      </c>
      <c r="J42" s="476">
        <v>0.03</v>
      </c>
      <c r="K42" s="475">
        <f t="shared" si="1"/>
        <v>0.99053627760252372</v>
      </c>
      <c r="L42" s="474">
        <v>7471</v>
      </c>
      <c r="M42" s="474">
        <f t="shared" si="2"/>
        <v>8954358.8012618311</v>
      </c>
      <c r="N42" s="473">
        <f t="shared" si="3"/>
        <v>3799.4</v>
      </c>
      <c r="O42" s="473">
        <v>17</v>
      </c>
      <c r="P42" s="474">
        <f t="shared" si="4"/>
        <v>64589800</v>
      </c>
      <c r="Q42" s="473"/>
      <c r="T42" s="472"/>
    </row>
    <row r="43" spans="1:20" s="471" customFormat="1" ht="24.95" customHeight="1" x14ac:dyDescent="0.25">
      <c r="A43" s="473" t="s">
        <v>218</v>
      </c>
      <c r="B43" s="473"/>
      <c r="C43" s="478">
        <v>798</v>
      </c>
      <c r="D43" s="473">
        <v>1088.5</v>
      </c>
      <c r="E43" s="473" t="s">
        <v>120</v>
      </c>
      <c r="F43" s="473">
        <v>533</v>
      </c>
      <c r="G43" s="473">
        <v>555.5</v>
      </c>
      <c r="H43" s="474">
        <f t="shared" si="0"/>
        <v>1088.5</v>
      </c>
      <c r="I43" s="477">
        <v>3.17</v>
      </c>
      <c r="J43" s="476">
        <v>0.03</v>
      </c>
      <c r="K43" s="475">
        <f t="shared" si="1"/>
        <v>0.99053627760252372</v>
      </c>
      <c r="L43" s="474">
        <v>7471</v>
      </c>
      <c r="M43" s="474">
        <f t="shared" si="2"/>
        <v>8055222.7728706626</v>
      </c>
      <c r="N43" s="473">
        <f t="shared" si="3"/>
        <v>3417.8900000000003</v>
      </c>
      <c r="O43" s="473">
        <v>17</v>
      </c>
      <c r="P43" s="474">
        <f t="shared" si="4"/>
        <v>58104130.000000007</v>
      </c>
      <c r="Q43" s="473"/>
      <c r="T43" s="472"/>
    </row>
    <row r="44" spans="1:20" s="471" customFormat="1" ht="24.95" customHeight="1" x14ac:dyDescent="0.25">
      <c r="A44" s="473" t="s">
        <v>111</v>
      </c>
      <c r="B44" s="473"/>
      <c r="C44" s="478"/>
      <c r="D44" s="478">
        <v>40</v>
      </c>
      <c r="E44" s="473" t="s">
        <v>216</v>
      </c>
      <c r="F44" s="473">
        <v>12.6</v>
      </c>
      <c r="G44" s="473">
        <v>28</v>
      </c>
      <c r="H44" s="474">
        <f t="shared" si="0"/>
        <v>40.6</v>
      </c>
      <c r="I44" s="477">
        <v>4.17</v>
      </c>
      <c r="J44" s="476">
        <f>3.17*0.9</f>
        <v>2.8530000000000002</v>
      </c>
      <c r="K44" s="475">
        <f t="shared" si="1"/>
        <v>0.31582733812949632</v>
      </c>
      <c r="L44" s="474">
        <v>7471</v>
      </c>
      <c r="M44" s="474">
        <f t="shared" si="2"/>
        <v>95797.569352517967</v>
      </c>
      <c r="N44" s="473">
        <f t="shared" si="3"/>
        <v>53.470199999999984</v>
      </c>
      <c r="O44" s="473">
        <v>17</v>
      </c>
      <c r="P44" s="474">
        <f t="shared" si="4"/>
        <v>908993.39999999967</v>
      </c>
      <c r="Q44" s="473"/>
      <c r="T44" s="472"/>
    </row>
    <row r="45" spans="1:20" s="471" customFormat="1" ht="24.95" customHeight="1" x14ac:dyDescent="0.25">
      <c r="A45" s="473" t="s">
        <v>110</v>
      </c>
      <c r="B45" s="473"/>
      <c r="C45" s="478"/>
      <c r="D45" s="473">
        <v>100</v>
      </c>
      <c r="E45" s="473" t="s">
        <v>216</v>
      </c>
      <c r="F45" s="473">
        <v>100</v>
      </c>
      <c r="G45" s="473"/>
      <c r="H45" s="474">
        <f t="shared" si="0"/>
        <v>100</v>
      </c>
      <c r="I45" s="477">
        <v>4.17</v>
      </c>
      <c r="J45" s="476">
        <f>3.17*0.9</f>
        <v>2.8530000000000002</v>
      </c>
      <c r="K45" s="475">
        <f t="shared" si="1"/>
        <v>0.31582733812949632</v>
      </c>
      <c r="L45" s="474">
        <v>7471</v>
      </c>
      <c r="M45" s="474">
        <f t="shared" si="2"/>
        <v>235954.6043165467</v>
      </c>
      <c r="N45" s="473">
        <f t="shared" si="3"/>
        <v>131.69999999999996</v>
      </c>
      <c r="O45" s="473">
        <v>18</v>
      </c>
      <c r="P45" s="474">
        <f t="shared" si="4"/>
        <v>2238899.9999999995</v>
      </c>
      <c r="Q45" s="473"/>
      <c r="T45" s="472"/>
    </row>
    <row r="46" spans="1:20" s="471" customFormat="1" ht="24.95" customHeight="1" x14ac:dyDescent="0.25">
      <c r="A46" s="473" t="s">
        <v>91</v>
      </c>
      <c r="B46" s="473"/>
      <c r="C46" s="478">
        <v>612</v>
      </c>
      <c r="D46" s="473">
        <v>622</v>
      </c>
      <c r="E46" s="473" t="s">
        <v>120</v>
      </c>
      <c r="F46" s="473">
        <v>515.9</v>
      </c>
      <c r="G46" s="473">
        <v>106</v>
      </c>
      <c r="H46" s="474">
        <f t="shared" si="0"/>
        <v>621.9</v>
      </c>
      <c r="I46" s="477">
        <v>3.17</v>
      </c>
      <c r="J46" s="476">
        <f>3.17*0.9</f>
        <v>2.8530000000000002</v>
      </c>
      <c r="K46" s="475">
        <f t="shared" si="1"/>
        <v>9.9999999999999922E-2</v>
      </c>
      <c r="L46" s="474">
        <v>7470</v>
      </c>
      <c r="M46" s="474">
        <f t="shared" si="2"/>
        <v>464559.29999999964</v>
      </c>
      <c r="N46" s="473">
        <f t="shared" si="3"/>
        <v>197.14229999999984</v>
      </c>
      <c r="O46" s="473">
        <v>17</v>
      </c>
      <c r="P46" s="474">
        <f t="shared" si="4"/>
        <v>3351419.0999999973</v>
      </c>
      <c r="Q46" s="473"/>
      <c r="T46" s="472"/>
    </row>
    <row r="48" spans="1:20" s="465" customFormat="1" ht="18.95" customHeight="1" x14ac:dyDescent="0.25">
      <c r="A48" s="466" t="s">
        <v>192</v>
      </c>
      <c r="B48" s="466"/>
      <c r="C48" s="467"/>
      <c r="D48" s="467"/>
      <c r="E48" s="467"/>
      <c r="F48" s="466"/>
      <c r="G48" s="466" t="s">
        <v>236</v>
      </c>
      <c r="H48" s="466"/>
      <c r="I48" s="466"/>
      <c r="J48" s="466"/>
      <c r="K48" s="466"/>
      <c r="L48" s="466"/>
      <c r="M48" s="466"/>
      <c r="N48" s="466"/>
      <c r="O48" s="466"/>
      <c r="P48" s="466"/>
      <c r="Q48" s="466"/>
    </row>
    <row r="49" spans="1:17" s="465" customFormat="1" ht="18.95" customHeight="1" x14ac:dyDescent="0.25">
      <c r="A49" s="466"/>
      <c r="B49" s="466"/>
      <c r="C49" s="467"/>
      <c r="D49" s="467"/>
      <c r="E49" s="467"/>
      <c r="F49" s="466"/>
      <c r="G49" s="466"/>
      <c r="H49" s="466"/>
      <c r="I49" s="466"/>
      <c r="J49" s="466"/>
      <c r="K49" s="466"/>
      <c r="L49" s="466"/>
      <c r="M49" s="466"/>
      <c r="N49" s="466"/>
      <c r="O49" s="466"/>
      <c r="P49" s="466"/>
      <c r="Q49" s="466"/>
    </row>
    <row r="50" spans="1:17" s="465" customFormat="1" ht="18.95" customHeight="1" x14ac:dyDescent="0.25">
      <c r="A50" s="466"/>
      <c r="B50" s="466"/>
      <c r="C50" s="467"/>
      <c r="D50" s="467"/>
      <c r="E50" s="467"/>
      <c r="F50" s="466"/>
      <c r="G50" s="466"/>
      <c r="H50" s="466"/>
      <c r="I50" s="466"/>
      <c r="J50" s="466"/>
      <c r="K50" s="466"/>
      <c r="L50" s="466"/>
      <c r="M50" s="466"/>
      <c r="N50" s="466"/>
      <c r="O50" s="466"/>
      <c r="P50" s="466"/>
      <c r="Q50" s="466"/>
    </row>
    <row r="51" spans="1:17" s="465" customFormat="1" ht="18.95" customHeight="1" x14ac:dyDescent="0.25">
      <c r="A51" s="466"/>
      <c r="B51" s="466"/>
      <c r="C51" s="467"/>
      <c r="D51" s="467"/>
      <c r="E51" s="467"/>
      <c r="F51" s="466"/>
      <c r="G51" s="466"/>
      <c r="H51" s="466"/>
      <c r="I51" s="466"/>
      <c r="J51" s="466"/>
      <c r="K51" s="466"/>
      <c r="L51" s="466"/>
      <c r="M51" s="466"/>
      <c r="N51" s="466"/>
      <c r="O51" s="466"/>
      <c r="P51" s="466"/>
      <c r="Q51" s="466"/>
    </row>
    <row r="52" spans="1:17" s="468" customFormat="1" ht="18.95" customHeight="1" x14ac:dyDescent="0.25">
      <c r="A52" s="469"/>
      <c r="B52" s="469"/>
      <c r="C52" s="470" t="s">
        <v>235</v>
      </c>
      <c r="D52" s="470"/>
      <c r="E52" s="470"/>
      <c r="F52" s="469"/>
      <c r="G52" s="469" t="s">
        <v>234</v>
      </c>
      <c r="H52" s="469"/>
      <c r="I52" s="469"/>
      <c r="J52" s="469"/>
      <c r="K52" s="469"/>
      <c r="L52" s="469"/>
      <c r="M52" s="469"/>
      <c r="N52" s="469"/>
      <c r="O52" s="469"/>
      <c r="P52" s="469"/>
      <c r="Q52" s="469"/>
    </row>
    <row r="53" spans="1:17" s="465" customFormat="1" ht="18.95" customHeight="1" x14ac:dyDescent="0.25">
      <c r="A53" s="466"/>
      <c r="B53" s="466"/>
      <c r="C53" s="467"/>
      <c r="D53" s="467"/>
      <c r="E53" s="467"/>
      <c r="F53" s="466"/>
      <c r="G53" s="466" t="s">
        <v>186</v>
      </c>
      <c r="H53" s="466"/>
      <c r="I53" s="466"/>
      <c r="J53" s="466"/>
      <c r="K53" s="466"/>
      <c r="L53" s="466"/>
      <c r="M53" s="466"/>
      <c r="N53" s="466"/>
      <c r="O53" s="466"/>
      <c r="P53" s="466"/>
      <c r="Q53" s="466"/>
    </row>
  </sheetData>
  <mergeCells count="17">
    <mergeCell ref="A12:A14"/>
    <mergeCell ref="B12:B14"/>
    <mergeCell ref="C12:C14"/>
    <mergeCell ref="D12:D14"/>
    <mergeCell ref="E12:E14"/>
    <mergeCell ref="A1:Q1"/>
    <mergeCell ref="A2:Q2"/>
    <mergeCell ref="A3:Q3"/>
    <mergeCell ref="A4:Q4"/>
    <mergeCell ref="A11:Q11"/>
    <mergeCell ref="F12:H13"/>
    <mergeCell ref="I12:J13"/>
    <mergeCell ref="K12:K14"/>
    <mergeCell ref="L12:P12"/>
    <mergeCell ref="Q12:Q14"/>
    <mergeCell ref="L13:M13"/>
    <mergeCell ref="N13:P13"/>
  </mergeCells>
  <printOptions horizontalCentered="1"/>
  <pageMargins left="0" right="0" top="0.1" bottom="0.1" header="0.3" footer="0.3"/>
  <pageSetup paperSize="258" scale="53" fitToHeight="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4711F-EACA-E746-8976-86D995E06DE2}">
  <dimension ref="A1:U88"/>
  <sheetViews>
    <sheetView showGridLines="0" topLeftCell="A60" zoomScale="114" zoomScaleNormal="131" zoomScaleSheetLayoutView="70" zoomScalePageLayoutView="115" workbookViewId="0">
      <selection activeCell="A88" sqref="A88"/>
    </sheetView>
  </sheetViews>
  <sheetFormatPr defaultColWidth="11.42578125" defaultRowHeight="18.75" customHeight="1" x14ac:dyDescent="0.25"/>
  <cols>
    <col min="1" max="1" width="24.42578125" style="10" customWidth="1"/>
    <col min="2" max="2" width="16.42578125" style="10" hidden="1" customWidth="1"/>
    <col min="3" max="3" width="15.28515625" style="18" customWidth="1"/>
    <col min="4" max="4" width="14.85546875" style="18" customWidth="1"/>
    <col min="5" max="5" width="28.7109375" style="11" customWidth="1"/>
    <col min="6" max="6" width="11.85546875" style="14" customWidth="1"/>
    <col min="7" max="7" width="12" style="14" customWidth="1"/>
    <col min="8" max="8" width="11" style="14" customWidth="1"/>
    <col min="9" max="9" width="11" style="10" bestFit="1" customWidth="1"/>
    <col min="10" max="10" width="12" style="17" customWidth="1"/>
    <col min="11" max="11" width="9.28515625" style="16" customWidth="1"/>
    <col min="12" max="12" width="14.85546875" style="15" customWidth="1"/>
    <col min="13" max="13" width="19.28515625" style="12" customWidth="1"/>
    <col min="14" max="14" width="11.42578125" style="14" customWidth="1"/>
    <col min="15" max="15" width="7.85546875" style="13" customWidth="1"/>
    <col min="16" max="16" width="18.140625" style="12" customWidth="1"/>
    <col min="17" max="17" width="15.42578125" style="12" hidden="1" customWidth="1"/>
    <col min="18" max="18" width="34.42578125" style="10" customWidth="1"/>
    <col min="19" max="19" width="18" style="10" customWidth="1"/>
    <col min="20" max="20" width="22.7109375" style="11" customWidth="1"/>
    <col min="21" max="21" width="29.28515625" style="10" customWidth="1"/>
    <col min="22" max="16384" width="11.42578125" style="10"/>
  </cols>
  <sheetData>
    <row r="1" spans="1:21" ht="36" customHeight="1" x14ac:dyDescent="0.25">
      <c r="A1" s="825" t="s">
        <v>184</v>
      </c>
      <c r="B1" s="825"/>
      <c r="C1" s="825"/>
      <c r="D1" s="825"/>
      <c r="E1" s="825"/>
      <c r="F1" s="825"/>
      <c r="G1" s="825"/>
      <c r="H1" s="825"/>
      <c r="I1" s="825"/>
      <c r="J1" s="825"/>
      <c r="K1" s="825"/>
      <c r="L1" s="825"/>
      <c r="M1" s="825"/>
      <c r="N1" s="825"/>
      <c r="O1" s="825"/>
      <c r="P1" s="825"/>
      <c r="Q1" s="825"/>
      <c r="R1" s="825"/>
    </row>
    <row r="2" spans="1:21" ht="18.75" customHeight="1" x14ac:dyDescent="0.25">
      <c r="A2" s="781" t="s">
        <v>183</v>
      </c>
      <c r="B2" s="781"/>
      <c r="C2" s="781"/>
      <c r="D2" s="781"/>
      <c r="E2" s="781"/>
      <c r="F2" s="781"/>
      <c r="G2" s="781"/>
      <c r="H2" s="781"/>
      <c r="I2" s="781"/>
      <c r="J2" s="781"/>
      <c r="K2" s="781"/>
      <c r="L2" s="781"/>
      <c r="M2" s="781"/>
      <c r="N2" s="781"/>
      <c r="O2" s="781"/>
      <c r="P2" s="781"/>
      <c r="Q2" s="781"/>
      <c r="R2" s="781"/>
    </row>
    <row r="3" spans="1:21" ht="18.75" customHeight="1" x14ac:dyDescent="0.25">
      <c r="A3" s="781" t="s">
        <v>182</v>
      </c>
      <c r="B3" s="781"/>
      <c r="C3" s="781"/>
      <c r="D3" s="781"/>
      <c r="E3" s="781"/>
      <c r="F3" s="781"/>
      <c r="G3" s="781"/>
      <c r="H3" s="781"/>
      <c r="I3" s="781"/>
      <c r="J3" s="781"/>
      <c r="K3" s="781"/>
      <c r="L3" s="781"/>
      <c r="M3" s="781"/>
      <c r="N3" s="781"/>
      <c r="O3" s="781"/>
      <c r="P3" s="781"/>
      <c r="Q3" s="781"/>
      <c r="R3" s="781"/>
    </row>
    <row r="4" spans="1:21" ht="18.75" customHeight="1" thickBot="1" x14ac:dyDescent="0.3">
      <c r="A4" s="182"/>
      <c r="B4" s="182"/>
      <c r="C4" s="218"/>
      <c r="D4" s="218"/>
      <c r="E4" s="190"/>
      <c r="F4" s="215"/>
      <c r="G4" s="215"/>
      <c r="H4" s="215"/>
      <c r="I4" s="217"/>
      <c r="J4" s="216"/>
      <c r="K4" s="182"/>
      <c r="L4" s="182"/>
      <c r="M4" s="215"/>
      <c r="N4" s="215"/>
      <c r="O4" s="182"/>
      <c r="P4" s="214"/>
      <c r="Q4" s="214"/>
      <c r="R4" s="182"/>
    </row>
    <row r="5" spans="1:21" ht="21" customHeight="1" x14ac:dyDescent="0.25">
      <c r="A5" s="213" t="s">
        <v>181</v>
      </c>
      <c r="B5" s="212"/>
      <c r="C5" s="211"/>
      <c r="D5" s="211"/>
      <c r="E5" s="210"/>
      <c r="F5" s="204"/>
      <c r="G5" s="204"/>
      <c r="H5" s="209" t="s">
        <v>180</v>
      </c>
      <c r="I5" s="208"/>
      <c r="J5" s="207"/>
      <c r="K5" s="203"/>
      <c r="L5" s="206"/>
      <c r="M5" s="205"/>
      <c r="N5" s="204"/>
      <c r="O5" s="203"/>
      <c r="P5" s="202"/>
      <c r="Q5" s="202"/>
      <c r="R5" s="201"/>
      <c r="T5" s="200"/>
    </row>
    <row r="6" spans="1:21" ht="18.75" customHeight="1" x14ac:dyDescent="0.25">
      <c r="A6" s="193"/>
      <c r="B6" s="192"/>
      <c r="C6" s="191"/>
      <c r="D6" s="191"/>
      <c r="E6" s="190"/>
      <c r="F6" s="189"/>
      <c r="G6" s="189"/>
      <c r="H6" s="199" t="s">
        <v>179</v>
      </c>
      <c r="I6" s="198"/>
      <c r="J6" s="197" t="s">
        <v>178</v>
      </c>
      <c r="K6" s="182"/>
      <c r="L6" s="182"/>
      <c r="M6" s="196"/>
      <c r="N6" s="195"/>
      <c r="O6" s="194"/>
      <c r="P6" s="181"/>
      <c r="Q6" s="181"/>
      <c r="R6" s="180"/>
    </row>
    <row r="7" spans="1:21" ht="18.75" customHeight="1" x14ac:dyDescent="0.25">
      <c r="A7" s="193"/>
      <c r="B7" s="192"/>
      <c r="C7" s="191"/>
      <c r="D7" s="191"/>
      <c r="E7" s="190"/>
      <c r="F7" s="189"/>
      <c r="G7" s="189"/>
      <c r="H7" s="187" t="s">
        <v>177</v>
      </c>
      <c r="I7" s="186"/>
      <c r="J7" s="185"/>
      <c r="K7" s="182" t="s">
        <v>176</v>
      </c>
      <c r="L7" s="182"/>
      <c r="M7" s="184"/>
      <c r="N7" s="183"/>
      <c r="O7" s="182"/>
      <c r="P7" s="181"/>
      <c r="Q7" s="181"/>
      <c r="R7" s="180"/>
    </row>
    <row r="8" spans="1:21" ht="18.75" customHeight="1" x14ac:dyDescent="0.25">
      <c r="A8" s="193"/>
      <c r="B8" s="192"/>
      <c r="C8" s="191"/>
      <c r="D8" s="191"/>
      <c r="E8" s="190"/>
      <c r="F8" s="189"/>
      <c r="G8" s="188"/>
      <c r="H8" s="187" t="s">
        <v>175</v>
      </c>
      <c r="I8" s="186"/>
      <c r="J8" s="185"/>
      <c r="K8" s="182" t="s">
        <v>174</v>
      </c>
      <c r="L8" s="182"/>
      <c r="M8" s="184"/>
      <c r="N8" s="183"/>
      <c r="O8" s="182"/>
      <c r="P8" s="181"/>
      <c r="Q8" s="181"/>
      <c r="R8" s="180"/>
    </row>
    <row r="9" spans="1:21" ht="18.75" customHeight="1" thickBot="1" x14ac:dyDescent="0.3">
      <c r="A9" s="179"/>
      <c r="B9" s="178"/>
      <c r="C9" s="177"/>
      <c r="D9" s="177"/>
      <c r="E9" s="176"/>
      <c r="F9" s="175"/>
      <c r="G9" s="175"/>
      <c r="H9" s="174" t="s">
        <v>173</v>
      </c>
      <c r="I9" s="173"/>
      <c r="J9" s="172"/>
      <c r="K9" s="169" t="s">
        <v>172</v>
      </c>
      <c r="L9" s="169"/>
      <c r="M9" s="171"/>
      <c r="N9" s="170"/>
      <c r="O9" s="169"/>
      <c r="P9" s="168"/>
      <c r="Q9" s="168"/>
      <c r="R9" s="167"/>
    </row>
    <row r="10" spans="1:21" ht="18.600000000000001" customHeight="1" thickBot="1" x14ac:dyDescent="0.3">
      <c r="A10" s="737" t="s">
        <v>171</v>
      </c>
      <c r="B10" s="738"/>
      <c r="C10" s="738"/>
      <c r="D10" s="738"/>
      <c r="E10" s="738"/>
      <c r="F10" s="738"/>
      <c r="G10" s="738"/>
      <c r="H10" s="738"/>
      <c r="I10" s="738"/>
      <c r="J10" s="738"/>
      <c r="K10" s="738"/>
      <c r="L10" s="738"/>
      <c r="M10" s="738"/>
      <c r="N10" s="738"/>
      <c r="O10" s="738"/>
      <c r="P10" s="738"/>
      <c r="Q10" s="738"/>
      <c r="R10" s="739"/>
      <c r="T10" s="166"/>
    </row>
    <row r="11" spans="1:21" ht="18.75" customHeight="1" x14ac:dyDescent="0.25">
      <c r="A11" s="740" t="s">
        <v>170</v>
      </c>
      <c r="B11" s="746" t="s">
        <v>169</v>
      </c>
      <c r="C11" s="743" t="s">
        <v>168</v>
      </c>
      <c r="D11" s="744" t="s">
        <v>167</v>
      </c>
      <c r="E11" s="752" t="s">
        <v>166</v>
      </c>
      <c r="F11" s="754" t="s">
        <v>165</v>
      </c>
      <c r="G11" s="755"/>
      <c r="H11" s="756"/>
      <c r="I11" s="760" t="s">
        <v>164</v>
      </c>
      <c r="J11" s="761"/>
      <c r="K11" s="764" t="s">
        <v>163</v>
      </c>
      <c r="L11" s="747" t="s">
        <v>162</v>
      </c>
      <c r="M11" s="748"/>
      <c r="N11" s="748"/>
      <c r="O11" s="748"/>
      <c r="P11" s="748"/>
      <c r="Q11" s="165"/>
      <c r="R11" s="749" t="s">
        <v>161</v>
      </c>
      <c r="T11" s="164"/>
    </row>
    <row r="12" spans="1:21" ht="15.75" customHeight="1" x14ac:dyDescent="0.25">
      <c r="A12" s="741"/>
      <c r="B12" s="746"/>
      <c r="C12" s="744"/>
      <c r="D12" s="744"/>
      <c r="E12" s="746"/>
      <c r="F12" s="757"/>
      <c r="G12" s="758"/>
      <c r="H12" s="759"/>
      <c r="I12" s="762"/>
      <c r="J12" s="763"/>
      <c r="K12" s="765"/>
      <c r="L12" s="767" t="s">
        <v>160</v>
      </c>
      <c r="M12" s="768"/>
      <c r="N12" s="767" t="s">
        <v>159</v>
      </c>
      <c r="O12" s="768"/>
      <c r="P12" s="769"/>
      <c r="Q12" s="770" t="s">
        <v>149</v>
      </c>
      <c r="R12" s="750"/>
    </row>
    <row r="13" spans="1:21" s="16" customFormat="1" ht="78.599999999999994" customHeight="1" thickBot="1" x14ac:dyDescent="0.3">
      <c r="A13" s="742"/>
      <c r="B13" s="746"/>
      <c r="C13" s="745"/>
      <c r="D13" s="744"/>
      <c r="E13" s="753"/>
      <c r="F13" s="163" t="s">
        <v>158</v>
      </c>
      <c r="G13" s="163" t="s">
        <v>157</v>
      </c>
      <c r="H13" s="163" t="s">
        <v>156</v>
      </c>
      <c r="I13" s="162" t="s">
        <v>155</v>
      </c>
      <c r="J13" s="161" t="s">
        <v>154</v>
      </c>
      <c r="K13" s="766"/>
      <c r="L13" s="160" t="s">
        <v>153</v>
      </c>
      <c r="M13" s="159" t="s">
        <v>152</v>
      </c>
      <c r="N13" s="159" t="s">
        <v>151</v>
      </c>
      <c r="O13" s="160" t="s">
        <v>150</v>
      </c>
      <c r="P13" s="159" t="s">
        <v>149</v>
      </c>
      <c r="Q13" s="771"/>
      <c r="R13" s="751"/>
    </row>
    <row r="14" spans="1:21" s="60" customFormat="1" ht="19.350000000000001" customHeight="1" x14ac:dyDescent="0.25">
      <c r="A14" s="158" t="s">
        <v>148</v>
      </c>
      <c r="B14" s="157"/>
      <c r="C14" s="156" t="s">
        <v>147</v>
      </c>
      <c r="D14" s="156"/>
      <c r="E14" s="155" t="s">
        <v>146</v>
      </c>
      <c r="F14" s="152" t="s">
        <v>145</v>
      </c>
      <c r="G14" s="152" t="s">
        <v>144</v>
      </c>
      <c r="H14" s="152" t="s">
        <v>143</v>
      </c>
      <c r="I14" s="153" t="s">
        <v>142</v>
      </c>
      <c r="J14" s="154" t="s">
        <v>141</v>
      </c>
      <c r="K14" s="153" t="s">
        <v>140</v>
      </c>
      <c r="L14" s="153" t="s">
        <v>139</v>
      </c>
      <c r="M14" s="152" t="s">
        <v>138</v>
      </c>
      <c r="N14" s="152" t="s">
        <v>137</v>
      </c>
      <c r="O14" s="153" t="s">
        <v>136</v>
      </c>
      <c r="P14" s="152" t="s">
        <v>135</v>
      </c>
      <c r="Q14" s="152" t="s">
        <v>134</v>
      </c>
      <c r="R14" s="151" t="s">
        <v>133</v>
      </c>
      <c r="S14" s="16"/>
      <c r="U14" s="61"/>
    </row>
    <row r="15" spans="1:21" s="140" customFormat="1" ht="20.45" customHeight="1" x14ac:dyDescent="0.25">
      <c r="A15" s="220" t="s">
        <v>132</v>
      </c>
      <c r="B15" s="221"/>
      <c r="C15" s="222">
        <f>C27+C60+C69+C19+C16</f>
        <v>3441</v>
      </c>
      <c r="D15" s="222">
        <f>D27+D60+D69+D19+D16</f>
        <v>4551</v>
      </c>
      <c r="E15" s="220"/>
      <c r="F15" s="223">
        <f>F27+F60+F69+F19+F16</f>
        <v>1495.25</v>
      </c>
      <c r="G15" s="223">
        <f>G27+G60+G69+G19+G16</f>
        <v>1175.51</v>
      </c>
      <c r="H15" s="223">
        <f>H27+H60+H69+H19+H16</f>
        <v>2670.76</v>
      </c>
      <c r="I15" s="224"/>
      <c r="J15" s="223"/>
      <c r="K15" s="223"/>
      <c r="L15" s="225"/>
      <c r="M15" s="223">
        <f>M27+M60+M69+M19+M16</f>
        <v>10883407.833709756</v>
      </c>
      <c r="N15" s="223">
        <f>N27+N60+N69+N19+N16</f>
        <v>2512.8225000000002</v>
      </c>
      <c r="O15" s="223"/>
      <c r="P15" s="223">
        <f>P27+P60+P69+P19+P16</f>
        <v>42717982.5</v>
      </c>
      <c r="Q15" s="144"/>
      <c r="R15" s="143"/>
      <c r="S15" s="142"/>
      <c r="U15" s="141"/>
    </row>
    <row r="16" spans="1:21" s="60" customFormat="1" ht="20.45" hidden="1" customHeight="1" x14ac:dyDescent="0.25">
      <c r="A16" s="226" t="s">
        <v>131</v>
      </c>
      <c r="B16" s="227"/>
      <c r="C16" s="228"/>
      <c r="D16" s="228"/>
      <c r="E16" s="226"/>
      <c r="F16" s="229"/>
      <c r="G16" s="229"/>
      <c r="H16" s="229"/>
      <c r="I16" s="230"/>
      <c r="J16" s="229"/>
      <c r="K16" s="229"/>
      <c r="L16" s="231"/>
      <c r="M16" s="229"/>
      <c r="N16" s="229"/>
      <c r="O16" s="229"/>
      <c r="P16" s="229"/>
      <c r="Q16" s="125"/>
      <c r="R16" s="124"/>
      <c r="S16" s="16"/>
      <c r="U16" s="61"/>
    </row>
    <row r="17" spans="1:21" s="132" customFormat="1" ht="20.45" hidden="1" customHeight="1" x14ac:dyDescent="0.25">
      <c r="A17" s="29"/>
      <c r="B17" s="232"/>
      <c r="C17" s="92"/>
      <c r="D17" s="92"/>
      <c r="E17" s="29"/>
      <c r="F17" s="9"/>
      <c r="G17" s="9"/>
      <c r="H17" s="9"/>
      <c r="I17" s="110"/>
      <c r="J17" s="9"/>
      <c r="K17" s="9"/>
      <c r="L17" s="21"/>
      <c r="M17" s="9"/>
      <c r="N17" s="9"/>
      <c r="O17" s="9"/>
      <c r="P17" s="9"/>
      <c r="Q17" s="117"/>
      <c r="R17" s="116"/>
      <c r="S17" s="134"/>
      <c r="U17" s="133"/>
    </row>
    <row r="18" spans="1:21" s="132" customFormat="1" ht="20.45" hidden="1" customHeight="1" x14ac:dyDescent="0.25">
      <c r="A18" s="29"/>
      <c r="B18" s="232"/>
      <c r="C18" s="92"/>
      <c r="D18" s="92"/>
      <c r="E18" s="29"/>
      <c r="F18" s="9"/>
      <c r="G18" s="9"/>
      <c r="H18" s="9"/>
      <c r="I18" s="110"/>
      <c r="J18" s="9"/>
      <c r="K18" s="9"/>
      <c r="L18" s="21"/>
      <c r="M18" s="9"/>
      <c r="N18" s="9"/>
      <c r="O18" s="9"/>
      <c r="P18" s="9"/>
      <c r="Q18" s="117"/>
      <c r="R18" s="116"/>
      <c r="S18" s="134"/>
      <c r="U18" s="133"/>
    </row>
    <row r="19" spans="1:21" s="60" customFormat="1" ht="20.45" customHeight="1" x14ac:dyDescent="0.25">
      <c r="A19" s="226" t="s">
        <v>48</v>
      </c>
      <c r="B19" s="227"/>
      <c r="C19" s="228">
        <f>SUM(C20:C25)</f>
        <v>852</v>
      </c>
      <c r="D19" s="228">
        <f>SUM(D20:D25)</f>
        <v>1007</v>
      </c>
      <c r="E19" s="226"/>
      <c r="F19" s="229">
        <f>SUM(F20:F25)</f>
        <v>262.83</v>
      </c>
      <c r="G19" s="229">
        <f>SUM(G20:G25)</f>
        <v>360.51</v>
      </c>
      <c r="H19" s="229">
        <f>SUM(H20:H25)</f>
        <v>623.34</v>
      </c>
      <c r="I19" s="230"/>
      <c r="J19" s="229"/>
      <c r="K19" s="229"/>
      <c r="L19" s="231"/>
      <c r="M19" s="229"/>
      <c r="N19" s="229">
        <f>SUM(N20:N25)</f>
        <v>1662.6375</v>
      </c>
      <c r="O19" s="229"/>
      <c r="P19" s="229">
        <f>SUM(P20:P25)</f>
        <v>28264837.5</v>
      </c>
      <c r="Q19" s="125"/>
      <c r="R19" s="124"/>
      <c r="S19" s="16"/>
      <c r="U19" s="61"/>
    </row>
    <row r="20" spans="1:21" s="132" customFormat="1" ht="20.45" customHeight="1" x14ac:dyDescent="0.25">
      <c r="A20" s="83" t="s">
        <v>47</v>
      </c>
      <c r="B20" s="82"/>
      <c r="C20" s="81">
        <v>35</v>
      </c>
      <c r="D20" s="81">
        <v>23</v>
      </c>
      <c r="E20" s="136" t="s">
        <v>129</v>
      </c>
      <c r="F20" s="135">
        <v>23</v>
      </c>
      <c r="G20" s="135">
        <v>0</v>
      </c>
      <c r="H20" s="26">
        <f t="shared" ref="H20:H25" si="0">F20+G20</f>
        <v>23</v>
      </c>
      <c r="I20" s="110">
        <v>4.5</v>
      </c>
      <c r="J20" s="24"/>
      <c r="K20" s="23">
        <f t="shared" ref="K20:K25" si="1">(I20-J20)/I20</f>
        <v>1</v>
      </c>
      <c r="L20" s="22"/>
      <c r="M20" s="21"/>
      <c r="N20" s="233">
        <f t="shared" ref="N20:N25" si="2">(F20*I20)+(G20*K20*I20)</f>
        <v>103.5</v>
      </c>
      <c r="O20" s="20">
        <v>17</v>
      </c>
      <c r="P20" s="5">
        <f t="shared" ref="P20:P25" si="3">N20*1000*O20</f>
        <v>1759500</v>
      </c>
      <c r="Q20" s="117"/>
      <c r="R20" s="116"/>
      <c r="S20" s="134"/>
      <c r="U20" s="133"/>
    </row>
    <row r="21" spans="1:21" s="132" customFormat="1" ht="20.45" customHeight="1" x14ac:dyDescent="0.25">
      <c r="A21" s="83" t="s">
        <v>48</v>
      </c>
      <c r="B21" s="82"/>
      <c r="C21" s="81">
        <v>383</v>
      </c>
      <c r="D21" s="139">
        <v>367.2</v>
      </c>
      <c r="E21" s="136" t="s">
        <v>119</v>
      </c>
      <c r="F21" s="135">
        <v>13.04</v>
      </c>
      <c r="G21" s="135">
        <v>0</v>
      </c>
      <c r="H21" s="26">
        <f t="shared" si="0"/>
        <v>13.04</v>
      </c>
      <c r="I21" s="110">
        <v>4.5</v>
      </c>
      <c r="J21" s="24"/>
      <c r="K21" s="23">
        <f t="shared" si="1"/>
        <v>1</v>
      </c>
      <c r="L21" s="22"/>
      <c r="M21" s="21"/>
      <c r="N21" s="233">
        <f t="shared" si="2"/>
        <v>58.679999999999993</v>
      </c>
      <c r="O21" s="20">
        <v>17</v>
      </c>
      <c r="P21" s="5">
        <f t="shared" si="3"/>
        <v>997559.99999999988</v>
      </c>
      <c r="Q21" s="117"/>
      <c r="R21" s="116"/>
      <c r="S21" s="134"/>
      <c r="U21" s="133"/>
    </row>
    <row r="22" spans="1:21" s="132" customFormat="1" ht="20.45" customHeight="1" x14ac:dyDescent="0.25">
      <c r="A22" s="83" t="s">
        <v>50</v>
      </c>
      <c r="B22" s="82"/>
      <c r="C22" s="81">
        <v>71</v>
      </c>
      <c r="D22" s="138">
        <v>54</v>
      </c>
      <c r="E22" s="136" t="s">
        <v>129</v>
      </c>
      <c r="F22" s="135">
        <v>54</v>
      </c>
      <c r="G22" s="135">
        <v>0</v>
      </c>
      <c r="H22" s="26">
        <f t="shared" si="0"/>
        <v>54</v>
      </c>
      <c r="I22" s="110">
        <v>4.5</v>
      </c>
      <c r="J22" s="24"/>
      <c r="K22" s="23">
        <f t="shared" si="1"/>
        <v>1</v>
      </c>
      <c r="L22" s="22"/>
      <c r="M22" s="21"/>
      <c r="N22" s="233">
        <f t="shared" si="2"/>
        <v>243</v>
      </c>
      <c r="O22" s="20">
        <v>17</v>
      </c>
      <c r="P22" s="5">
        <f t="shared" si="3"/>
        <v>4131000</v>
      </c>
      <c r="Q22" s="117"/>
      <c r="R22" s="116"/>
      <c r="S22" s="134"/>
      <c r="U22" s="133"/>
    </row>
    <row r="23" spans="1:21" s="132" customFormat="1" ht="20.45" customHeight="1" x14ac:dyDescent="0.25">
      <c r="A23" s="83" t="s">
        <v>51</v>
      </c>
      <c r="B23" s="82"/>
      <c r="C23" s="81">
        <v>52</v>
      </c>
      <c r="D23" s="137">
        <v>51.5</v>
      </c>
      <c r="E23" s="136" t="s">
        <v>129</v>
      </c>
      <c r="F23" s="135">
        <v>22</v>
      </c>
      <c r="G23" s="135">
        <v>0</v>
      </c>
      <c r="H23" s="26">
        <f t="shared" si="0"/>
        <v>22</v>
      </c>
      <c r="I23" s="110">
        <v>4.5</v>
      </c>
      <c r="J23" s="24"/>
      <c r="K23" s="23">
        <f t="shared" si="1"/>
        <v>1</v>
      </c>
      <c r="L23" s="22"/>
      <c r="M23" s="21"/>
      <c r="N23" s="233">
        <f t="shared" si="2"/>
        <v>99</v>
      </c>
      <c r="O23" s="20">
        <v>17</v>
      </c>
      <c r="P23" s="5">
        <f t="shared" si="3"/>
        <v>1683000</v>
      </c>
      <c r="Q23" s="117"/>
      <c r="R23" s="116"/>
      <c r="S23" s="134"/>
      <c r="U23" s="133"/>
    </row>
    <row r="24" spans="1:21" s="132" customFormat="1" ht="20.45" customHeight="1" x14ac:dyDescent="0.25">
      <c r="A24" s="83" t="s">
        <v>52</v>
      </c>
      <c r="B24" s="82"/>
      <c r="C24" s="81">
        <v>26</v>
      </c>
      <c r="D24" s="138">
        <v>13</v>
      </c>
      <c r="E24" s="83" t="s">
        <v>130</v>
      </c>
      <c r="F24" s="135">
        <v>1.3</v>
      </c>
      <c r="G24" s="135">
        <v>11.7</v>
      </c>
      <c r="H24" s="26">
        <f t="shared" si="0"/>
        <v>13</v>
      </c>
      <c r="I24" s="110">
        <v>4.5</v>
      </c>
      <c r="J24" s="24">
        <v>3.73</v>
      </c>
      <c r="K24" s="23">
        <f t="shared" si="1"/>
        <v>0.1711111111111111</v>
      </c>
      <c r="L24" s="22"/>
      <c r="M24" s="21"/>
      <c r="N24" s="233">
        <f t="shared" si="2"/>
        <v>14.858999999999998</v>
      </c>
      <c r="O24" s="20">
        <v>17</v>
      </c>
      <c r="P24" s="5">
        <f t="shared" si="3"/>
        <v>252602.99999999997</v>
      </c>
      <c r="Q24" s="117"/>
      <c r="R24" s="116"/>
      <c r="S24" s="134"/>
      <c r="U24" s="133"/>
    </row>
    <row r="25" spans="1:21" s="132" customFormat="1" ht="20.45" customHeight="1" x14ac:dyDescent="0.25">
      <c r="A25" s="83" t="s">
        <v>53</v>
      </c>
      <c r="B25" s="82"/>
      <c r="C25" s="81">
        <v>285</v>
      </c>
      <c r="D25" s="137">
        <v>498.3</v>
      </c>
      <c r="E25" s="136" t="s">
        <v>129</v>
      </c>
      <c r="F25" s="135">
        <v>149.49</v>
      </c>
      <c r="G25" s="135">
        <v>348.81</v>
      </c>
      <c r="H25" s="26">
        <f t="shared" si="0"/>
        <v>498.3</v>
      </c>
      <c r="I25" s="110">
        <v>4.5</v>
      </c>
      <c r="J25" s="24">
        <v>3.15</v>
      </c>
      <c r="K25" s="23">
        <f t="shared" si="1"/>
        <v>0.30000000000000004</v>
      </c>
      <c r="L25" s="22"/>
      <c r="M25" s="21"/>
      <c r="N25" s="233">
        <f t="shared" si="2"/>
        <v>1143.5985000000001</v>
      </c>
      <c r="O25" s="20">
        <v>17</v>
      </c>
      <c r="P25" s="5">
        <f t="shared" si="3"/>
        <v>19441174.5</v>
      </c>
      <c r="Q25" s="117"/>
      <c r="R25" s="116"/>
      <c r="S25" s="134"/>
      <c r="U25" s="133"/>
    </row>
    <row r="26" spans="1:21" s="132" customFormat="1" ht="20.45" customHeight="1" x14ac:dyDescent="0.25">
      <c r="A26" s="29"/>
      <c r="B26" s="232"/>
      <c r="C26" s="92"/>
      <c r="D26" s="92"/>
      <c r="E26" s="29"/>
      <c r="F26" s="9"/>
      <c r="G26" s="9"/>
      <c r="H26" s="9"/>
      <c r="I26" s="110"/>
      <c r="J26" s="9"/>
      <c r="K26" s="9"/>
      <c r="L26" s="21"/>
      <c r="M26" s="9"/>
      <c r="N26" s="9"/>
      <c r="O26" s="9"/>
      <c r="P26" s="9"/>
      <c r="Q26" s="117"/>
      <c r="R26" s="116"/>
      <c r="S26" s="134"/>
      <c r="U26" s="133"/>
    </row>
    <row r="27" spans="1:21" s="60" customFormat="1" ht="20.45" customHeight="1" x14ac:dyDescent="0.25">
      <c r="A27" s="226" t="s">
        <v>128</v>
      </c>
      <c r="B27" s="227"/>
      <c r="C27" s="228">
        <f>SUM(C39:C58)</f>
        <v>1302</v>
      </c>
      <c r="D27" s="228">
        <f>SUM(D39:D58)</f>
        <v>1919.5</v>
      </c>
      <c r="E27" s="226"/>
      <c r="F27" s="229">
        <f>SUM(F39:F58)</f>
        <v>45.5</v>
      </c>
      <c r="G27" s="229">
        <f>SUM(G39:G58)</f>
        <v>701</v>
      </c>
      <c r="H27" s="229">
        <f>SUM(H39:H58)</f>
        <v>746.5</v>
      </c>
      <c r="I27" s="230"/>
      <c r="J27" s="229"/>
      <c r="K27" s="229"/>
      <c r="L27" s="231"/>
      <c r="M27" s="229">
        <f>SUM(M39:M58)</f>
        <v>102469.51672862453</v>
      </c>
      <c r="N27" s="229">
        <f>SUM(N39:N58)</f>
        <v>850.18499999999995</v>
      </c>
      <c r="O27" s="229"/>
      <c r="P27" s="229">
        <f>SUM(P39:P58)</f>
        <v>14453145</v>
      </c>
      <c r="Q27" s="125"/>
      <c r="R27" s="124"/>
      <c r="S27" s="16"/>
      <c r="U27" s="61"/>
    </row>
    <row r="28" spans="1:21" s="113" customFormat="1" ht="20.45" customHeight="1" x14ac:dyDescent="0.25">
      <c r="A28" s="29" t="s">
        <v>99</v>
      </c>
      <c r="B28" s="232"/>
      <c r="C28" s="92">
        <v>129</v>
      </c>
      <c r="D28" s="92"/>
      <c r="E28" s="29"/>
      <c r="F28" s="9">
        <v>33</v>
      </c>
      <c r="G28" s="9">
        <v>82</v>
      </c>
      <c r="H28" s="9">
        <v>115</v>
      </c>
      <c r="I28" s="110"/>
      <c r="J28" s="9"/>
      <c r="K28" s="9"/>
      <c r="L28" s="21"/>
      <c r="M28" s="9"/>
      <c r="N28" s="9">
        <v>150.79000000000002</v>
      </c>
      <c r="O28" s="9">
        <v>34</v>
      </c>
      <c r="P28" s="9">
        <v>2563430</v>
      </c>
      <c r="Q28" s="117"/>
      <c r="R28" s="116"/>
      <c r="S28" s="115"/>
      <c r="U28" s="114"/>
    </row>
    <row r="29" spans="1:21" s="113" customFormat="1" ht="20.45" customHeight="1" x14ac:dyDescent="0.25">
      <c r="A29" s="29" t="s">
        <v>121</v>
      </c>
      <c r="B29" s="232"/>
      <c r="C29" s="92">
        <v>141</v>
      </c>
      <c r="D29" s="92"/>
      <c r="E29" s="29"/>
      <c r="F29" s="9"/>
      <c r="G29" s="9">
        <v>50</v>
      </c>
      <c r="H29" s="9">
        <v>50</v>
      </c>
      <c r="I29" s="110"/>
      <c r="J29" s="9"/>
      <c r="K29" s="9"/>
      <c r="L29" s="21"/>
      <c r="M29" s="9"/>
      <c r="N29" s="9"/>
      <c r="O29" s="9"/>
      <c r="P29" s="9"/>
      <c r="Q29" s="117"/>
      <c r="R29" s="116"/>
      <c r="S29" s="115"/>
      <c r="U29" s="114"/>
    </row>
    <row r="30" spans="1:21" s="113" customFormat="1" ht="20.45" customHeight="1" x14ac:dyDescent="0.25">
      <c r="A30" s="29" t="s">
        <v>59</v>
      </c>
      <c r="B30" s="232"/>
      <c r="C30" s="92">
        <v>158</v>
      </c>
      <c r="D30" s="92"/>
      <c r="E30" s="29"/>
      <c r="F30" s="9">
        <v>0</v>
      </c>
      <c r="G30" s="9">
        <v>78</v>
      </c>
      <c r="H30" s="9">
        <v>78</v>
      </c>
      <c r="I30" s="110"/>
      <c r="J30" s="9"/>
      <c r="K30" s="9"/>
      <c r="L30" s="21"/>
      <c r="M30" s="9"/>
      <c r="N30" s="9">
        <v>101.25</v>
      </c>
      <c r="O30" s="9">
        <v>34</v>
      </c>
      <c r="P30" s="9">
        <v>1721249.9999999998</v>
      </c>
      <c r="Q30" s="117"/>
      <c r="R30" s="116"/>
      <c r="S30" s="115"/>
      <c r="U30" s="114"/>
    </row>
    <row r="31" spans="1:21" s="113" customFormat="1" ht="20.45" customHeight="1" x14ac:dyDescent="0.25">
      <c r="A31" s="29" t="s">
        <v>61</v>
      </c>
      <c r="B31" s="232" t="s">
        <v>5</v>
      </c>
      <c r="C31" s="92">
        <v>30</v>
      </c>
      <c r="D31" s="92">
        <v>12.5</v>
      </c>
      <c r="E31" s="29" t="s">
        <v>122</v>
      </c>
      <c r="F31" s="9">
        <v>12.5</v>
      </c>
      <c r="G31" s="9"/>
      <c r="H31" s="9">
        <v>12.5</v>
      </c>
      <c r="I31" s="110">
        <v>2.69</v>
      </c>
      <c r="J31" s="9"/>
      <c r="K31" s="9">
        <v>1</v>
      </c>
      <c r="L31" s="21"/>
      <c r="M31" s="9"/>
      <c r="N31" s="9">
        <v>33.625</v>
      </c>
      <c r="O31" s="9">
        <v>17</v>
      </c>
      <c r="P31" s="9">
        <v>571625</v>
      </c>
      <c r="Q31" s="117">
        <v>289000</v>
      </c>
      <c r="R31" s="116"/>
      <c r="S31" s="115"/>
      <c r="U31" s="114"/>
    </row>
    <row r="32" spans="1:21" s="113" customFormat="1" ht="20.45" customHeight="1" x14ac:dyDescent="0.25">
      <c r="A32" s="29" t="s">
        <v>125</v>
      </c>
      <c r="B32" s="232" t="s">
        <v>5</v>
      </c>
      <c r="C32" s="92">
        <v>6</v>
      </c>
      <c r="D32" s="92">
        <v>2</v>
      </c>
      <c r="E32" s="29" t="s">
        <v>120</v>
      </c>
      <c r="F32" s="9">
        <v>0</v>
      </c>
      <c r="G32" s="9">
        <v>2</v>
      </c>
      <c r="H32" s="9">
        <v>2</v>
      </c>
      <c r="I32" s="110">
        <v>2.69</v>
      </c>
      <c r="J32" s="9">
        <v>1.34</v>
      </c>
      <c r="K32" s="9">
        <v>0.5018587360594795</v>
      </c>
      <c r="L32" s="21">
        <v>7470</v>
      </c>
      <c r="M32" s="9">
        <v>7497.7695167286238</v>
      </c>
      <c r="N32" s="9"/>
      <c r="O32" s="9"/>
      <c r="P32" s="9"/>
      <c r="Q32" s="117">
        <v>0</v>
      </c>
      <c r="R32" s="116"/>
      <c r="S32" s="115"/>
      <c r="U32" s="114"/>
    </row>
    <row r="33" spans="1:21" s="113" customFormat="1" ht="20.45" customHeight="1" x14ac:dyDescent="0.25">
      <c r="A33" s="29" t="s">
        <v>123</v>
      </c>
      <c r="B33" s="232" t="s">
        <v>5</v>
      </c>
      <c r="C33" s="92">
        <v>40</v>
      </c>
      <c r="D33" s="92">
        <v>415</v>
      </c>
      <c r="E33" s="29" t="s">
        <v>122</v>
      </c>
      <c r="F33" s="9">
        <v>0</v>
      </c>
      <c r="G33" s="9">
        <v>25</v>
      </c>
      <c r="H33" s="9">
        <v>25</v>
      </c>
      <c r="I33" s="110">
        <v>2.69</v>
      </c>
      <c r="J33" s="9">
        <v>1.72</v>
      </c>
      <c r="K33" s="9">
        <v>0.36059479553903345</v>
      </c>
      <c r="L33" s="21"/>
      <c r="M33" s="9"/>
      <c r="N33" s="9">
        <v>24.25</v>
      </c>
      <c r="O33" s="9">
        <v>17</v>
      </c>
      <c r="P33" s="9">
        <v>412250</v>
      </c>
      <c r="Q33" s="117">
        <v>289000</v>
      </c>
      <c r="R33" s="116"/>
      <c r="S33" s="115"/>
      <c r="U33" s="114"/>
    </row>
    <row r="34" spans="1:21" s="113" customFormat="1" ht="20.45" customHeight="1" x14ac:dyDescent="0.25">
      <c r="A34" s="29" t="s">
        <v>124</v>
      </c>
      <c r="B34" s="232"/>
      <c r="C34" s="92">
        <v>141</v>
      </c>
      <c r="D34" s="92"/>
      <c r="E34" s="29"/>
      <c r="F34" s="9"/>
      <c r="G34" s="9">
        <v>96</v>
      </c>
      <c r="H34" s="9">
        <v>96</v>
      </c>
      <c r="I34" s="110"/>
      <c r="J34" s="9"/>
      <c r="K34" s="9"/>
      <c r="L34" s="21"/>
      <c r="M34" s="9"/>
      <c r="N34" s="9">
        <v>116.16</v>
      </c>
      <c r="O34" s="9">
        <v>34</v>
      </c>
      <c r="P34" s="9">
        <v>1974720</v>
      </c>
      <c r="Q34" s="117"/>
      <c r="R34" s="116"/>
      <c r="S34" s="115"/>
      <c r="U34" s="114"/>
    </row>
    <row r="35" spans="1:21" s="113" customFormat="1" ht="20.45" customHeight="1" x14ac:dyDescent="0.25">
      <c r="A35" s="29" t="s">
        <v>66</v>
      </c>
      <c r="B35" s="232" t="s">
        <v>5</v>
      </c>
      <c r="C35" s="92">
        <v>2</v>
      </c>
      <c r="D35" s="92">
        <v>33</v>
      </c>
      <c r="E35" s="29" t="s">
        <v>122</v>
      </c>
      <c r="F35" s="9">
        <v>0</v>
      </c>
      <c r="G35" s="9">
        <v>2</v>
      </c>
      <c r="H35" s="9">
        <v>2</v>
      </c>
      <c r="I35" s="110">
        <v>2.69</v>
      </c>
      <c r="J35" s="9">
        <v>2.02</v>
      </c>
      <c r="K35" s="9">
        <v>0.24907063197026019</v>
      </c>
      <c r="L35" s="21"/>
      <c r="M35" s="9"/>
      <c r="N35" s="9">
        <v>1.3399999999999999</v>
      </c>
      <c r="O35" s="9">
        <v>17</v>
      </c>
      <c r="P35" s="9">
        <v>22779.999999999996</v>
      </c>
      <c r="Q35" s="117">
        <v>289000</v>
      </c>
      <c r="R35" s="116"/>
      <c r="S35" s="115"/>
      <c r="U35" s="114"/>
    </row>
    <row r="36" spans="1:21" s="113" customFormat="1" ht="20.45" customHeight="1" x14ac:dyDescent="0.25">
      <c r="A36" s="29" t="s">
        <v>126</v>
      </c>
      <c r="B36" s="232"/>
      <c r="C36" s="92">
        <v>221</v>
      </c>
      <c r="D36" s="92">
        <v>33</v>
      </c>
      <c r="E36" s="29"/>
      <c r="F36" s="9">
        <v>0</v>
      </c>
      <c r="G36" s="9">
        <v>110</v>
      </c>
      <c r="H36" s="9">
        <v>110</v>
      </c>
      <c r="I36" s="110"/>
      <c r="J36" s="9"/>
      <c r="K36" s="9"/>
      <c r="L36" s="21"/>
      <c r="M36" s="9"/>
      <c r="N36" s="9">
        <v>133.73000000000002</v>
      </c>
      <c r="O36" s="9">
        <v>68</v>
      </c>
      <c r="P36" s="9">
        <v>2273410</v>
      </c>
      <c r="Q36" s="117"/>
      <c r="R36" s="116"/>
      <c r="S36" s="115"/>
      <c r="U36" s="114"/>
    </row>
    <row r="37" spans="1:21" s="113" customFormat="1" ht="20.45" hidden="1" customHeight="1" x14ac:dyDescent="0.25">
      <c r="A37" s="29"/>
      <c r="B37" s="232"/>
      <c r="C37" s="92"/>
      <c r="D37" s="92"/>
      <c r="E37" s="29"/>
      <c r="F37" s="9"/>
      <c r="G37" s="9"/>
      <c r="H37" s="9"/>
      <c r="I37" s="110"/>
      <c r="J37" s="9"/>
      <c r="K37" s="9"/>
      <c r="L37" s="21"/>
      <c r="M37" s="9"/>
      <c r="N37" s="9"/>
      <c r="O37" s="9"/>
      <c r="P37" s="9"/>
      <c r="Q37" s="117"/>
      <c r="R37" s="116"/>
      <c r="S37" s="115"/>
      <c r="U37" s="114"/>
    </row>
    <row r="38" spans="1:21" s="93" customFormat="1" ht="20.45" hidden="1" customHeight="1" x14ac:dyDescent="0.25">
      <c r="A38" s="109" t="s">
        <v>99</v>
      </c>
      <c r="B38" s="108"/>
      <c r="C38" s="107">
        <f>SUM(C39:C41)</f>
        <v>129</v>
      </c>
      <c r="D38" s="107"/>
      <c r="E38" s="109"/>
      <c r="F38" s="105">
        <f>SUM(F39:F41)</f>
        <v>33</v>
      </c>
      <c r="G38" s="105">
        <f>SUM(G39:G41)</f>
        <v>82</v>
      </c>
      <c r="H38" s="105">
        <f>SUM(H39:H41)</f>
        <v>115</v>
      </c>
      <c r="I38" s="103"/>
      <c r="J38" s="105"/>
      <c r="K38" s="105"/>
      <c r="L38" s="99"/>
      <c r="M38" s="105"/>
      <c r="N38" s="105">
        <f>SUM(N39:N41)</f>
        <v>150.79000000000002</v>
      </c>
      <c r="O38" s="105">
        <f>SUM(O39:O41)</f>
        <v>34</v>
      </c>
      <c r="P38" s="105">
        <f>SUM(P39:P41)</f>
        <v>2563430</v>
      </c>
      <c r="Q38" s="112"/>
      <c r="R38" s="111"/>
      <c r="S38" s="95"/>
      <c r="U38" s="94"/>
    </row>
    <row r="39" spans="1:21" s="60" customFormat="1" ht="19.5" hidden="1" customHeight="1" x14ac:dyDescent="0.25">
      <c r="A39" s="824" t="s">
        <v>99</v>
      </c>
      <c r="B39" s="28" t="s">
        <v>5</v>
      </c>
      <c r="C39" s="6">
        <v>24</v>
      </c>
      <c r="D39" s="6">
        <v>75</v>
      </c>
      <c r="E39" s="91" t="s">
        <v>127</v>
      </c>
      <c r="F39" s="34">
        <v>0</v>
      </c>
      <c r="G39" s="34">
        <v>24</v>
      </c>
      <c r="H39" s="33">
        <f>F39+G39</f>
        <v>24</v>
      </c>
      <c r="I39" s="90">
        <v>2.69</v>
      </c>
      <c r="J39" s="32">
        <f>I39-0.67</f>
        <v>2.02</v>
      </c>
      <c r="K39" s="23">
        <f>(I39-J39)/I39</f>
        <v>0.24907063197026019</v>
      </c>
      <c r="L39" s="22">
        <v>7470</v>
      </c>
      <c r="M39" s="21">
        <f>(F39*L39)+(G39*L39*K39)</f>
        <v>44653.382899628246</v>
      </c>
      <c r="N39" s="233"/>
      <c r="O39" s="20"/>
      <c r="P39" s="5"/>
      <c r="Q39" s="5">
        <f>O39*1000*17</f>
        <v>0</v>
      </c>
      <c r="R39" s="19"/>
      <c r="S39" s="16"/>
      <c r="U39" s="61"/>
    </row>
    <row r="40" spans="1:21" s="60" customFormat="1" ht="19.5" hidden="1" customHeight="1" x14ac:dyDescent="0.25">
      <c r="A40" s="824"/>
      <c r="B40" s="28" t="s">
        <v>5</v>
      </c>
      <c r="C40" s="6">
        <v>57</v>
      </c>
      <c r="D40" s="6">
        <v>85</v>
      </c>
      <c r="E40" s="91" t="s">
        <v>119</v>
      </c>
      <c r="F40" s="9">
        <v>9</v>
      </c>
      <c r="G40" s="9">
        <v>31</v>
      </c>
      <c r="H40" s="26">
        <f>F40+G40</f>
        <v>40</v>
      </c>
      <c r="I40" s="110">
        <v>2.69</v>
      </c>
      <c r="J40" s="24">
        <v>1.63</v>
      </c>
      <c r="K40" s="23">
        <f>(I40-J40)/I40</f>
        <v>0.39405204460966547</v>
      </c>
      <c r="L40" s="22"/>
      <c r="M40" s="21"/>
      <c r="N40" s="233">
        <f>(F40*I40)+(G40*K40*I40)</f>
        <v>57.070000000000007</v>
      </c>
      <c r="O40" s="20">
        <v>17</v>
      </c>
      <c r="P40" s="5">
        <f>N40*1000*O40</f>
        <v>970190.00000000012</v>
      </c>
      <c r="Q40" s="5">
        <f>O40*1000*17</f>
        <v>289000</v>
      </c>
      <c r="R40" s="19"/>
      <c r="S40" s="16"/>
      <c r="U40" s="61"/>
    </row>
    <row r="41" spans="1:21" s="60" customFormat="1" ht="19.5" hidden="1" customHeight="1" x14ac:dyDescent="0.25">
      <c r="A41" s="824"/>
      <c r="B41" s="28" t="s">
        <v>5</v>
      </c>
      <c r="C41" s="6">
        <v>48</v>
      </c>
      <c r="D41" s="6">
        <v>523</v>
      </c>
      <c r="E41" s="91" t="s">
        <v>122</v>
      </c>
      <c r="F41" s="9">
        <v>24</v>
      </c>
      <c r="G41" s="9">
        <v>27</v>
      </c>
      <c r="H41" s="26">
        <f>F41+G41</f>
        <v>51</v>
      </c>
      <c r="I41" s="110">
        <v>2.69</v>
      </c>
      <c r="J41" s="24">
        <v>1.61</v>
      </c>
      <c r="K41" s="23">
        <f>(I41-J41)/I41</f>
        <v>0.4014869888475836</v>
      </c>
      <c r="L41" s="22"/>
      <c r="M41" s="21"/>
      <c r="N41" s="233">
        <f>(F41*I41)+(G41*K41*I41)</f>
        <v>93.72</v>
      </c>
      <c r="O41" s="20">
        <v>17</v>
      </c>
      <c r="P41" s="5">
        <f>N41*1000*O41</f>
        <v>1593240</v>
      </c>
      <c r="Q41" s="5">
        <f>O41*1000*17</f>
        <v>289000</v>
      </c>
      <c r="R41" s="19"/>
      <c r="S41" s="16"/>
      <c r="U41" s="61"/>
    </row>
    <row r="42" spans="1:21" s="93" customFormat="1" ht="19.5" hidden="1" customHeight="1" x14ac:dyDescent="0.25">
      <c r="A42" s="109" t="s">
        <v>126</v>
      </c>
      <c r="B42" s="108"/>
      <c r="C42" s="107">
        <f>SUM(C43:C45)</f>
        <v>221</v>
      </c>
      <c r="D42" s="107">
        <f>SUM(D43:D45)</f>
        <v>33</v>
      </c>
      <c r="E42" s="106"/>
      <c r="F42" s="107">
        <f>SUM(F43:F45)</f>
        <v>0</v>
      </c>
      <c r="G42" s="107">
        <f>SUM(G43:G45)</f>
        <v>110</v>
      </c>
      <c r="H42" s="107">
        <f>SUM(H43:H45)</f>
        <v>110</v>
      </c>
      <c r="I42" s="103"/>
      <c r="J42" s="102"/>
      <c r="K42" s="101"/>
      <c r="L42" s="100"/>
      <c r="M42" s="99"/>
      <c r="N42" s="107">
        <f>SUM(N43:N45)</f>
        <v>133.73000000000002</v>
      </c>
      <c r="O42" s="107">
        <f>SUM(O43:O45)</f>
        <v>68</v>
      </c>
      <c r="P42" s="107">
        <f>SUM(P43:P45)</f>
        <v>2273410</v>
      </c>
      <c r="Q42" s="97"/>
      <c r="R42" s="96"/>
      <c r="S42" s="95"/>
      <c r="U42" s="94"/>
    </row>
    <row r="43" spans="1:21" s="60" customFormat="1" ht="19.5" hidden="1" customHeight="1" x14ac:dyDescent="0.25">
      <c r="A43" s="824" t="s">
        <v>126</v>
      </c>
      <c r="B43" s="28" t="s">
        <v>5</v>
      </c>
      <c r="C43" s="6">
        <v>41</v>
      </c>
      <c r="D43" s="92">
        <v>6</v>
      </c>
      <c r="E43" s="91" t="s">
        <v>119</v>
      </c>
      <c r="F43" s="9">
        <v>0</v>
      </c>
      <c r="G43" s="9">
        <v>6</v>
      </c>
      <c r="H43" s="26">
        <f>F43+G43</f>
        <v>6</v>
      </c>
      <c r="I43" s="110">
        <v>2.69</v>
      </c>
      <c r="J43" s="24">
        <v>1.48</v>
      </c>
      <c r="K43" s="23">
        <f>(I43-J43)/I43</f>
        <v>0.44981412639405205</v>
      </c>
      <c r="L43" s="22"/>
      <c r="M43" s="21"/>
      <c r="N43" s="233">
        <f>(F43*I43)+(G43*K43*I43)</f>
        <v>7.26</v>
      </c>
      <c r="O43" s="20">
        <v>17</v>
      </c>
      <c r="P43" s="5">
        <f>N43*1000*O43</f>
        <v>123420</v>
      </c>
      <c r="Q43" s="5">
        <f>O43*1000*17</f>
        <v>289000</v>
      </c>
      <c r="R43" s="19"/>
      <c r="S43" s="16"/>
      <c r="U43" s="61"/>
    </row>
    <row r="44" spans="1:21" s="60" customFormat="1" ht="19.5" hidden="1" customHeight="1" x14ac:dyDescent="0.25">
      <c r="A44" s="824"/>
      <c r="B44" s="28" t="s">
        <v>5</v>
      </c>
      <c r="C44" s="6">
        <v>22</v>
      </c>
      <c r="D44" s="92">
        <v>27</v>
      </c>
      <c r="E44" s="91" t="s">
        <v>122</v>
      </c>
      <c r="F44" s="9">
        <v>0</v>
      </c>
      <c r="G44" s="9">
        <v>26</v>
      </c>
      <c r="H44" s="26">
        <f>F44+G44</f>
        <v>26</v>
      </c>
      <c r="I44" s="110">
        <v>2.69</v>
      </c>
      <c r="J44" s="24">
        <v>1.72</v>
      </c>
      <c r="K44" s="23">
        <f>(I44-J44)/I44</f>
        <v>0.36059479553903345</v>
      </c>
      <c r="L44" s="22"/>
      <c r="M44" s="21"/>
      <c r="N44" s="233">
        <f>(F44*I44)+(G44*K44*I44)</f>
        <v>25.220000000000002</v>
      </c>
      <c r="O44" s="20">
        <v>17</v>
      </c>
      <c r="P44" s="5">
        <f>N44*1000*O44</f>
        <v>428740.00000000006</v>
      </c>
      <c r="Q44" s="5">
        <f>O44*1000*17</f>
        <v>289000</v>
      </c>
      <c r="R44" s="19"/>
      <c r="S44" s="16"/>
      <c r="U44" s="61"/>
    </row>
    <row r="45" spans="1:21" s="93" customFormat="1" ht="19.5" hidden="1" customHeight="1" x14ac:dyDescent="0.25">
      <c r="A45" s="109" t="s">
        <v>59</v>
      </c>
      <c r="B45" s="108"/>
      <c r="C45" s="107">
        <f>SUM(C46:C48)</f>
        <v>158</v>
      </c>
      <c r="D45" s="234"/>
      <c r="E45" s="106"/>
      <c r="F45" s="107">
        <f>SUM(F46:F48)</f>
        <v>0</v>
      </c>
      <c r="G45" s="107">
        <f>SUM(G46:G48)</f>
        <v>78</v>
      </c>
      <c r="H45" s="107">
        <f>SUM(H46:H48)</f>
        <v>78</v>
      </c>
      <c r="I45" s="103"/>
      <c r="J45" s="102"/>
      <c r="K45" s="101"/>
      <c r="L45" s="100"/>
      <c r="M45" s="99"/>
      <c r="N45" s="107">
        <f>SUM(N46:N48)</f>
        <v>101.25</v>
      </c>
      <c r="O45" s="107">
        <f>SUM(O46:O48)</f>
        <v>34</v>
      </c>
      <c r="P45" s="107">
        <f>SUM(P46:P48)</f>
        <v>1721249.9999999998</v>
      </c>
      <c r="Q45" s="97"/>
      <c r="R45" s="96"/>
      <c r="S45" s="95"/>
      <c r="U45" s="94"/>
    </row>
    <row r="46" spans="1:21" s="60" customFormat="1" ht="19.5" hidden="1" customHeight="1" x14ac:dyDescent="0.25">
      <c r="A46" s="824" t="s">
        <v>59</v>
      </c>
      <c r="B46" s="28" t="s">
        <v>5</v>
      </c>
      <c r="C46" s="6">
        <v>33</v>
      </c>
      <c r="D46" s="92">
        <v>3</v>
      </c>
      <c r="E46" s="91" t="s">
        <v>120</v>
      </c>
      <c r="F46" s="34">
        <v>0</v>
      </c>
      <c r="G46" s="34">
        <v>3</v>
      </c>
      <c r="H46" s="33">
        <f>F46+G46</f>
        <v>3</v>
      </c>
      <c r="I46" s="90">
        <v>2.69</v>
      </c>
      <c r="J46" s="32">
        <v>1.34</v>
      </c>
      <c r="K46" s="23">
        <f>(I46-J46)/I46</f>
        <v>0.5018587360594795</v>
      </c>
      <c r="L46" s="22">
        <v>7470</v>
      </c>
      <c r="M46" s="21">
        <f>(F46*L46)+(G46*L46*K46)</f>
        <v>11246.654275092937</v>
      </c>
      <c r="N46" s="233"/>
      <c r="O46" s="20"/>
      <c r="P46" s="5"/>
      <c r="Q46" s="5">
        <f>O46*1000*17</f>
        <v>0</v>
      </c>
      <c r="R46" s="19"/>
      <c r="S46" s="16"/>
      <c r="U46" s="61"/>
    </row>
    <row r="47" spans="1:21" s="60" customFormat="1" ht="19.5" hidden="1" customHeight="1" x14ac:dyDescent="0.25">
      <c r="A47" s="824"/>
      <c r="B47" s="28" t="s">
        <v>5</v>
      </c>
      <c r="C47" s="6">
        <v>88</v>
      </c>
      <c r="D47" s="92">
        <v>47</v>
      </c>
      <c r="E47" s="91" t="s">
        <v>119</v>
      </c>
      <c r="F47" s="34">
        <v>0</v>
      </c>
      <c r="G47" s="34">
        <v>47</v>
      </c>
      <c r="H47" s="26">
        <f>F47+G47</f>
        <v>47</v>
      </c>
      <c r="I47" s="90">
        <v>2.69</v>
      </c>
      <c r="J47" s="32">
        <v>1.34</v>
      </c>
      <c r="K47" s="23">
        <f>(I47-J47)/I47</f>
        <v>0.5018587360594795</v>
      </c>
      <c r="L47" s="22"/>
      <c r="M47" s="21"/>
      <c r="N47" s="233">
        <f>(F47*I47)+(G47*K47*I47)</f>
        <v>63.449999999999996</v>
      </c>
      <c r="O47" s="20">
        <v>17</v>
      </c>
      <c r="P47" s="5">
        <f>N47*1000*O47</f>
        <v>1078649.9999999998</v>
      </c>
      <c r="Q47" s="5">
        <f>O47*1000*17</f>
        <v>289000</v>
      </c>
      <c r="R47" s="19"/>
      <c r="S47" s="16"/>
      <c r="U47" s="61"/>
    </row>
    <row r="48" spans="1:21" s="60" customFormat="1" ht="19.5" hidden="1" customHeight="1" x14ac:dyDescent="0.25">
      <c r="A48" s="824"/>
      <c r="B48" s="28" t="s">
        <v>5</v>
      </c>
      <c r="C48" s="6">
        <v>37</v>
      </c>
      <c r="D48" s="92">
        <v>275</v>
      </c>
      <c r="E48" s="91" t="s">
        <v>122</v>
      </c>
      <c r="F48" s="34">
        <v>0</v>
      </c>
      <c r="G48" s="34">
        <v>28</v>
      </c>
      <c r="H48" s="26">
        <f>F48+G48</f>
        <v>28</v>
      </c>
      <c r="I48" s="90">
        <v>2.69</v>
      </c>
      <c r="J48" s="32">
        <v>1.34</v>
      </c>
      <c r="K48" s="23">
        <f>(I48-J48)/I48</f>
        <v>0.5018587360594795</v>
      </c>
      <c r="L48" s="22"/>
      <c r="M48" s="21"/>
      <c r="N48" s="233">
        <f>(F48*I48)+(G48*K48*I48)</f>
        <v>37.799999999999997</v>
      </c>
      <c r="O48" s="20">
        <v>17</v>
      </c>
      <c r="P48" s="5">
        <f>N48*1000*O48</f>
        <v>642600</v>
      </c>
      <c r="Q48" s="5">
        <f>O48*1000*17</f>
        <v>289000</v>
      </c>
      <c r="R48" s="19"/>
      <c r="S48" s="16"/>
      <c r="U48" s="61"/>
    </row>
    <row r="49" spans="1:21" s="60" customFormat="1" ht="19.5" hidden="1" customHeight="1" x14ac:dyDescent="0.25">
      <c r="A49" s="8" t="s">
        <v>125</v>
      </c>
      <c r="B49" s="28" t="s">
        <v>5</v>
      </c>
      <c r="C49" s="6">
        <v>6</v>
      </c>
      <c r="D49" s="92">
        <v>2</v>
      </c>
      <c r="E49" s="91" t="s">
        <v>120</v>
      </c>
      <c r="F49" s="34">
        <v>0</v>
      </c>
      <c r="G49" s="34">
        <v>2</v>
      </c>
      <c r="H49" s="33">
        <f>F49+G49</f>
        <v>2</v>
      </c>
      <c r="I49" s="90">
        <v>2.69</v>
      </c>
      <c r="J49" s="32">
        <v>1.34</v>
      </c>
      <c r="K49" s="23">
        <f>(I49-J49)/I49</f>
        <v>0.5018587360594795</v>
      </c>
      <c r="L49" s="22">
        <v>7470</v>
      </c>
      <c r="M49" s="21">
        <f>(F49*L49)+(G49*L49*K49)</f>
        <v>7497.7695167286238</v>
      </c>
      <c r="N49" s="233"/>
      <c r="O49" s="20"/>
      <c r="P49" s="5"/>
      <c r="Q49" s="5">
        <f>O49*1000*17</f>
        <v>0</v>
      </c>
      <c r="R49" s="19"/>
      <c r="S49" s="16"/>
      <c r="U49" s="61"/>
    </row>
    <row r="50" spans="1:21" s="60" customFormat="1" ht="19.350000000000001" hidden="1" customHeight="1" x14ac:dyDescent="0.25">
      <c r="A50" s="8" t="s">
        <v>61</v>
      </c>
      <c r="B50" s="28" t="s">
        <v>5</v>
      </c>
      <c r="C50" s="6">
        <v>30</v>
      </c>
      <c r="D50" s="92">
        <v>12.5</v>
      </c>
      <c r="E50" s="91" t="s">
        <v>122</v>
      </c>
      <c r="F50" s="34">
        <v>12.5</v>
      </c>
      <c r="G50" s="34"/>
      <c r="H50" s="26">
        <f>F50+G50</f>
        <v>12.5</v>
      </c>
      <c r="I50" s="110">
        <v>2.69</v>
      </c>
      <c r="J50" s="24"/>
      <c r="K50" s="23">
        <f>(I50-J50)/I50</f>
        <v>1</v>
      </c>
      <c r="L50" s="22"/>
      <c r="M50" s="21"/>
      <c r="N50" s="233">
        <f>(F50*I50)+(G50*K50*I50)</f>
        <v>33.625</v>
      </c>
      <c r="O50" s="20">
        <v>17</v>
      </c>
      <c r="P50" s="5">
        <f>N50*1000*O50</f>
        <v>571625</v>
      </c>
      <c r="Q50" s="5">
        <f>O50*1000*17</f>
        <v>289000</v>
      </c>
      <c r="R50" s="19"/>
      <c r="S50" s="16"/>
      <c r="U50" s="61"/>
    </row>
    <row r="51" spans="1:21" s="93" customFormat="1" ht="19.350000000000001" hidden="1" customHeight="1" x14ac:dyDescent="0.25">
      <c r="A51" s="109" t="s">
        <v>124</v>
      </c>
      <c r="B51" s="108"/>
      <c r="C51" s="107">
        <f>SUM(C52:C53)</f>
        <v>141</v>
      </c>
      <c r="D51" s="107"/>
      <c r="E51" s="106"/>
      <c r="F51" s="105"/>
      <c r="G51" s="107">
        <f>SUM(G52:G53)</f>
        <v>96</v>
      </c>
      <c r="H51" s="107">
        <f>SUM(H52:H53)</f>
        <v>96</v>
      </c>
      <c r="I51" s="103"/>
      <c r="J51" s="102"/>
      <c r="K51" s="101"/>
      <c r="L51" s="100"/>
      <c r="M51" s="99"/>
      <c r="N51" s="235">
        <f>SUM(N52:N53)</f>
        <v>116.16</v>
      </c>
      <c r="O51" s="98">
        <f>SUM(O52:O53)</f>
        <v>34</v>
      </c>
      <c r="P51" s="97">
        <f>SUM(P52:P53)</f>
        <v>1974720</v>
      </c>
      <c r="Q51" s="97"/>
      <c r="R51" s="96"/>
      <c r="S51" s="95"/>
      <c r="U51" s="94"/>
    </row>
    <row r="52" spans="1:21" s="60" customFormat="1" ht="19.5" hidden="1" customHeight="1" x14ac:dyDescent="0.25">
      <c r="A52" s="824" t="s">
        <v>124</v>
      </c>
      <c r="B52" s="28" t="s">
        <v>5</v>
      </c>
      <c r="C52" s="6">
        <v>67</v>
      </c>
      <c r="D52" s="92">
        <v>41</v>
      </c>
      <c r="E52" s="91" t="s">
        <v>119</v>
      </c>
      <c r="F52" s="34">
        <v>0</v>
      </c>
      <c r="G52" s="34">
        <v>41</v>
      </c>
      <c r="H52" s="26">
        <f>F52+G52</f>
        <v>41</v>
      </c>
      <c r="I52" s="110">
        <v>2.69</v>
      </c>
      <c r="J52" s="24">
        <v>1.48</v>
      </c>
      <c r="K52" s="23">
        <f>(I52-J52)/I52</f>
        <v>0.44981412639405205</v>
      </c>
      <c r="L52" s="22"/>
      <c r="M52" s="21"/>
      <c r="N52" s="233">
        <f>(F52*I52)+(G52*K52*I52)</f>
        <v>49.61</v>
      </c>
      <c r="O52" s="20">
        <v>17</v>
      </c>
      <c r="P52" s="5">
        <f>N52*1000*O52</f>
        <v>843370</v>
      </c>
      <c r="Q52" s="5">
        <f>O52*1000*17</f>
        <v>289000</v>
      </c>
      <c r="R52" s="19"/>
      <c r="S52" s="16"/>
      <c r="U52" s="61"/>
    </row>
    <row r="53" spans="1:21" s="60" customFormat="1" ht="19.5" hidden="1" customHeight="1" x14ac:dyDescent="0.25">
      <c r="A53" s="824"/>
      <c r="B53" s="28" t="s">
        <v>5</v>
      </c>
      <c r="C53" s="6">
        <v>74</v>
      </c>
      <c r="D53" s="92">
        <v>253</v>
      </c>
      <c r="E53" s="91" t="s">
        <v>122</v>
      </c>
      <c r="F53" s="34">
        <v>0</v>
      </c>
      <c r="G53" s="34">
        <v>55</v>
      </c>
      <c r="H53" s="26">
        <f>F53+G53</f>
        <v>55</v>
      </c>
      <c r="I53" s="110">
        <v>2.69</v>
      </c>
      <c r="J53" s="24">
        <v>1.48</v>
      </c>
      <c r="K53" s="23">
        <f>(I53-J53)/I53</f>
        <v>0.44981412639405205</v>
      </c>
      <c r="L53" s="22"/>
      <c r="M53" s="21"/>
      <c r="N53" s="233">
        <f>(F53*I53)+(G53*K53*I53)</f>
        <v>66.55</v>
      </c>
      <c r="O53" s="20">
        <v>17</v>
      </c>
      <c r="P53" s="5">
        <f>N53*1000*O53</f>
        <v>1131350</v>
      </c>
      <c r="Q53" s="5">
        <f>O53*1000*17</f>
        <v>289000</v>
      </c>
      <c r="R53" s="19"/>
      <c r="S53" s="16"/>
      <c r="U53" s="61"/>
    </row>
    <row r="54" spans="1:21" s="60" customFormat="1" ht="19.5" hidden="1" customHeight="1" x14ac:dyDescent="0.25">
      <c r="A54" s="27" t="s">
        <v>66</v>
      </c>
      <c r="B54" s="28" t="s">
        <v>5</v>
      </c>
      <c r="C54" s="6">
        <v>2</v>
      </c>
      <c r="D54" s="6">
        <v>33</v>
      </c>
      <c r="E54" s="91" t="s">
        <v>122</v>
      </c>
      <c r="F54" s="34">
        <v>0</v>
      </c>
      <c r="G54" s="34">
        <v>2</v>
      </c>
      <c r="H54" s="26">
        <f>F54+G54</f>
        <v>2</v>
      </c>
      <c r="I54" s="90">
        <v>2.69</v>
      </c>
      <c r="J54" s="32">
        <f>I54-0.67</f>
        <v>2.02</v>
      </c>
      <c r="K54" s="23">
        <f>(I54-J54)/I54</f>
        <v>0.24907063197026019</v>
      </c>
      <c r="L54" s="22"/>
      <c r="M54" s="21"/>
      <c r="N54" s="233">
        <f>(F54*I54)+(G54*K54*I54)</f>
        <v>1.3399999999999999</v>
      </c>
      <c r="O54" s="20">
        <v>17</v>
      </c>
      <c r="P54" s="5">
        <f>N54*1000*O54</f>
        <v>22779.999999999996</v>
      </c>
      <c r="Q54" s="5">
        <f>O54*1000*17</f>
        <v>289000</v>
      </c>
      <c r="R54" s="19"/>
      <c r="S54" s="16"/>
      <c r="U54" s="61"/>
    </row>
    <row r="55" spans="1:21" s="60" customFormat="1" ht="19.5" hidden="1" customHeight="1" x14ac:dyDescent="0.25">
      <c r="A55" s="8" t="s">
        <v>123</v>
      </c>
      <c r="B55" s="28" t="s">
        <v>5</v>
      </c>
      <c r="C55" s="6">
        <v>40</v>
      </c>
      <c r="D55" s="6">
        <v>415</v>
      </c>
      <c r="E55" s="91" t="s">
        <v>122</v>
      </c>
      <c r="F55" s="34">
        <v>0</v>
      </c>
      <c r="G55" s="34">
        <v>25</v>
      </c>
      <c r="H55" s="26">
        <f>F55+G55</f>
        <v>25</v>
      </c>
      <c r="I55" s="110">
        <v>2.69</v>
      </c>
      <c r="J55" s="24">
        <v>1.72</v>
      </c>
      <c r="K55" s="23">
        <f>(I55-J55)/I55</f>
        <v>0.36059479553903345</v>
      </c>
      <c r="L55" s="22"/>
      <c r="M55" s="21"/>
      <c r="N55" s="233">
        <f>(F55*I55)+(G55*K55*I55)</f>
        <v>24.25</v>
      </c>
      <c r="O55" s="20">
        <v>17</v>
      </c>
      <c r="P55" s="5">
        <f>N55*1000*O55</f>
        <v>412250</v>
      </c>
      <c r="Q55" s="5">
        <f>O55*1000*17</f>
        <v>289000</v>
      </c>
      <c r="R55" s="19"/>
      <c r="S55" s="16"/>
      <c r="U55" s="61"/>
    </row>
    <row r="56" spans="1:21" s="93" customFormat="1" ht="19.5" hidden="1" customHeight="1" x14ac:dyDescent="0.25">
      <c r="A56" s="109" t="s">
        <v>121</v>
      </c>
      <c r="B56" s="108"/>
      <c r="C56" s="107">
        <v>141</v>
      </c>
      <c r="D56" s="107"/>
      <c r="E56" s="106"/>
      <c r="F56" s="105"/>
      <c r="G56" s="105">
        <f>SUM(G57:G58)</f>
        <v>50</v>
      </c>
      <c r="H56" s="104">
        <f>SUM(H57:H58)</f>
        <v>50</v>
      </c>
      <c r="I56" s="103"/>
      <c r="J56" s="102"/>
      <c r="K56" s="101"/>
      <c r="L56" s="100"/>
      <c r="M56" s="99"/>
      <c r="N56" s="235"/>
      <c r="O56" s="98"/>
      <c r="P56" s="97"/>
      <c r="Q56" s="97"/>
      <c r="R56" s="96"/>
      <c r="S56" s="95"/>
      <c r="U56" s="94"/>
    </row>
    <row r="57" spans="1:21" s="60" customFormat="1" ht="19.5" hidden="1" customHeight="1" x14ac:dyDescent="0.25">
      <c r="A57" s="824" t="s">
        <v>121</v>
      </c>
      <c r="B57" s="28" t="s">
        <v>5</v>
      </c>
      <c r="C57" s="6">
        <v>30</v>
      </c>
      <c r="D57" s="6">
        <v>60</v>
      </c>
      <c r="E57" s="91" t="s">
        <v>120</v>
      </c>
      <c r="F57" s="34">
        <v>0</v>
      </c>
      <c r="G57" s="34">
        <v>21</v>
      </c>
      <c r="H57" s="33">
        <f>F57+G57</f>
        <v>21</v>
      </c>
      <c r="I57" s="90">
        <v>2.69</v>
      </c>
      <c r="J57" s="32">
        <f>I57-0.67</f>
        <v>2.02</v>
      </c>
      <c r="K57" s="23">
        <f>(I57-J57)/I57</f>
        <v>0.24907063197026019</v>
      </c>
      <c r="L57" s="22">
        <v>7470</v>
      </c>
      <c r="M57" s="21">
        <f>(F57*L57)+(G57*L57*K57)</f>
        <v>39071.710037174715</v>
      </c>
      <c r="N57" s="233"/>
      <c r="O57" s="20"/>
      <c r="P57" s="5"/>
      <c r="Q57" s="5">
        <f>O57*1000*17</f>
        <v>0</v>
      </c>
      <c r="R57" s="19"/>
      <c r="S57" s="16"/>
      <c r="U57" s="61"/>
    </row>
    <row r="58" spans="1:21" s="60" customFormat="1" ht="19.5" hidden="1" customHeight="1" x14ac:dyDescent="0.25">
      <c r="A58" s="824"/>
      <c r="B58" s="28" t="s">
        <v>5</v>
      </c>
      <c r="C58" s="6">
        <v>42</v>
      </c>
      <c r="D58" s="92">
        <v>29</v>
      </c>
      <c r="E58" s="91" t="s">
        <v>119</v>
      </c>
      <c r="F58" s="34">
        <v>0</v>
      </c>
      <c r="G58" s="34">
        <v>29</v>
      </c>
      <c r="H58" s="26">
        <f>F58+G58</f>
        <v>29</v>
      </c>
      <c r="I58" s="90">
        <v>2.69</v>
      </c>
      <c r="J58" s="32">
        <v>1.34</v>
      </c>
      <c r="K58" s="23">
        <f>(I58-J58)/I58</f>
        <v>0.5018587360594795</v>
      </c>
      <c r="L58" s="22"/>
      <c r="M58" s="21"/>
      <c r="N58" s="233">
        <f>(F58*I58)+(G58*K58*I58)</f>
        <v>39.149999999999991</v>
      </c>
      <c r="O58" s="20">
        <v>17</v>
      </c>
      <c r="P58" s="5">
        <f>N58*1000*O58</f>
        <v>665549.99999999988</v>
      </c>
      <c r="Q58" s="5">
        <f>O58*1000*17</f>
        <v>289000</v>
      </c>
      <c r="R58" s="19"/>
      <c r="S58" s="16"/>
      <c r="U58" s="61"/>
    </row>
    <row r="59" spans="1:21" s="57" customFormat="1" ht="19.5" hidden="1" customHeight="1" x14ac:dyDescent="0.25">
      <c r="A59" s="83"/>
      <c r="B59" s="82"/>
      <c r="C59" s="81"/>
      <c r="D59" s="81"/>
      <c r="E59" s="80"/>
      <c r="F59" s="79"/>
      <c r="G59" s="79"/>
      <c r="H59" s="78"/>
      <c r="I59" s="77"/>
      <c r="J59" s="76"/>
      <c r="K59" s="75"/>
      <c r="L59" s="74"/>
      <c r="M59" s="73"/>
      <c r="N59" s="236"/>
      <c r="O59" s="72"/>
      <c r="P59" s="71"/>
      <c r="Q59" s="71"/>
      <c r="R59" s="70"/>
      <c r="S59" s="59"/>
      <c r="U59" s="58"/>
    </row>
    <row r="60" spans="1:21" s="60" customFormat="1" ht="20.45" customHeight="1" x14ac:dyDescent="0.25">
      <c r="A60" s="237" t="s">
        <v>118</v>
      </c>
      <c r="B60" s="238"/>
      <c r="C60" s="239">
        <f>SUM(C61:C67)</f>
        <v>778</v>
      </c>
      <c r="D60" s="239">
        <f>SUM(D61:D67)</f>
        <v>1115.5</v>
      </c>
      <c r="E60" s="237"/>
      <c r="F60" s="240">
        <f>SUM(F61:F67)</f>
        <v>677.92000000000007</v>
      </c>
      <c r="G60" s="240">
        <f>SUM(G61:G67)</f>
        <v>114</v>
      </c>
      <c r="H60" s="240">
        <f>SUM(H61:H67)</f>
        <v>791.92000000000007</v>
      </c>
      <c r="I60" s="241"/>
      <c r="J60" s="240"/>
      <c r="K60" s="240"/>
      <c r="L60" s="242"/>
      <c r="M60" s="240">
        <f>SUM(M61:M67)</f>
        <v>6978708.3169811312</v>
      </c>
      <c r="N60" s="243">
        <f>N61</f>
        <v>0</v>
      </c>
      <c r="O60" s="240"/>
      <c r="P60" s="244">
        <f>SUM(P61:P68)</f>
        <v>0</v>
      </c>
      <c r="Q60" s="63"/>
      <c r="R60" s="62"/>
      <c r="S60" s="16"/>
      <c r="U60" s="61"/>
    </row>
    <row r="61" spans="1:21" s="57" customFormat="1" ht="19.5" customHeight="1" x14ac:dyDescent="0.25">
      <c r="A61" s="8" t="s">
        <v>102</v>
      </c>
      <c r="B61" s="28"/>
      <c r="C61" s="6">
        <v>6</v>
      </c>
      <c r="D61" s="6">
        <v>10</v>
      </c>
      <c r="E61" s="84" t="s">
        <v>116</v>
      </c>
      <c r="F61" s="34">
        <v>10</v>
      </c>
      <c r="G61" s="34"/>
      <c r="H61" s="33">
        <f t="shared" ref="H61:H67" si="4">F61+G61</f>
        <v>10</v>
      </c>
      <c r="I61" s="25">
        <v>2.65</v>
      </c>
      <c r="J61" s="32"/>
      <c r="K61" s="23">
        <f t="shared" ref="K61:K67" si="5">(I61-J61)/I61</f>
        <v>1</v>
      </c>
      <c r="L61" s="22">
        <v>7470</v>
      </c>
      <c r="M61" s="21">
        <f t="shared" ref="M61:M67" si="6">(F61*L61)+(G61*L61*K61)</f>
        <v>74700</v>
      </c>
      <c r="N61" s="233"/>
      <c r="O61" s="20"/>
      <c r="P61" s="5"/>
      <c r="Q61" s="5">
        <f t="shared" ref="Q61:Q67" si="7">O61*1000*17</f>
        <v>0</v>
      </c>
      <c r="R61" s="19"/>
      <c r="S61" s="59"/>
      <c r="U61" s="58"/>
    </row>
    <row r="62" spans="1:21" s="57" customFormat="1" ht="19.5" customHeight="1" x14ac:dyDescent="0.25">
      <c r="A62" s="8" t="s">
        <v>100</v>
      </c>
      <c r="B62" s="28"/>
      <c r="C62" s="6">
        <v>101</v>
      </c>
      <c r="D62" s="6">
        <v>114</v>
      </c>
      <c r="E62" s="84" t="s">
        <v>117</v>
      </c>
      <c r="F62" s="34"/>
      <c r="G62" s="34">
        <v>114</v>
      </c>
      <c r="H62" s="33">
        <f t="shared" si="4"/>
        <v>114</v>
      </c>
      <c r="I62" s="25">
        <v>2.65</v>
      </c>
      <c r="J62" s="32">
        <f>I62-1.33</f>
        <v>1.3199999999999998</v>
      </c>
      <c r="K62" s="89">
        <f t="shared" si="5"/>
        <v>0.50188679245283019</v>
      </c>
      <c r="L62" s="88">
        <v>33464</v>
      </c>
      <c r="M62" s="87">
        <f t="shared" si="6"/>
        <v>1914645.916981132</v>
      </c>
      <c r="N62" s="245"/>
      <c r="O62" s="86"/>
      <c r="P62" s="85"/>
      <c r="Q62" s="5">
        <f t="shared" si="7"/>
        <v>0</v>
      </c>
      <c r="R62" s="19"/>
      <c r="S62" s="59"/>
      <c r="U62" s="58"/>
    </row>
    <row r="63" spans="1:21" s="57" customFormat="1" ht="19.5" customHeight="1" x14ac:dyDescent="0.25">
      <c r="A63" s="8" t="s">
        <v>76</v>
      </c>
      <c r="B63" s="28"/>
      <c r="C63" s="6">
        <v>10</v>
      </c>
      <c r="D63" s="6">
        <v>14.5</v>
      </c>
      <c r="E63" s="84" t="s">
        <v>116</v>
      </c>
      <c r="F63" s="34">
        <v>14.5</v>
      </c>
      <c r="G63" s="34"/>
      <c r="H63" s="33">
        <f t="shared" si="4"/>
        <v>14.5</v>
      </c>
      <c r="I63" s="25">
        <v>2.65</v>
      </c>
      <c r="J63" s="32"/>
      <c r="K63" s="23">
        <f t="shared" si="5"/>
        <v>1</v>
      </c>
      <c r="L63" s="22">
        <v>7470</v>
      </c>
      <c r="M63" s="21">
        <f t="shared" si="6"/>
        <v>108315</v>
      </c>
      <c r="N63" s="233"/>
      <c r="O63" s="20"/>
      <c r="P63" s="5"/>
      <c r="Q63" s="5">
        <f t="shared" si="7"/>
        <v>0</v>
      </c>
      <c r="R63" s="19"/>
      <c r="S63" s="59"/>
      <c r="U63" s="58"/>
    </row>
    <row r="64" spans="1:21" s="57" customFormat="1" ht="19.5" customHeight="1" x14ac:dyDescent="0.25">
      <c r="A64" s="8" t="s">
        <v>101</v>
      </c>
      <c r="B64" s="28"/>
      <c r="C64" s="6">
        <v>278</v>
      </c>
      <c r="D64" s="6">
        <v>278</v>
      </c>
      <c r="E64" s="84" t="s">
        <v>115</v>
      </c>
      <c r="F64" s="34">
        <v>278</v>
      </c>
      <c r="G64" s="34"/>
      <c r="H64" s="33">
        <f t="shared" si="4"/>
        <v>278</v>
      </c>
      <c r="I64" s="25">
        <v>2.65</v>
      </c>
      <c r="J64" s="32"/>
      <c r="K64" s="23">
        <f t="shared" si="5"/>
        <v>1</v>
      </c>
      <c r="L64" s="22">
        <v>7470</v>
      </c>
      <c r="M64" s="21">
        <f t="shared" si="6"/>
        <v>2076660</v>
      </c>
      <c r="N64" s="233"/>
      <c r="O64" s="20"/>
      <c r="P64" s="5"/>
      <c r="Q64" s="5">
        <f t="shared" si="7"/>
        <v>0</v>
      </c>
      <c r="R64" s="19"/>
      <c r="S64" s="59"/>
      <c r="U64" s="58"/>
    </row>
    <row r="65" spans="1:21" s="57" customFormat="1" ht="19.5" customHeight="1" x14ac:dyDescent="0.25">
      <c r="A65" s="8" t="s">
        <v>80</v>
      </c>
      <c r="B65" s="28"/>
      <c r="C65" s="6">
        <v>23</v>
      </c>
      <c r="D65" s="6">
        <v>1</v>
      </c>
      <c r="E65" s="84" t="s">
        <v>114</v>
      </c>
      <c r="F65" s="34">
        <v>0.92</v>
      </c>
      <c r="G65" s="34"/>
      <c r="H65" s="33">
        <f t="shared" si="4"/>
        <v>0.92</v>
      </c>
      <c r="I65" s="25">
        <v>2.65</v>
      </c>
      <c r="J65" s="32"/>
      <c r="K65" s="23">
        <f t="shared" si="5"/>
        <v>1</v>
      </c>
      <c r="L65" s="22">
        <v>7470</v>
      </c>
      <c r="M65" s="21">
        <f t="shared" si="6"/>
        <v>6872.4000000000005</v>
      </c>
      <c r="N65" s="233"/>
      <c r="O65" s="20"/>
      <c r="P65" s="5"/>
      <c r="Q65" s="5">
        <f t="shared" si="7"/>
        <v>0</v>
      </c>
      <c r="R65" s="19"/>
      <c r="S65" s="59"/>
      <c r="U65" s="58"/>
    </row>
    <row r="66" spans="1:21" s="57" customFormat="1" ht="19.5" customHeight="1" x14ac:dyDescent="0.25">
      <c r="A66" s="8" t="s">
        <v>113</v>
      </c>
      <c r="B66" s="28" t="s">
        <v>5</v>
      </c>
      <c r="C66" s="6">
        <v>150</v>
      </c>
      <c r="D66" s="6">
        <v>300</v>
      </c>
      <c r="E66" s="84" t="s">
        <v>105</v>
      </c>
      <c r="F66" s="34">
        <v>127</v>
      </c>
      <c r="G66" s="34"/>
      <c r="H66" s="33">
        <f t="shared" si="4"/>
        <v>127</v>
      </c>
      <c r="I66" s="25">
        <v>2.65</v>
      </c>
      <c r="J66" s="32"/>
      <c r="K66" s="23">
        <f t="shared" si="5"/>
        <v>1</v>
      </c>
      <c r="L66" s="22">
        <v>7470</v>
      </c>
      <c r="M66" s="21">
        <f t="shared" si="6"/>
        <v>948690</v>
      </c>
      <c r="N66" s="233"/>
      <c r="O66" s="20"/>
      <c r="P66" s="5"/>
      <c r="Q66" s="5">
        <f t="shared" si="7"/>
        <v>0</v>
      </c>
      <c r="R66" s="19"/>
      <c r="S66" s="59"/>
      <c r="U66" s="58"/>
    </row>
    <row r="67" spans="1:21" s="57" customFormat="1" ht="19.5" customHeight="1" x14ac:dyDescent="0.25">
      <c r="A67" s="8" t="s">
        <v>82</v>
      </c>
      <c r="B67" s="28" t="s">
        <v>5</v>
      </c>
      <c r="C67" s="6">
        <v>210</v>
      </c>
      <c r="D67" s="6">
        <v>398</v>
      </c>
      <c r="E67" s="84" t="s">
        <v>105</v>
      </c>
      <c r="F67" s="34">
        <v>247.5</v>
      </c>
      <c r="G67" s="34"/>
      <c r="H67" s="33">
        <f t="shared" si="4"/>
        <v>247.5</v>
      </c>
      <c r="I67" s="25">
        <v>2.65</v>
      </c>
      <c r="J67" s="32"/>
      <c r="K67" s="23">
        <f t="shared" si="5"/>
        <v>1</v>
      </c>
      <c r="L67" s="22">
        <v>7470</v>
      </c>
      <c r="M67" s="21">
        <f t="shared" si="6"/>
        <v>1848825</v>
      </c>
      <c r="N67" s="233"/>
      <c r="O67" s="20"/>
      <c r="P67" s="5"/>
      <c r="Q67" s="5">
        <f t="shared" si="7"/>
        <v>0</v>
      </c>
      <c r="R67" s="19"/>
      <c r="S67" s="59"/>
      <c r="U67" s="58"/>
    </row>
    <row r="68" spans="1:21" s="57" customFormat="1" ht="19.350000000000001" customHeight="1" x14ac:dyDescent="0.25">
      <c r="A68" s="83"/>
      <c r="B68" s="82"/>
      <c r="C68" s="81"/>
      <c r="D68" s="81"/>
      <c r="E68" s="80"/>
      <c r="F68" s="79"/>
      <c r="G68" s="79"/>
      <c r="H68" s="78"/>
      <c r="I68" s="77"/>
      <c r="J68" s="76"/>
      <c r="K68" s="75"/>
      <c r="L68" s="74"/>
      <c r="M68" s="73"/>
      <c r="N68" s="236"/>
      <c r="O68" s="72"/>
      <c r="P68" s="71"/>
      <c r="Q68" s="71"/>
      <c r="R68" s="70"/>
      <c r="S68" s="59"/>
      <c r="U68" s="58"/>
    </row>
    <row r="69" spans="1:21" s="60" customFormat="1" ht="20.45" customHeight="1" x14ac:dyDescent="0.25">
      <c r="A69" s="237" t="s">
        <v>112</v>
      </c>
      <c r="B69" s="238"/>
      <c r="C69" s="239">
        <f>SUM(C70:C71)</f>
        <v>509</v>
      </c>
      <c r="D69" s="239">
        <f>SUM(D70:D71)</f>
        <v>509</v>
      </c>
      <c r="E69" s="237"/>
      <c r="F69" s="240">
        <f>SUM(F70:F71)</f>
        <v>509</v>
      </c>
      <c r="G69" s="240">
        <f>SUM(G70:G71)</f>
        <v>0</v>
      </c>
      <c r="H69" s="240">
        <f>SUM(H70:H71)</f>
        <v>509</v>
      </c>
      <c r="I69" s="241"/>
      <c r="J69" s="240"/>
      <c r="K69" s="240"/>
      <c r="L69" s="242"/>
      <c r="M69" s="240">
        <f>SUM(M70:M71)</f>
        <v>3802230</v>
      </c>
      <c r="N69" s="240">
        <f>SUM(N70:N71)</f>
        <v>0</v>
      </c>
      <c r="O69" s="240"/>
      <c r="P69" s="240">
        <f>SUM(P70:P71)</f>
        <v>0</v>
      </c>
      <c r="Q69" s="63"/>
      <c r="R69" s="62"/>
      <c r="S69" s="16"/>
      <c r="U69" s="61"/>
    </row>
    <row r="70" spans="1:21" s="57" customFormat="1" ht="19.350000000000001" hidden="1" customHeight="1" x14ac:dyDescent="0.25">
      <c r="A70" s="823" t="s">
        <v>109</v>
      </c>
      <c r="B70" s="28" t="s">
        <v>5</v>
      </c>
      <c r="C70" s="7">
        <v>447</v>
      </c>
      <c r="D70" s="38">
        <v>447</v>
      </c>
      <c r="E70" s="35" t="s">
        <v>105</v>
      </c>
      <c r="F70" s="34">
        <v>447</v>
      </c>
      <c r="G70" s="34"/>
      <c r="H70" s="33">
        <f>F70+G70</f>
        <v>447</v>
      </c>
      <c r="I70" s="25">
        <v>2.73</v>
      </c>
      <c r="J70" s="32"/>
      <c r="K70" s="23">
        <f>(I70-J70)/I70</f>
        <v>1</v>
      </c>
      <c r="L70" s="22">
        <v>7470</v>
      </c>
      <c r="M70" s="21">
        <f>(F70*L70)+(G70*L70*K70)</f>
        <v>3339090</v>
      </c>
      <c r="N70" s="233"/>
      <c r="O70" s="20"/>
      <c r="P70" s="5"/>
      <c r="Q70" s="5">
        <f>O70*1000*17</f>
        <v>0</v>
      </c>
      <c r="R70" s="19"/>
      <c r="S70" s="59"/>
      <c r="U70" s="58"/>
    </row>
    <row r="71" spans="1:21" s="57" customFormat="1" ht="19.350000000000001" hidden="1" customHeight="1" x14ac:dyDescent="0.25">
      <c r="A71" s="823"/>
      <c r="B71" s="28" t="s">
        <v>5</v>
      </c>
      <c r="C71" s="7">
        <v>62</v>
      </c>
      <c r="D71" s="38">
        <v>62</v>
      </c>
      <c r="E71" s="35" t="s">
        <v>105</v>
      </c>
      <c r="F71" s="34">
        <v>62</v>
      </c>
      <c r="G71" s="34"/>
      <c r="H71" s="33">
        <f>F71+G71</f>
        <v>62</v>
      </c>
      <c r="I71" s="25">
        <v>2.73</v>
      </c>
      <c r="J71" s="32"/>
      <c r="K71" s="23">
        <f>(I71-J71)/I71</f>
        <v>1</v>
      </c>
      <c r="L71" s="22">
        <v>7470</v>
      </c>
      <c r="M71" s="21">
        <f>(F71*L71)+(G71*L71*K71)</f>
        <v>463140</v>
      </c>
      <c r="N71" s="233"/>
      <c r="O71" s="20"/>
      <c r="P71" s="5"/>
      <c r="Q71" s="5">
        <f>O71*1000*17</f>
        <v>0</v>
      </c>
      <c r="R71" s="19"/>
      <c r="S71" s="59"/>
      <c r="U71" s="58"/>
    </row>
    <row r="72" spans="1:21" s="40" customFormat="1" ht="19.5" hidden="1" customHeight="1" x14ac:dyDescent="0.25">
      <c r="A72" s="56"/>
      <c r="B72" s="56"/>
      <c r="C72" s="55"/>
      <c r="D72" s="54"/>
      <c r="E72" s="53"/>
      <c r="F72" s="52"/>
      <c r="G72" s="52"/>
      <c r="H72" s="51"/>
      <c r="I72" s="50"/>
      <c r="J72" s="49"/>
      <c r="K72" s="48"/>
      <c r="L72" s="47"/>
      <c r="M72" s="46"/>
      <c r="N72" s="246"/>
      <c r="O72" s="45"/>
      <c r="P72" s="44"/>
      <c r="Q72" s="44"/>
      <c r="R72" s="43"/>
      <c r="S72" s="42"/>
      <c r="U72" s="41"/>
    </row>
    <row r="73" spans="1:21" s="30" customFormat="1" ht="18.75" customHeight="1" x14ac:dyDescent="0.25">
      <c r="A73" s="29" t="s">
        <v>84</v>
      </c>
      <c r="B73" s="28" t="s">
        <v>5</v>
      </c>
      <c r="C73" s="7">
        <v>11</v>
      </c>
      <c r="D73" s="38">
        <v>9</v>
      </c>
      <c r="E73" s="35" t="s">
        <v>105</v>
      </c>
      <c r="F73" s="34">
        <v>9</v>
      </c>
      <c r="G73" s="34"/>
      <c r="H73" s="33">
        <v>9</v>
      </c>
      <c r="I73" s="25">
        <v>2.73</v>
      </c>
      <c r="J73" s="32"/>
      <c r="K73" s="23">
        <v>1</v>
      </c>
      <c r="L73" s="22">
        <v>7470</v>
      </c>
      <c r="M73" s="21">
        <v>67230</v>
      </c>
      <c r="N73" s="233"/>
      <c r="O73" s="20"/>
      <c r="P73" s="5">
        <v>0</v>
      </c>
      <c r="Q73" s="5">
        <v>0</v>
      </c>
      <c r="R73" s="19"/>
      <c r="S73" s="10"/>
      <c r="T73" s="11"/>
      <c r="U73" s="10"/>
    </row>
    <row r="74" spans="1:21" s="30" customFormat="1" ht="18.75" customHeight="1" x14ac:dyDescent="0.25">
      <c r="A74" s="29" t="s">
        <v>185</v>
      </c>
      <c r="B74" s="28"/>
      <c r="C74" s="7">
        <v>605</v>
      </c>
      <c r="D74" s="6">
        <v>460</v>
      </c>
      <c r="E74" s="27">
        <v>0</v>
      </c>
      <c r="F74" s="9">
        <v>430</v>
      </c>
      <c r="G74" s="9">
        <v>0</v>
      </c>
      <c r="H74" s="26">
        <v>430</v>
      </c>
      <c r="I74" s="25">
        <v>5.46</v>
      </c>
      <c r="J74" s="24">
        <v>0</v>
      </c>
      <c r="K74" s="23">
        <v>2</v>
      </c>
      <c r="L74" s="22">
        <v>7470</v>
      </c>
      <c r="M74" s="21">
        <f>3174750+P74</f>
        <v>3406800</v>
      </c>
      <c r="N74" s="233">
        <v>13.65</v>
      </c>
      <c r="O74" s="20">
        <v>17</v>
      </c>
      <c r="P74" s="5">
        <v>232050</v>
      </c>
      <c r="Q74" s="5"/>
      <c r="R74" s="19"/>
      <c r="S74" s="10"/>
      <c r="T74" s="11"/>
      <c r="U74" s="10"/>
    </row>
    <row r="75" spans="1:21" s="30" customFormat="1" ht="18.75" customHeight="1" x14ac:dyDescent="0.25">
      <c r="A75" s="8" t="s">
        <v>86</v>
      </c>
      <c r="B75" s="28" t="s">
        <v>5</v>
      </c>
      <c r="C75" s="6">
        <v>80</v>
      </c>
      <c r="D75" s="6">
        <v>95</v>
      </c>
      <c r="E75" s="35" t="s">
        <v>105</v>
      </c>
      <c r="F75" s="34">
        <v>95.5</v>
      </c>
      <c r="G75" s="34"/>
      <c r="H75" s="33">
        <v>95.5</v>
      </c>
      <c r="I75" s="25">
        <v>2.73</v>
      </c>
      <c r="J75" s="32"/>
      <c r="K75" s="23">
        <v>1</v>
      </c>
      <c r="L75" s="22">
        <v>7470</v>
      </c>
      <c r="M75" s="21">
        <v>713385</v>
      </c>
      <c r="N75" s="233"/>
      <c r="O75" s="20"/>
      <c r="P75" s="5">
        <v>0</v>
      </c>
      <c r="Q75" s="5">
        <v>0</v>
      </c>
      <c r="R75" s="19"/>
      <c r="T75" s="31"/>
    </row>
    <row r="76" spans="1:21" s="30" customFormat="1" ht="18.75" customHeight="1" x14ac:dyDescent="0.25">
      <c r="A76" s="29" t="s">
        <v>87</v>
      </c>
      <c r="B76" s="28" t="s">
        <v>5</v>
      </c>
      <c r="C76" s="7">
        <v>599</v>
      </c>
      <c r="D76" s="6">
        <v>699</v>
      </c>
      <c r="E76" s="35" t="s">
        <v>105</v>
      </c>
      <c r="F76" s="34">
        <v>585</v>
      </c>
      <c r="G76" s="34"/>
      <c r="H76" s="33">
        <v>585</v>
      </c>
      <c r="I76" s="25">
        <v>2.73</v>
      </c>
      <c r="J76" s="32"/>
      <c r="K76" s="23">
        <v>1</v>
      </c>
      <c r="L76" s="22">
        <v>7470</v>
      </c>
      <c r="M76" s="21">
        <v>4369950</v>
      </c>
      <c r="N76" s="233"/>
      <c r="O76" s="20"/>
      <c r="P76" s="5"/>
      <c r="Q76" s="5">
        <v>0</v>
      </c>
      <c r="R76" s="19"/>
      <c r="S76" s="10"/>
      <c r="T76" s="11"/>
      <c r="U76" s="10"/>
    </row>
    <row r="77" spans="1:21" s="30" customFormat="1" ht="18.75" customHeight="1" x14ac:dyDescent="0.25">
      <c r="A77" s="29" t="s">
        <v>88</v>
      </c>
      <c r="B77" s="28" t="s">
        <v>5</v>
      </c>
      <c r="C77" s="7">
        <v>18</v>
      </c>
      <c r="D77" s="38">
        <v>171</v>
      </c>
      <c r="E77" s="35" t="s">
        <v>105</v>
      </c>
      <c r="F77" s="34">
        <v>171.25</v>
      </c>
      <c r="G77" s="34"/>
      <c r="H77" s="33">
        <v>171.25</v>
      </c>
      <c r="I77" s="25">
        <v>2.73</v>
      </c>
      <c r="J77" s="32"/>
      <c r="K77" s="23">
        <v>1</v>
      </c>
      <c r="L77" s="22">
        <v>7470</v>
      </c>
      <c r="M77" s="21">
        <v>1279237.5</v>
      </c>
      <c r="N77" s="233"/>
      <c r="O77" s="20"/>
      <c r="P77" s="5">
        <v>0</v>
      </c>
      <c r="Q77" s="5">
        <v>0</v>
      </c>
      <c r="R77" s="19"/>
      <c r="S77" s="10"/>
      <c r="T77" s="11"/>
      <c r="U77" s="10"/>
    </row>
    <row r="78" spans="1:21" s="30" customFormat="1" ht="18.75" customHeight="1" x14ac:dyDescent="0.25">
      <c r="A78" s="8" t="s">
        <v>111</v>
      </c>
      <c r="B78" s="28" t="s">
        <v>5</v>
      </c>
      <c r="C78" s="6">
        <v>107</v>
      </c>
      <c r="D78" s="6">
        <v>94</v>
      </c>
      <c r="E78" s="35" t="s">
        <v>105</v>
      </c>
      <c r="F78" s="34">
        <v>94</v>
      </c>
      <c r="G78" s="34"/>
      <c r="H78" s="33">
        <v>94</v>
      </c>
      <c r="I78" s="25">
        <v>2.73</v>
      </c>
      <c r="J78" s="32"/>
      <c r="K78" s="23">
        <v>1</v>
      </c>
      <c r="L78" s="22">
        <v>7470</v>
      </c>
      <c r="M78" s="21">
        <v>702180</v>
      </c>
      <c r="N78" s="233"/>
      <c r="O78" s="20"/>
      <c r="P78" s="5">
        <v>0</v>
      </c>
      <c r="Q78" s="5">
        <v>0</v>
      </c>
      <c r="R78" s="19"/>
      <c r="T78" s="31"/>
    </row>
    <row r="79" spans="1:21" s="30" customFormat="1" ht="18.75" customHeight="1" x14ac:dyDescent="0.25">
      <c r="A79" s="8" t="s">
        <v>110</v>
      </c>
      <c r="B79" s="28" t="s">
        <v>5</v>
      </c>
      <c r="C79" s="6">
        <v>13</v>
      </c>
      <c r="D79" s="6">
        <v>9.5</v>
      </c>
      <c r="E79" s="35" t="s">
        <v>105</v>
      </c>
      <c r="F79" s="34">
        <v>9.5</v>
      </c>
      <c r="G79" s="34"/>
      <c r="H79" s="33">
        <v>9.5</v>
      </c>
      <c r="I79" s="25">
        <v>2.73</v>
      </c>
      <c r="J79" s="32"/>
      <c r="K79" s="23">
        <v>1</v>
      </c>
      <c r="L79" s="22">
        <v>7470</v>
      </c>
      <c r="M79" s="21">
        <v>70965</v>
      </c>
      <c r="N79" s="233"/>
      <c r="O79" s="20"/>
      <c r="P79" s="5">
        <v>0</v>
      </c>
      <c r="Q79" s="5">
        <v>0</v>
      </c>
      <c r="R79" s="19"/>
      <c r="T79" s="31"/>
    </row>
    <row r="80" spans="1:21" s="30" customFormat="1" ht="18.75" customHeight="1" x14ac:dyDescent="0.25">
      <c r="A80" s="29" t="s">
        <v>109</v>
      </c>
      <c r="B80" s="28"/>
      <c r="C80" s="7">
        <v>0</v>
      </c>
      <c r="D80" s="6">
        <v>0</v>
      </c>
      <c r="E80" s="35">
        <v>0</v>
      </c>
      <c r="F80" s="34">
        <v>0</v>
      </c>
      <c r="G80" s="34">
        <v>0</v>
      </c>
      <c r="H80" s="33">
        <v>0</v>
      </c>
      <c r="I80" s="25">
        <v>0</v>
      </c>
      <c r="J80" s="32">
        <v>0</v>
      </c>
      <c r="K80" s="23">
        <v>0</v>
      </c>
      <c r="L80" s="22">
        <v>0</v>
      </c>
      <c r="M80" s="21">
        <v>0</v>
      </c>
      <c r="N80" s="233">
        <v>0</v>
      </c>
      <c r="O80" s="20">
        <v>0</v>
      </c>
      <c r="P80" s="5">
        <v>0</v>
      </c>
      <c r="Q80" s="5"/>
      <c r="R80" s="19"/>
      <c r="S80" s="10"/>
      <c r="T80" s="11"/>
      <c r="U80" s="10"/>
    </row>
    <row r="81" spans="1:21" ht="18.75" customHeight="1" x14ac:dyDescent="0.25">
      <c r="A81" s="8" t="s">
        <v>108</v>
      </c>
      <c r="B81" s="28" t="s">
        <v>5</v>
      </c>
      <c r="C81" s="6">
        <v>2</v>
      </c>
      <c r="D81" s="6">
        <v>2</v>
      </c>
      <c r="E81" s="35" t="s">
        <v>105</v>
      </c>
      <c r="F81" s="34">
        <v>2</v>
      </c>
      <c r="G81" s="34"/>
      <c r="H81" s="33">
        <v>2</v>
      </c>
      <c r="I81" s="25">
        <v>2.73</v>
      </c>
      <c r="J81" s="32"/>
      <c r="K81" s="23">
        <v>1</v>
      </c>
      <c r="L81" s="22">
        <v>7470</v>
      </c>
      <c r="M81" s="21">
        <v>14940</v>
      </c>
      <c r="N81" s="233"/>
      <c r="O81" s="20"/>
      <c r="P81" s="5">
        <v>0</v>
      </c>
      <c r="Q81" s="5">
        <v>0</v>
      </c>
      <c r="R81" s="19"/>
      <c r="S81" s="30"/>
      <c r="T81" s="31"/>
      <c r="U81" s="30"/>
    </row>
    <row r="82" spans="1:21" ht="18.75" customHeight="1" x14ac:dyDescent="0.25">
      <c r="A82" s="29" t="s">
        <v>90</v>
      </c>
      <c r="B82" s="28"/>
      <c r="C82" s="7">
        <v>20</v>
      </c>
      <c r="D82" s="38">
        <v>18</v>
      </c>
      <c r="E82" s="35">
        <v>0</v>
      </c>
      <c r="F82" s="34">
        <v>18</v>
      </c>
      <c r="G82" s="34">
        <v>0</v>
      </c>
      <c r="H82" s="33">
        <v>18</v>
      </c>
      <c r="I82" s="25">
        <v>5.46</v>
      </c>
      <c r="J82" s="32">
        <v>0</v>
      </c>
      <c r="K82" s="23">
        <v>2</v>
      </c>
      <c r="L82" s="22">
        <v>7470</v>
      </c>
      <c r="M82" s="21">
        <f>112050+P82</f>
        <v>251279.99999999997</v>
      </c>
      <c r="N82" s="233">
        <v>8.19</v>
      </c>
      <c r="O82" s="20">
        <v>17</v>
      </c>
      <c r="P82" s="5">
        <v>139229.99999999997</v>
      </c>
      <c r="Q82" s="5"/>
      <c r="R82" s="19"/>
    </row>
    <row r="83" spans="1:21" ht="18.75" customHeight="1" x14ac:dyDescent="0.25">
      <c r="A83" s="29" t="s">
        <v>103</v>
      </c>
      <c r="B83" s="28" t="s">
        <v>5</v>
      </c>
      <c r="C83" s="7">
        <v>515</v>
      </c>
      <c r="D83" s="38">
        <v>814</v>
      </c>
      <c r="E83" s="35" t="s">
        <v>105</v>
      </c>
      <c r="F83" s="34">
        <v>814</v>
      </c>
      <c r="G83" s="34"/>
      <c r="H83" s="33">
        <v>814</v>
      </c>
      <c r="I83" s="25">
        <v>2.73</v>
      </c>
      <c r="J83" s="32"/>
      <c r="K83" s="23">
        <v>1</v>
      </c>
      <c r="L83" s="22">
        <v>7470</v>
      </c>
      <c r="M83" s="21">
        <v>6080580</v>
      </c>
      <c r="N83" s="233"/>
      <c r="O83" s="20"/>
      <c r="P83" s="5"/>
      <c r="Q83" s="5">
        <v>0</v>
      </c>
      <c r="R83" s="19"/>
    </row>
    <row r="84" spans="1:21" ht="18.75" customHeight="1" x14ac:dyDescent="0.25">
      <c r="A84" s="39" t="s">
        <v>91</v>
      </c>
      <c r="B84" s="28" t="s">
        <v>5</v>
      </c>
      <c r="C84" s="7">
        <v>432</v>
      </c>
      <c r="D84" s="38">
        <v>432</v>
      </c>
      <c r="E84" s="35" t="s">
        <v>105</v>
      </c>
      <c r="F84" s="34">
        <v>432</v>
      </c>
      <c r="G84" s="34"/>
      <c r="H84" s="33">
        <v>432</v>
      </c>
      <c r="I84" s="25">
        <v>2.73</v>
      </c>
      <c r="J84" s="32"/>
      <c r="K84" s="23">
        <v>1</v>
      </c>
      <c r="L84" s="22">
        <v>7470</v>
      </c>
      <c r="M84" s="21">
        <v>3227040</v>
      </c>
      <c r="N84" s="233"/>
      <c r="O84" s="20"/>
      <c r="P84" s="5">
        <v>0</v>
      </c>
      <c r="Q84" s="5">
        <v>0</v>
      </c>
      <c r="R84" s="19"/>
      <c r="S84" s="30"/>
      <c r="T84" s="31"/>
      <c r="U84" s="30"/>
    </row>
    <row r="85" spans="1:21" ht="18.75" customHeight="1" x14ac:dyDescent="0.25">
      <c r="A85" s="29" t="s">
        <v>107</v>
      </c>
      <c r="B85" s="28" t="s">
        <v>5</v>
      </c>
      <c r="C85" s="7">
        <v>120</v>
      </c>
      <c r="D85" s="38">
        <v>4.8</v>
      </c>
      <c r="E85" s="35" t="s">
        <v>105</v>
      </c>
      <c r="F85" s="34">
        <v>4.8</v>
      </c>
      <c r="G85" s="34"/>
      <c r="H85" s="33">
        <v>4.8</v>
      </c>
      <c r="I85" s="25">
        <v>2.73</v>
      </c>
      <c r="J85" s="32"/>
      <c r="K85" s="23">
        <v>1</v>
      </c>
      <c r="L85" s="22">
        <v>7470</v>
      </c>
      <c r="M85" s="21">
        <v>35856</v>
      </c>
      <c r="N85" s="233"/>
      <c r="O85" s="20"/>
      <c r="P85" s="5">
        <v>0</v>
      </c>
      <c r="Q85" s="5">
        <v>0</v>
      </c>
      <c r="R85" s="19"/>
      <c r="S85" s="30"/>
      <c r="T85" s="31"/>
      <c r="U85" s="30"/>
    </row>
    <row r="86" spans="1:21" ht="18.75" customHeight="1" x14ac:dyDescent="0.25">
      <c r="A86" s="37" t="s">
        <v>3</v>
      </c>
      <c r="B86" s="28" t="s">
        <v>5</v>
      </c>
      <c r="C86" s="6">
        <v>150</v>
      </c>
      <c r="D86" s="6">
        <v>144</v>
      </c>
      <c r="E86" s="35" t="s">
        <v>105</v>
      </c>
      <c r="F86" s="34">
        <v>50</v>
      </c>
      <c r="G86" s="34">
        <v>97</v>
      </c>
      <c r="H86" s="33">
        <v>147</v>
      </c>
      <c r="I86" s="25">
        <v>2.73</v>
      </c>
      <c r="J86" s="32">
        <v>0.27</v>
      </c>
      <c r="K86" s="23">
        <v>0.90109890109890112</v>
      </c>
      <c r="L86" s="22">
        <v>7470</v>
      </c>
      <c r="M86" s="21">
        <v>1026427.2527472528</v>
      </c>
      <c r="N86" s="233"/>
      <c r="O86" s="20"/>
      <c r="P86" s="5">
        <v>0</v>
      </c>
      <c r="Q86" s="5">
        <v>0</v>
      </c>
      <c r="R86" s="19"/>
      <c r="S86" s="30"/>
      <c r="T86" s="31"/>
      <c r="U86" s="30"/>
    </row>
    <row r="87" spans="1:21" ht="18.75" customHeight="1" x14ac:dyDescent="0.25">
      <c r="A87" s="8" t="s">
        <v>106</v>
      </c>
      <c r="B87" s="28" t="s">
        <v>5</v>
      </c>
      <c r="C87" s="36">
        <v>20</v>
      </c>
      <c r="D87" s="36">
        <v>20</v>
      </c>
      <c r="E87" s="35" t="s">
        <v>105</v>
      </c>
      <c r="F87" s="34">
        <v>20</v>
      </c>
      <c r="G87" s="34"/>
      <c r="H87" s="33">
        <v>20</v>
      </c>
      <c r="I87" s="25">
        <v>2.73</v>
      </c>
      <c r="J87" s="32"/>
      <c r="K87" s="23">
        <v>1</v>
      </c>
      <c r="L87" s="22">
        <v>7470</v>
      </c>
      <c r="M87" s="21">
        <v>149400</v>
      </c>
      <c r="N87" s="233"/>
      <c r="O87" s="20"/>
      <c r="P87" s="5">
        <v>0</v>
      </c>
      <c r="Q87" s="5">
        <v>0</v>
      </c>
      <c r="R87" s="19"/>
      <c r="S87" s="30"/>
      <c r="T87" s="31"/>
      <c r="U87" s="30"/>
    </row>
    <row r="88" spans="1:21" ht="18.75" customHeight="1" x14ac:dyDescent="0.25">
      <c r="A88" s="29" t="s">
        <v>94</v>
      </c>
      <c r="B88" s="28" t="s">
        <v>5</v>
      </c>
      <c r="C88" s="7">
        <v>4</v>
      </c>
      <c r="D88" s="6">
        <v>3.25</v>
      </c>
      <c r="E88" s="27" t="s">
        <v>104</v>
      </c>
      <c r="F88" s="9">
        <v>3.25</v>
      </c>
      <c r="G88" s="9"/>
      <c r="H88" s="26">
        <v>3.25</v>
      </c>
      <c r="I88" s="25">
        <v>2.73</v>
      </c>
      <c r="J88" s="24"/>
      <c r="K88" s="23">
        <v>1</v>
      </c>
      <c r="L88" s="22"/>
      <c r="M88" s="5">
        <v>150832.5</v>
      </c>
      <c r="N88" s="233">
        <v>8.8725000000000005</v>
      </c>
      <c r="O88" s="20">
        <v>17</v>
      </c>
      <c r="P88" s="5">
        <v>150832.5</v>
      </c>
      <c r="Q88" s="5">
        <v>289000</v>
      </c>
      <c r="R88" s="19"/>
    </row>
  </sheetData>
  <mergeCells count="23">
    <mergeCell ref="A1:R1"/>
    <mergeCell ref="A2:R2"/>
    <mergeCell ref="A3:R3"/>
    <mergeCell ref="A10:R10"/>
    <mergeCell ref="A11:A13"/>
    <mergeCell ref="C11:C13"/>
    <mergeCell ref="B11:B13"/>
    <mergeCell ref="L11:P11"/>
    <mergeCell ref="R11:R13"/>
    <mergeCell ref="D11:D13"/>
    <mergeCell ref="Q12:Q13"/>
    <mergeCell ref="E11:E13"/>
    <mergeCell ref="F11:H12"/>
    <mergeCell ref="I11:J12"/>
    <mergeCell ref="K11:K13"/>
    <mergeCell ref="L12:M12"/>
    <mergeCell ref="N12:P12"/>
    <mergeCell ref="A70:A71"/>
    <mergeCell ref="A57:A58"/>
    <mergeCell ref="A39:A41"/>
    <mergeCell ref="A43:A44"/>
    <mergeCell ref="A46:A48"/>
    <mergeCell ref="A52:A53"/>
  </mergeCells>
  <printOptions horizontalCentered="1"/>
  <pageMargins left="0.19685039370078741" right="0.78740157480314965" top="0.19685039370078741" bottom="0.78740157480314965" header="0" footer="0"/>
  <pageSetup paperSize="5" scale="55" fitToHeight="0" orientation="landscape"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0FEDF-5C66-D940-A5DE-FB8E865353E7}">
  <sheetPr>
    <tabColor rgb="FFFFFF00"/>
  </sheetPr>
  <dimension ref="A1:T131"/>
  <sheetViews>
    <sheetView zoomScaleNormal="100" zoomScaleSheetLayoutView="80" workbookViewId="0">
      <pane xSplit="1" ySplit="15" topLeftCell="B22" activePane="bottomRight" state="frozen"/>
      <selection pane="topRight" activeCell="B1" sqref="B1"/>
      <selection pane="bottomLeft" activeCell="A15" sqref="A15"/>
      <selection pane="bottomRight" activeCell="O32" sqref="O32"/>
    </sheetView>
  </sheetViews>
  <sheetFormatPr defaultColWidth="9.140625" defaultRowHeight="18.95" customHeight="1" x14ac:dyDescent="0.25"/>
  <cols>
    <col min="1" max="1" width="17.7109375" style="10" customWidth="1"/>
    <col min="2" max="3" width="14" style="252" customWidth="1"/>
    <col min="4" max="4" width="15.85546875" style="251" customWidth="1"/>
    <col min="5" max="5" width="11.85546875" style="250" customWidth="1"/>
    <col min="6" max="6" width="13.42578125" style="250" customWidth="1"/>
    <col min="7" max="7" width="13.85546875" style="249" customWidth="1"/>
    <col min="8" max="8" width="10.7109375" style="10" customWidth="1"/>
    <col min="9" max="9" width="11.42578125" style="248" customWidth="1"/>
    <col min="10" max="10" width="8.42578125" style="248" customWidth="1"/>
    <col min="11" max="11" width="14.85546875" style="247" customWidth="1"/>
    <col min="12" max="12" width="17.42578125" style="247" customWidth="1"/>
    <col min="13" max="13" width="12.7109375" style="247" customWidth="1"/>
    <col min="14" max="14" width="12.140625" style="247" customWidth="1"/>
    <col min="15" max="15" width="18.42578125" style="15" customWidth="1"/>
    <col min="16" max="16" width="21.85546875" style="10" customWidth="1"/>
    <col min="17" max="18" width="9.140625" style="10"/>
    <col min="19" max="19" width="29.28515625" style="10" customWidth="1"/>
    <col min="20" max="16384" width="9.140625" style="10"/>
  </cols>
  <sheetData>
    <row r="1" spans="1:19" ht="18.95" customHeight="1" x14ac:dyDescent="0.25">
      <c r="A1" s="781" t="s">
        <v>233</v>
      </c>
      <c r="B1" s="781"/>
      <c r="C1" s="781"/>
      <c r="D1" s="781"/>
      <c r="E1" s="781"/>
      <c r="F1" s="781"/>
      <c r="G1" s="781"/>
      <c r="H1" s="781"/>
      <c r="I1" s="781"/>
      <c r="J1" s="781"/>
      <c r="K1" s="781"/>
      <c r="L1" s="781"/>
      <c r="M1" s="781"/>
      <c r="N1" s="781"/>
      <c r="O1" s="781"/>
      <c r="P1" s="781"/>
    </row>
    <row r="2" spans="1:19" ht="18.95" customHeight="1" x14ac:dyDescent="0.25">
      <c r="A2" s="781" t="s">
        <v>232</v>
      </c>
      <c r="B2" s="781"/>
      <c r="C2" s="781"/>
      <c r="D2" s="781"/>
      <c r="E2" s="781"/>
      <c r="F2" s="781"/>
      <c r="G2" s="781"/>
      <c r="H2" s="781"/>
      <c r="I2" s="781"/>
      <c r="J2" s="781"/>
      <c r="K2" s="781"/>
      <c r="L2" s="781"/>
      <c r="M2" s="781"/>
      <c r="N2" s="781"/>
      <c r="O2" s="781"/>
      <c r="P2" s="781"/>
    </row>
    <row r="3" spans="1:19" ht="18.95" customHeight="1" x14ac:dyDescent="0.25">
      <c r="A3" s="781" t="s">
        <v>231</v>
      </c>
      <c r="B3" s="781"/>
      <c r="C3" s="781"/>
      <c r="D3" s="781"/>
      <c r="E3" s="781"/>
      <c r="F3" s="781"/>
      <c r="G3" s="781"/>
      <c r="H3" s="781"/>
      <c r="I3" s="781"/>
      <c r="J3" s="781"/>
      <c r="K3" s="781"/>
      <c r="L3" s="781"/>
      <c r="M3" s="781"/>
      <c r="N3" s="781"/>
      <c r="O3" s="781"/>
      <c r="P3" s="781"/>
    </row>
    <row r="4" spans="1:19" ht="18.95" hidden="1" customHeight="1" x14ac:dyDescent="0.25">
      <c r="A4" s="781" t="s">
        <v>230</v>
      </c>
      <c r="B4" s="781"/>
      <c r="C4" s="781"/>
      <c r="D4" s="781"/>
      <c r="E4" s="781"/>
      <c r="F4" s="781"/>
      <c r="G4" s="781"/>
      <c r="H4" s="781"/>
      <c r="I4" s="781"/>
      <c r="J4" s="781"/>
      <c r="K4" s="781"/>
      <c r="L4" s="781"/>
      <c r="M4" s="781"/>
      <c r="N4" s="781"/>
      <c r="O4" s="781"/>
      <c r="P4" s="781"/>
    </row>
    <row r="5" spans="1:19" ht="18.95" customHeight="1" thickBot="1" x14ac:dyDescent="0.3">
      <c r="A5" s="182"/>
      <c r="B5" s="285"/>
      <c r="C5" s="285"/>
      <c r="D5" s="281"/>
      <c r="E5" s="285"/>
      <c r="F5" s="285"/>
      <c r="G5" s="284"/>
      <c r="H5" s="182"/>
      <c r="I5" s="281"/>
      <c r="J5" s="281"/>
      <c r="K5" s="281"/>
      <c r="L5" s="281"/>
      <c r="M5" s="281"/>
      <c r="N5" s="281"/>
      <c r="O5" s="182"/>
      <c r="P5" s="182"/>
    </row>
    <row r="6" spans="1:19" ht="18.95" customHeight="1" x14ac:dyDescent="0.25">
      <c r="A6" s="213" t="s">
        <v>229</v>
      </c>
      <c r="B6" s="442"/>
      <c r="C6" s="442"/>
      <c r="D6" s="438"/>
      <c r="E6" s="442"/>
      <c r="F6" s="442"/>
      <c r="G6" s="441"/>
      <c r="H6" s="203"/>
      <c r="I6" s="438"/>
      <c r="J6" s="438"/>
      <c r="K6" s="440"/>
      <c r="L6" s="439" t="s">
        <v>180</v>
      </c>
      <c r="M6" s="438"/>
      <c r="N6" s="438"/>
      <c r="O6" s="203"/>
      <c r="P6" s="201"/>
    </row>
    <row r="7" spans="1:19" ht="18.95" customHeight="1" x14ac:dyDescent="0.25">
      <c r="A7" s="193"/>
      <c r="B7" s="285"/>
      <c r="C7" s="285"/>
      <c r="D7" s="281"/>
      <c r="E7" s="285"/>
      <c r="F7" s="285"/>
      <c r="G7" s="284"/>
      <c r="H7" s="182"/>
      <c r="I7" s="281"/>
      <c r="J7" s="281"/>
      <c r="K7" s="434"/>
      <c r="L7" s="437" t="s">
        <v>179</v>
      </c>
      <c r="M7" s="436"/>
      <c r="N7" s="436" t="s">
        <v>178</v>
      </c>
      <c r="O7" s="182"/>
      <c r="P7" s="180"/>
    </row>
    <row r="8" spans="1:19" ht="18.95" customHeight="1" x14ac:dyDescent="0.25">
      <c r="A8" s="193"/>
      <c r="B8" s="285"/>
      <c r="C8" s="285"/>
      <c r="D8" s="281"/>
      <c r="E8" s="285"/>
      <c r="F8" s="285"/>
      <c r="G8" s="284"/>
      <c r="H8" s="182"/>
      <c r="I8" s="435"/>
      <c r="J8" s="281"/>
      <c r="K8" s="434"/>
      <c r="L8" s="433" t="s">
        <v>177</v>
      </c>
      <c r="M8" s="432"/>
      <c r="N8" s="281"/>
      <c r="O8" s="190" t="s">
        <v>176</v>
      </c>
      <c r="P8" s="180"/>
    </row>
    <row r="9" spans="1:19" ht="18.95" customHeight="1" x14ac:dyDescent="0.25">
      <c r="A9" s="193"/>
      <c r="B9" s="285"/>
      <c r="C9" s="285"/>
      <c r="D9" s="281"/>
      <c r="E9" s="285"/>
      <c r="F9" s="285"/>
      <c r="G9" s="284"/>
      <c r="H9" s="182"/>
      <c r="I9" s="435"/>
      <c r="J9" s="281"/>
      <c r="K9" s="434"/>
      <c r="L9" s="433" t="s">
        <v>175</v>
      </c>
      <c r="M9" s="432"/>
      <c r="N9" s="281"/>
      <c r="O9" s="190" t="s">
        <v>174</v>
      </c>
      <c r="P9" s="180"/>
    </row>
    <row r="10" spans="1:19" ht="18.95" customHeight="1" thickBot="1" x14ac:dyDescent="0.3">
      <c r="A10" s="193"/>
      <c r="B10" s="285"/>
      <c r="C10" s="285"/>
      <c r="D10" s="281"/>
      <c r="E10" s="285"/>
      <c r="F10" s="285"/>
      <c r="G10" s="284"/>
      <c r="H10" s="182"/>
      <c r="I10" s="281"/>
      <c r="J10" s="281"/>
      <c r="K10" s="434"/>
      <c r="L10" s="433" t="s">
        <v>173</v>
      </c>
      <c r="M10" s="432"/>
      <c r="N10" s="281"/>
      <c r="O10" s="190" t="s">
        <v>172</v>
      </c>
      <c r="P10" s="180"/>
    </row>
    <row r="11" spans="1:19" ht="18.95" customHeight="1" thickBot="1" x14ac:dyDescent="0.3">
      <c r="A11" s="784" t="s">
        <v>171</v>
      </c>
      <c r="B11" s="785"/>
      <c r="C11" s="785"/>
      <c r="D11" s="785"/>
      <c r="E11" s="785"/>
      <c r="F11" s="785"/>
      <c r="G11" s="785"/>
      <c r="H11" s="785"/>
      <c r="I11" s="785"/>
      <c r="J11" s="785"/>
      <c r="K11" s="785"/>
      <c r="L11" s="785"/>
      <c r="M11" s="785"/>
      <c r="N11" s="785"/>
      <c r="O11" s="785"/>
      <c r="P11" s="786"/>
    </row>
    <row r="12" spans="1:19" ht="18.95" customHeight="1" x14ac:dyDescent="0.25">
      <c r="A12" s="740" t="s">
        <v>170</v>
      </c>
      <c r="B12" s="787" t="s">
        <v>168</v>
      </c>
      <c r="C12" s="787" t="s">
        <v>167</v>
      </c>
      <c r="D12" s="790" t="s">
        <v>166</v>
      </c>
      <c r="E12" s="793" t="s">
        <v>165</v>
      </c>
      <c r="F12" s="794"/>
      <c r="G12" s="795"/>
      <c r="H12" s="760" t="s">
        <v>164</v>
      </c>
      <c r="I12" s="761"/>
      <c r="J12" s="790" t="s">
        <v>163</v>
      </c>
      <c r="K12" s="799" t="s">
        <v>162</v>
      </c>
      <c r="L12" s="799"/>
      <c r="M12" s="799"/>
      <c r="N12" s="799"/>
      <c r="O12" s="799"/>
      <c r="P12" s="749" t="s">
        <v>161</v>
      </c>
    </row>
    <row r="13" spans="1:19" ht="30" customHeight="1" x14ac:dyDescent="0.25">
      <c r="A13" s="741"/>
      <c r="B13" s="788"/>
      <c r="C13" s="788"/>
      <c r="D13" s="791"/>
      <c r="E13" s="796"/>
      <c r="F13" s="797"/>
      <c r="G13" s="798"/>
      <c r="H13" s="762"/>
      <c r="I13" s="763"/>
      <c r="J13" s="791"/>
      <c r="K13" s="782" t="s">
        <v>160</v>
      </c>
      <c r="L13" s="782"/>
      <c r="M13" s="773" t="s">
        <v>228</v>
      </c>
      <c r="N13" s="773"/>
      <c r="O13" s="773"/>
      <c r="P13" s="750"/>
    </row>
    <row r="14" spans="1:19" ht="45.75" customHeight="1" thickBot="1" x14ac:dyDescent="0.3">
      <c r="A14" s="742"/>
      <c r="B14" s="789"/>
      <c r="C14" s="789"/>
      <c r="D14" s="792"/>
      <c r="E14" s="431" t="s">
        <v>158</v>
      </c>
      <c r="F14" s="431" t="s">
        <v>157</v>
      </c>
      <c r="G14" s="430" t="s">
        <v>156</v>
      </c>
      <c r="H14" s="162" t="s">
        <v>155</v>
      </c>
      <c r="I14" s="429" t="s">
        <v>154</v>
      </c>
      <c r="J14" s="792"/>
      <c r="K14" s="428" t="s">
        <v>153</v>
      </c>
      <c r="L14" s="428" t="s">
        <v>152</v>
      </c>
      <c r="M14" s="427" t="s">
        <v>151</v>
      </c>
      <c r="N14" s="427" t="s">
        <v>150</v>
      </c>
      <c r="O14" s="160" t="s">
        <v>149</v>
      </c>
      <c r="P14" s="751"/>
    </row>
    <row r="15" spans="1:19" s="60" customFormat="1" ht="19.5" customHeight="1" x14ac:dyDescent="0.25">
      <c r="A15" s="423" t="s">
        <v>148</v>
      </c>
      <c r="B15" s="426" t="s">
        <v>147</v>
      </c>
      <c r="C15" s="426" t="s">
        <v>227</v>
      </c>
      <c r="D15" s="424" t="s">
        <v>146</v>
      </c>
      <c r="E15" s="426" t="s">
        <v>145</v>
      </c>
      <c r="F15" s="426" t="s">
        <v>144</v>
      </c>
      <c r="G15" s="425" t="s">
        <v>143</v>
      </c>
      <c r="H15" s="423" t="s">
        <v>142</v>
      </c>
      <c r="I15" s="424" t="s">
        <v>141</v>
      </c>
      <c r="J15" s="424" t="s">
        <v>140</v>
      </c>
      <c r="K15" s="424" t="s">
        <v>139</v>
      </c>
      <c r="L15" s="424" t="s">
        <v>138</v>
      </c>
      <c r="M15" s="424" t="s">
        <v>137</v>
      </c>
      <c r="N15" s="424" t="s">
        <v>136</v>
      </c>
      <c r="O15" s="423" t="s">
        <v>135</v>
      </c>
      <c r="P15" s="422" t="s">
        <v>226</v>
      </c>
      <c r="S15" s="421"/>
    </row>
    <row r="16" spans="1:19" s="60" customFormat="1" ht="19.5" customHeight="1" x14ac:dyDescent="0.25">
      <c r="A16" s="420" t="s">
        <v>132</v>
      </c>
      <c r="B16" s="416" t="e">
        <f>SUM(#REF!+#REF!+B45+B55+B76)</f>
        <v>#REF!</v>
      </c>
      <c r="C16" s="416" t="e">
        <f>SUM(#REF!+#REF!+C45+C55+C76)</f>
        <v>#REF!</v>
      </c>
      <c r="D16" s="418"/>
      <c r="E16" s="416" t="e">
        <f>SUM(#REF!+#REF!+E45+E55+E76)</f>
        <v>#REF!</v>
      </c>
      <c r="F16" s="416" t="e">
        <f>SUM(#REF!+#REF!+F45+F55+F76)</f>
        <v>#REF!</v>
      </c>
      <c r="G16" s="416" t="e">
        <f>SUM(#REF!+#REF!+G45+G55+G76)</f>
        <v>#REF!</v>
      </c>
      <c r="H16" s="419"/>
      <c r="I16" s="418"/>
      <c r="J16" s="418"/>
      <c r="K16" s="416" t="e">
        <f>SUM(#REF!+#REF!+K45+K55+K76)</f>
        <v>#REF!</v>
      </c>
      <c r="L16" s="416" t="e">
        <f>SUM(#REF!+#REF!+L45+L55+L76)</f>
        <v>#REF!</v>
      </c>
      <c r="M16" s="416" t="e">
        <f>SUM(#REF!+#REF!+M45+M55+M76)</f>
        <v>#REF!</v>
      </c>
      <c r="N16" s="417" t="s">
        <v>225</v>
      </c>
      <c r="O16" s="416" t="e">
        <f>SUM(#REF!+#REF!+O45+O55+O76)</f>
        <v>#REF!</v>
      </c>
      <c r="P16" s="415"/>
      <c r="S16" s="306"/>
    </row>
    <row r="17" spans="1:19" s="60" customFormat="1" ht="19.5" customHeight="1" x14ac:dyDescent="0.25">
      <c r="A17" s="381" t="s">
        <v>224</v>
      </c>
      <c r="B17" s="405"/>
      <c r="C17" s="403"/>
      <c r="D17" s="403"/>
      <c r="E17" s="403"/>
      <c r="F17" s="403"/>
      <c r="G17" s="414"/>
      <c r="H17" s="413"/>
      <c r="I17" s="395"/>
      <c r="J17" s="395"/>
      <c r="K17" s="395"/>
      <c r="L17" s="412"/>
      <c r="M17" s="411"/>
      <c r="N17" s="410"/>
      <c r="O17" s="409"/>
      <c r="P17" s="408"/>
      <c r="S17" s="306"/>
    </row>
    <row r="18" spans="1:19" s="60" customFormat="1" ht="19.5" customHeight="1" x14ac:dyDescent="0.25">
      <c r="A18" s="407" t="s">
        <v>223</v>
      </c>
      <c r="B18" s="331"/>
      <c r="C18" s="329"/>
      <c r="D18" s="330"/>
      <c r="E18" s="329"/>
      <c r="F18" s="336"/>
      <c r="G18" s="372"/>
      <c r="H18" s="371"/>
      <c r="I18" s="326"/>
      <c r="J18" s="325"/>
      <c r="K18" s="335"/>
      <c r="L18" s="334"/>
      <c r="M18" s="370"/>
      <c r="N18" s="370"/>
      <c r="O18" s="369"/>
      <c r="P18" s="333"/>
      <c r="S18" s="306"/>
    </row>
    <row r="19" spans="1:19" s="60" customFormat="1" ht="19.5" customHeight="1" x14ac:dyDescent="0.25">
      <c r="A19" s="406" t="s">
        <v>7</v>
      </c>
      <c r="B19" s="331">
        <v>248</v>
      </c>
      <c r="C19" s="329">
        <v>496</v>
      </c>
      <c r="D19" s="330" t="s">
        <v>222</v>
      </c>
      <c r="E19" s="329"/>
      <c r="F19" s="336">
        <v>24.8</v>
      </c>
      <c r="G19" s="336">
        <f>SUM(E19:F19)</f>
        <v>24.8</v>
      </c>
      <c r="H19" s="327">
        <v>3.923411893241767</v>
      </c>
      <c r="I19" s="326">
        <v>2.95</v>
      </c>
      <c r="J19" s="325">
        <f>(H19-I19)/H19</f>
        <v>0.24810341603911318</v>
      </c>
      <c r="K19" s="335">
        <v>7470</v>
      </c>
      <c r="L19" s="334">
        <f>(G19*K19)*J19</f>
        <v>45962.646441741948</v>
      </c>
      <c r="M19" s="322">
        <f>G19*H19*J19</f>
        <v>24.140614952395815</v>
      </c>
      <c r="N19" s="322">
        <v>17</v>
      </c>
      <c r="O19" s="321">
        <f>M19*1000*17</f>
        <v>410390.45419072884</v>
      </c>
      <c r="P19" s="333"/>
      <c r="S19" s="306"/>
    </row>
    <row r="20" spans="1:19" s="60" customFormat="1" ht="19.5" customHeight="1" x14ac:dyDescent="0.25">
      <c r="A20" s="406" t="s">
        <v>24</v>
      </c>
      <c r="B20" s="331">
        <v>1619</v>
      </c>
      <c r="C20" s="329">
        <v>2615</v>
      </c>
      <c r="D20" s="330" t="s">
        <v>222</v>
      </c>
      <c r="E20" s="329"/>
      <c r="F20" s="336">
        <v>523</v>
      </c>
      <c r="G20" s="336">
        <f>SUM(E20:F20)</f>
        <v>523</v>
      </c>
      <c r="H20" s="327">
        <v>3.923411893241767</v>
      </c>
      <c r="I20" s="326">
        <v>2.95</v>
      </c>
      <c r="J20" s="325">
        <f>(H20-I20)/H20</f>
        <v>0.24810341603911318</v>
      </c>
      <c r="K20" s="335">
        <v>7470</v>
      </c>
      <c r="L20" s="334">
        <f>(G20*K20)*J20</f>
        <v>969292.90681576775</v>
      </c>
      <c r="M20" s="322">
        <f>G20*H20*J20</f>
        <v>509.09442016544403</v>
      </c>
      <c r="N20" s="322">
        <v>17</v>
      </c>
      <c r="O20" s="321">
        <f>M20*1000*17</f>
        <v>8654605.1428125482</v>
      </c>
      <c r="P20" s="333"/>
      <c r="S20" s="306"/>
    </row>
    <row r="21" spans="1:19" s="60" customFormat="1" ht="19.5" customHeight="1" x14ac:dyDescent="0.25">
      <c r="A21" s="406" t="s">
        <v>221</v>
      </c>
      <c r="B21" s="331">
        <v>300</v>
      </c>
      <c r="C21" s="329">
        <v>379</v>
      </c>
      <c r="D21" s="330">
        <v>0</v>
      </c>
      <c r="E21" s="329">
        <v>112</v>
      </c>
      <c r="F21" s="336">
        <v>267</v>
      </c>
      <c r="G21" s="336">
        <v>379</v>
      </c>
      <c r="H21" s="327">
        <v>7.846823786483534</v>
      </c>
      <c r="I21" s="326">
        <v>3.52</v>
      </c>
      <c r="J21" s="325">
        <v>1.1028217032059928</v>
      </c>
      <c r="K21" s="335">
        <v>40934</v>
      </c>
      <c r="L21" s="334">
        <v>1727136.1804473833</v>
      </c>
      <c r="M21" s="322">
        <v>522.49310753862972</v>
      </c>
      <c r="N21" s="322">
        <v>34</v>
      </c>
      <c r="O21" s="321">
        <v>8882382.8281567041</v>
      </c>
      <c r="P21" s="333"/>
      <c r="S21" s="306"/>
    </row>
    <row r="22" spans="1:19" s="60" customFormat="1" ht="19.5" customHeight="1" x14ac:dyDescent="0.25">
      <c r="A22" s="373"/>
      <c r="B22" s="331"/>
      <c r="C22" s="329"/>
      <c r="D22" s="330"/>
      <c r="E22" s="329"/>
      <c r="F22" s="336"/>
      <c r="G22" s="372"/>
      <c r="H22" s="371"/>
      <c r="I22" s="326"/>
      <c r="J22" s="325"/>
      <c r="K22" s="335"/>
      <c r="L22" s="334"/>
      <c r="M22" s="370"/>
      <c r="N22" s="370"/>
      <c r="O22" s="369"/>
      <c r="P22" s="320"/>
      <c r="S22" s="306"/>
    </row>
    <row r="23" spans="1:19" s="60" customFormat="1" ht="19.5" customHeight="1" x14ac:dyDescent="0.25">
      <c r="A23" s="381" t="s">
        <v>46</v>
      </c>
      <c r="B23" s="405"/>
      <c r="C23" s="403"/>
      <c r="D23" s="404"/>
      <c r="E23" s="403"/>
      <c r="F23" s="402"/>
      <c r="G23" s="401"/>
      <c r="H23" s="400"/>
      <c r="I23" s="399"/>
      <c r="J23" s="398"/>
      <c r="K23" s="397"/>
      <c r="L23" s="396"/>
      <c r="M23" s="395"/>
      <c r="N23" s="395"/>
      <c r="O23" s="394"/>
      <c r="P23" s="355"/>
      <c r="S23" s="306"/>
    </row>
    <row r="24" spans="1:19" s="60" customFormat="1" ht="19.5" customHeight="1" x14ac:dyDescent="0.25">
      <c r="A24" s="332" t="s">
        <v>47</v>
      </c>
      <c r="B24" s="393">
        <v>105</v>
      </c>
      <c r="C24" s="391">
        <v>126</v>
      </c>
      <c r="D24" s="392">
        <v>0</v>
      </c>
      <c r="E24" s="391">
        <v>0</v>
      </c>
      <c r="F24" s="390">
        <v>126</v>
      </c>
      <c r="G24" s="389">
        <v>126</v>
      </c>
      <c r="H24" s="388">
        <v>8.9564395218477753</v>
      </c>
      <c r="I24" s="387">
        <v>7.1400000000000006</v>
      </c>
      <c r="J24" s="386">
        <v>0.4056164321585306</v>
      </c>
      <c r="K24" s="385">
        <v>40934</v>
      </c>
      <c r="L24" s="384">
        <v>563210.73653651855</v>
      </c>
      <c r="M24" s="383">
        <v>98.155689876409824</v>
      </c>
      <c r="N24" s="383">
        <v>34</v>
      </c>
      <c r="O24" s="382">
        <v>1668646.7278989672</v>
      </c>
      <c r="P24" s="320"/>
      <c r="S24" s="306"/>
    </row>
    <row r="25" spans="1:19" s="60" customFormat="1" ht="19.5" customHeight="1" x14ac:dyDescent="0.25">
      <c r="A25" s="332" t="s">
        <v>48</v>
      </c>
      <c r="B25" s="331">
        <v>170</v>
      </c>
      <c r="C25" s="329">
        <v>210</v>
      </c>
      <c r="D25" s="330" t="s">
        <v>120</v>
      </c>
      <c r="E25" s="329">
        <v>16</v>
      </c>
      <c r="F25" s="336">
        <v>194</v>
      </c>
      <c r="G25" s="336">
        <f>SUM(E25:F25)</f>
        <v>210</v>
      </c>
      <c r="H25" s="327">
        <v>4.4782197609238876</v>
      </c>
      <c r="I25" s="326">
        <v>3.15</v>
      </c>
      <c r="J25" s="325">
        <f>(H25-I25)/H25</f>
        <v>0.29659548477582237</v>
      </c>
      <c r="K25" s="335">
        <v>7470</v>
      </c>
      <c r="L25" s="334">
        <f>(G25*K25)*J25</f>
        <v>465269.33696783253</v>
      </c>
      <c r="M25" s="322">
        <f>G25*H25*J25</f>
        <v>278.92614979401645</v>
      </c>
      <c r="N25" s="322">
        <v>17</v>
      </c>
      <c r="O25" s="321">
        <f>M25*1000*17</f>
        <v>4741744.5464982791</v>
      </c>
      <c r="P25" s="320"/>
      <c r="S25" s="306"/>
    </row>
    <row r="26" spans="1:19" s="60" customFormat="1" ht="19.5" customHeight="1" x14ac:dyDescent="0.25">
      <c r="A26" s="332" t="s">
        <v>52</v>
      </c>
      <c r="B26" s="331">
        <v>45</v>
      </c>
      <c r="C26" s="329">
        <v>261</v>
      </c>
      <c r="D26" s="330" t="s">
        <v>120</v>
      </c>
      <c r="E26" s="329">
        <v>52</v>
      </c>
      <c r="F26" s="336">
        <v>209</v>
      </c>
      <c r="G26" s="336">
        <f>SUM(E26:F26)</f>
        <v>261</v>
      </c>
      <c r="H26" s="327">
        <v>4.4782197609238876</v>
      </c>
      <c r="I26" s="326">
        <v>2.9</v>
      </c>
      <c r="J26" s="325">
        <f>(H26-I26)/H26</f>
        <v>0.35242123995234437</v>
      </c>
      <c r="K26" s="335">
        <v>7470</v>
      </c>
      <c r="L26" s="334">
        <f>(G26*K26)*J26</f>
        <v>687105.1188978873</v>
      </c>
      <c r="M26" s="322">
        <f>G26*H26*J26</f>
        <v>411.91535760113464</v>
      </c>
      <c r="N26" s="322">
        <v>17</v>
      </c>
      <c r="O26" s="321">
        <f>M26*1000*17</f>
        <v>7002561.0792192891</v>
      </c>
      <c r="P26" s="333"/>
      <c r="S26" s="306"/>
    </row>
    <row r="27" spans="1:19" s="60" customFormat="1" ht="19.5" customHeight="1" x14ac:dyDescent="0.25">
      <c r="A27" s="332" t="s">
        <v>50</v>
      </c>
      <c r="B27" s="331">
        <v>3020</v>
      </c>
      <c r="C27" s="329">
        <v>3204</v>
      </c>
      <c r="D27" s="330" t="s">
        <v>120</v>
      </c>
      <c r="E27" s="329">
        <v>5</v>
      </c>
      <c r="F27" s="336">
        <v>3199</v>
      </c>
      <c r="G27" s="336">
        <f>SUM(E27:F27)</f>
        <v>3204</v>
      </c>
      <c r="H27" s="327">
        <v>4.4782197609238876</v>
      </c>
      <c r="I27" s="326">
        <v>2.9</v>
      </c>
      <c r="J27" s="325">
        <f>(H27-I27)/H27</f>
        <v>0.35242123995234437</v>
      </c>
      <c r="K27" s="335">
        <v>7470</v>
      </c>
      <c r="L27" s="334">
        <f>(G27*K27)*J27</f>
        <v>8434807.6664706152</v>
      </c>
      <c r="M27" s="322">
        <f>G27*H27*J27</f>
        <v>5056.6161140001359</v>
      </c>
      <c r="N27" s="322">
        <v>17</v>
      </c>
      <c r="O27" s="321">
        <f>M27*1000*17</f>
        <v>85962473.938002318</v>
      </c>
      <c r="P27" s="333"/>
      <c r="S27" s="306"/>
    </row>
    <row r="28" spans="1:19" s="60" customFormat="1" ht="19.5" customHeight="1" x14ac:dyDescent="0.25">
      <c r="A28" s="332" t="s">
        <v>51</v>
      </c>
      <c r="B28" s="331">
        <v>50</v>
      </c>
      <c r="C28" s="329">
        <v>72</v>
      </c>
      <c r="D28" s="330" t="s">
        <v>120</v>
      </c>
      <c r="E28" s="329">
        <v>30</v>
      </c>
      <c r="F28" s="336">
        <v>42</v>
      </c>
      <c r="G28" s="336">
        <f>SUM(E28:F28)</f>
        <v>72</v>
      </c>
      <c r="H28" s="327">
        <v>4.4782197609238876</v>
      </c>
      <c r="I28" s="326">
        <v>2.9</v>
      </c>
      <c r="J28" s="325">
        <f>(H28-I28)/H28</f>
        <v>0.35242123995234437</v>
      </c>
      <c r="K28" s="335">
        <v>7470</v>
      </c>
      <c r="L28" s="334">
        <f>(G28*K28)*J28</f>
        <v>189546.23969596889</v>
      </c>
      <c r="M28" s="322">
        <f>G28*H28*J28</f>
        <v>113.6318227865199</v>
      </c>
      <c r="N28" s="322">
        <v>17</v>
      </c>
      <c r="O28" s="321">
        <f>M28*1000*17</f>
        <v>1931740.9873708384</v>
      </c>
      <c r="P28" s="333"/>
      <c r="S28" s="306"/>
    </row>
    <row r="29" spans="1:19" s="60" customFormat="1" ht="19.5" customHeight="1" x14ac:dyDescent="0.25">
      <c r="A29" s="332" t="s">
        <v>53</v>
      </c>
      <c r="B29" s="331">
        <v>1080</v>
      </c>
      <c r="C29" s="329">
        <v>1907</v>
      </c>
      <c r="D29" s="330" t="s">
        <v>120</v>
      </c>
      <c r="E29" s="329">
        <v>190.7</v>
      </c>
      <c r="F29" s="336">
        <v>1716.3</v>
      </c>
      <c r="G29" s="336">
        <f>SUM(E29:F29)</f>
        <v>1907</v>
      </c>
      <c r="H29" s="327">
        <v>4.4782197609238876</v>
      </c>
      <c r="I29" s="326">
        <v>2.9</v>
      </c>
      <c r="J29" s="325">
        <f>(H29-I29)/H29</f>
        <v>0.35242123995234437</v>
      </c>
      <c r="K29" s="335">
        <v>7470</v>
      </c>
      <c r="L29" s="334">
        <f>(G29*K29)*J29</f>
        <v>5020342.765280732</v>
      </c>
      <c r="M29" s="322">
        <f>G29*H29*J29</f>
        <v>3009.6650840818538</v>
      </c>
      <c r="N29" s="322">
        <v>17</v>
      </c>
      <c r="O29" s="321">
        <f>M29*1000*17</f>
        <v>51164306.429391511</v>
      </c>
      <c r="P29" s="333"/>
      <c r="S29" s="306"/>
    </row>
    <row r="30" spans="1:19" s="60" customFormat="1" ht="19.5" customHeight="1" x14ac:dyDescent="0.25">
      <c r="A30" s="373"/>
      <c r="B30" s="331"/>
      <c r="C30" s="329"/>
      <c r="D30" s="330"/>
      <c r="E30" s="329"/>
      <c r="F30" s="336"/>
      <c r="G30" s="372"/>
      <c r="H30" s="371"/>
      <c r="I30" s="326"/>
      <c r="J30" s="325"/>
      <c r="K30" s="335"/>
      <c r="L30" s="334"/>
      <c r="M30" s="370"/>
      <c r="N30" s="370"/>
      <c r="O30" s="369"/>
      <c r="P30" s="333"/>
      <c r="S30" s="306"/>
    </row>
    <row r="31" spans="1:19" s="60" customFormat="1" ht="19.5" customHeight="1" x14ac:dyDescent="0.25">
      <c r="A31" s="381" t="s">
        <v>54</v>
      </c>
      <c r="B31" s="367"/>
      <c r="C31" s="365"/>
      <c r="D31" s="366"/>
      <c r="E31" s="365"/>
      <c r="F31" s="364"/>
      <c r="G31" s="363"/>
      <c r="H31" s="362"/>
      <c r="I31" s="361"/>
      <c r="J31" s="360"/>
      <c r="K31" s="359"/>
      <c r="L31" s="358"/>
      <c r="M31" s="357"/>
      <c r="N31" s="357"/>
      <c r="O31" s="356"/>
      <c r="P31" s="355"/>
      <c r="S31" s="306"/>
    </row>
    <row r="32" spans="1:19" s="457" customFormat="1" ht="19.5" customHeight="1" x14ac:dyDescent="0.25">
      <c r="A32" s="443" t="s">
        <v>55</v>
      </c>
      <c r="B32" s="444">
        <v>708</v>
      </c>
      <c r="C32" s="445">
        <v>1496</v>
      </c>
      <c r="D32" s="446">
        <v>0</v>
      </c>
      <c r="E32" s="445">
        <v>0</v>
      </c>
      <c r="F32" s="447">
        <v>1496</v>
      </c>
      <c r="G32" s="448">
        <v>1496</v>
      </c>
      <c r="H32" s="449">
        <v>5.3219306723072153</v>
      </c>
      <c r="I32" s="450">
        <v>4</v>
      </c>
      <c r="J32" s="451">
        <v>0.49678613033646263</v>
      </c>
      <c r="K32" s="452">
        <v>51238</v>
      </c>
      <c r="L32" s="453">
        <v>11404298.416281777</v>
      </c>
      <c r="M32" s="454">
        <v>988.80414288579709</v>
      </c>
      <c r="N32" s="454">
        <v>34</v>
      </c>
      <c r="O32" s="455">
        <v>16809670.429058548</v>
      </c>
      <c r="P32" s="456"/>
      <c r="S32" s="458"/>
    </row>
    <row r="33" spans="1:19" s="457" customFormat="1" ht="19.5" customHeight="1" x14ac:dyDescent="0.25">
      <c r="A33" s="459" t="s">
        <v>99</v>
      </c>
      <c r="B33" s="444">
        <v>1032</v>
      </c>
      <c r="C33" s="445">
        <v>1164</v>
      </c>
      <c r="D33" s="446">
        <v>0</v>
      </c>
      <c r="E33" s="445">
        <v>39.590000000000003</v>
      </c>
      <c r="F33" s="447">
        <v>1098</v>
      </c>
      <c r="G33" s="447">
        <v>1137.5899999999999</v>
      </c>
      <c r="H33" s="460">
        <v>2.6609653361536076</v>
      </c>
      <c r="I33" s="450">
        <v>1.85</v>
      </c>
      <c r="J33" s="451">
        <v>1.3047635852806139</v>
      </c>
      <c r="K33" s="452">
        <v>51238</v>
      </c>
      <c r="L33" s="453">
        <v>3817550.1721071741</v>
      </c>
      <c r="M33" s="461">
        <v>898.54959245819703</v>
      </c>
      <c r="N33" s="461">
        <v>34</v>
      </c>
      <c r="O33" s="462">
        <v>15275343.07178935</v>
      </c>
      <c r="P33" s="456"/>
      <c r="S33" s="458"/>
    </row>
    <row r="34" spans="1:19" s="457" customFormat="1" ht="19.5" customHeight="1" x14ac:dyDescent="0.25">
      <c r="A34" s="459" t="s">
        <v>59</v>
      </c>
      <c r="B34" s="444">
        <v>206</v>
      </c>
      <c r="C34" s="445">
        <v>361</v>
      </c>
      <c r="D34" s="446">
        <v>0</v>
      </c>
      <c r="E34" s="445">
        <v>23</v>
      </c>
      <c r="F34" s="447">
        <v>338</v>
      </c>
      <c r="G34" s="447">
        <v>361</v>
      </c>
      <c r="H34" s="460">
        <v>5.3219306723072153</v>
      </c>
      <c r="I34" s="450">
        <v>4</v>
      </c>
      <c r="J34" s="451">
        <v>0.49678613033646263</v>
      </c>
      <c r="K34" s="452">
        <v>40934</v>
      </c>
      <c r="L34" s="453">
        <v>1812675.2195162061</v>
      </c>
      <c r="M34" s="461">
        <v>238.60848635145237</v>
      </c>
      <c r="N34" s="461">
        <v>34</v>
      </c>
      <c r="O34" s="462">
        <v>4056344.2679746901</v>
      </c>
      <c r="P34" s="456"/>
      <c r="S34" s="458"/>
    </row>
    <row r="35" spans="1:19" s="457" customFormat="1" ht="19.5" customHeight="1" x14ac:dyDescent="0.25">
      <c r="A35" s="459" t="s">
        <v>61</v>
      </c>
      <c r="B35" s="444">
        <v>650</v>
      </c>
      <c r="C35" s="445">
        <v>647</v>
      </c>
      <c r="D35" s="446">
        <v>0</v>
      </c>
      <c r="E35" s="445">
        <v>7.5</v>
      </c>
      <c r="F35" s="447">
        <v>16.5</v>
      </c>
      <c r="G35" s="447">
        <v>647</v>
      </c>
      <c r="H35" s="460">
        <v>5.3219306723072153</v>
      </c>
      <c r="I35" s="450">
        <v>3.7800000000000002</v>
      </c>
      <c r="J35" s="451">
        <v>0.5783930651682313</v>
      </c>
      <c r="K35" s="452">
        <v>51238</v>
      </c>
      <c r="L35" s="453">
        <v>1502616.6906105666</v>
      </c>
      <c r="M35" s="461">
        <v>432.85624988603405</v>
      </c>
      <c r="N35" s="461">
        <v>34</v>
      </c>
      <c r="O35" s="462">
        <v>7358556.2480625799</v>
      </c>
      <c r="P35" s="456"/>
      <c r="S35" s="458"/>
    </row>
    <row r="36" spans="1:19" s="60" customFormat="1" ht="19.5" hidden="1" customHeight="1" x14ac:dyDescent="0.25">
      <c r="A36" s="332"/>
      <c r="B36" s="331"/>
      <c r="C36" s="329"/>
      <c r="D36" s="330"/>
      <c r="E36" s="329"/>
      <c r="F36" s="328"/>
      <c r="G36" s="328"/>
      <c r="H36" s="327"/>
      <c r="I36" s="326"/>
      <c r="J36" s="325"/>
      <c r="K36" s="324"/>
      <c r="L36" s="323"/>
      <c r="M36" s="379"/>
      <c r="N36" s="379"/>
      <c r="O36" s="380"/>
      <c r="P36" s="320"/>
      <c r="S36" s="306"/>
    </row>
    <row r="37" spans="1:19" s="457" customFormat="1" ht="19.5" customHeight="1" x14ac:dyDescent="0.25">
      <c r="A37" s="459" t="s">
        <v>124</v>
      </c>
      <c r="B37" s="444">
        <v>310</v>
      </c>
      <c r="C37" s="445">
        <v>317</v>
      </c>
      <c r="D37" s="446">
        <v>0</v>
      </c>
      <c r="E37" s="445">
        <v>165.55</v>
      </c>
      <c r="F37" s="447">
        <v>122.35000000000001</v>
      </c>
      <c r="G37" s="447">
        <v>287.89999999999998</v>
      </c>
      <c r="H37" s="460">
        <v>5.3219306723072153</v>
      </c>
      <c r="I37" s="450">
        <v>2.35</v>
      </c>
      <c r="J37" s="451">
        <v>1.1168618515726718</v>
      </c>
      <c r="K37" s="452">
        <v>40934</v>
      </c>
      <c r="L37" s="453">
        <v>1890550.0947576233</v>
      </c>
      <c r="M37" s="461">
        <v>495.56192027862363</v>
      </c>
      <c r="N37" s="461">
        <v>34</v>
      </c>
      <c r="O37" s="462">
        <v>8424552.6447366029</v>
      </c>
      <c r="P37" s="456"/>
      <c r="S37" s="458"/>
    </row>
    <row r="38" spans="1:19" s="457" customFormat="1" ht="19.5" customHeight="1" x14ac:dyDescent="0.25">
      <c r="A38" s="459" t="s">
        <v>69</v>
      </c>
      <c r="B38" s="444">
        <v>1656</v>
      </c>
      <c r="C38" s="445">
        <v>1822</v>
      </c>
      <c r="D38" s="446">
        <v>0</v>
      </c>
      <c r="E38" s="445">
        <v>326.39999999999998</v>
      </c>
      <c r="F38" s="447">
        <v>1495.6</v>
      </c>
      <c r="G38" s="447">
        <v>1822</v>
      </c>
      <c r="H38" s="460">
        <v>5.3219306723072153</v>
      </c>
      <c r="I38" s="450">
        <v>3.56</v>
      </c>
      <c r="J38" s="451">
        <v>0.66213965599945179</v>
      </c>
      <c r="K38" s="452">
        <v>40934</v>
      </c>
      <c r="L38" s="453">
        <v>6141080.4535325151</v>
      </c>
      <c r="M38" s="461">
        <v>1605.1188424718732</v>
      </c>
      <c r="N38" s="461">
        <v>34</v>
      </c>
      <c r="O38" s="462">
        <v>27287020.322021846</v>
      </c>
      <c r="P38" s="456"/>
      <c r="S38" s="458"/>
    </row>
    <row r="39" spans="1:19" s="60" customFormat="1" ht="19.5" customHeight="1" x14ac:dyDescent="0.25">
      <c r="A39" s="332" t="s">
        <v>220</v>
      </c>
      <c r="B39" s="331">
        <v>300</v>
      </c>
      <c r="C39" s="329">
        <v>270</v>
      </c>
      <c r="D39" s="330" t="s">
        <v>120</v>
      </c>
      <c r="E39" s="329"/>
      <c r="F39" s="328">
        <v>270</v>
      </c>
      <c r="G39" s="328">
        <f>SUM(E39:F39)</f>
        <v>270</v>
      </c>
      <c r="H39" s="327">
        <v>2.6609653361536076</v>
      </c>
      <c r="I39" s="326">
        <v>0.15</v>
      </c>
      <c r="J39" s="325">
        <f>(H39-I39)/H39</f>
        <v>0.94362947988761736</v>
      </c>
      <c r="K39" s="324">
        <v>7470</v>
      </c>
      <c r="L39" s="323">
        <f>(G39*K39)*J39</f>
        <v>1903206.2979853353</v>
      </c>
      <c r="M39" s="379">
        <f>G39*H39*J39</f>
        <v>677.96064076147411</v>
      </c>
      <c r="N39" s="379">
        <v>17</v>
      </c>
      <c r="O39" s="380">
        <f>M39*1000*17</f>
        <v>11525330.892945061</v>
      </c>
      <c r="P39" s="320"/>
      <c r="S39" s="306"/>
    </row>
    <row r="40" spans="1:19" s="60" customFormat="1" ht="19.5" customHeight="1" x14ac:dyDescent="0.25">
      <c r="A40" s="332" t="s">
        <v>68</v>
      </c>
      <c r="B40" s="331">
        <v>150</v>
      </c>
      <c r="C40" s="329">
        <v>138</v>
      </c>
      <c r="D40" s="330" t="s">
        <v>120</v>
      </c>
      <c r="E40" s="329">
        <v>138</v>
      </c>
      <c r="F40" s="328"/>
      <c r="G40" s="328">
        <f>F40+E40</f>
        <v>138</v>
      </c>
      <c r="H40" s="327">
        <v>2.6609653361536076</v>
      </c>
      <c r="I40" s="326"/>
      <c r="J40" s="325">
        <f>(H40-I40)/H40</f>
        <v>1</v>
      </c>
      <c r="K40" s="324">
        <v>7470</v>
      </c>
      <c r="L40" s="323">
        <f>(G40*K40)*J40</f>
        <v>1030860</v>
      </c>
      <c r="M40" s="379">
        <f>G40*H40*J40</f>
        <v>367.21321638919784</v>
      </c>
      <c r="N40" s="379">
        <v>17</v>
      </c>
      <c r="O40" s="380">
        <f>M40*1000*17</f>
        <v>6242624.6786163636</v>
      </c>
      <c r="P40" s="320"/>
      <c r="S40" s="306"/>
    </row>
    <row r="41" spans="1:19" s="60" customFormat="1" ht="19.5" customHeight="1" x14ac:dyDescent="0.25">
      <c r="A41" s="332" t="s">
        <v>126</v>
      </c>
      <c r="B41" s="331"/>
      <c r="C41" s="329">
        <v>82</v>
      </c>
      <c r="D41" s="330" t="s">
        <v>119</v>
      </c>
      <c r="E41" s="329">
        <v>7</v>
      </c>
      <c r="F41" s="328">
        <f>C41-E41</f>
        <v>75</v>
      </c>
      <c r="G41" s="328">
        <f>F41+E41</f>
        <v>82</v>
      </c>
      <c r="H41" s="327">
        <v>2.6609653361536076</v>
      </c>
      <c r="I41" s="326">
        <v>2.2000000000000002</v>
      </c>
      <c r="J41" s="325">
        <f>(H41-I41)/H41</f>
        <v>0.1732323716850544</v>
      </c>
      <c r="K41" s="324">
        <v>43768</v>
      </c>
      <c r="L41" s="334">
        <f>(G41*K41)*J41</f>
        <v>621726.82440073974</v>
      </c>
      <c r="M41" s="379">
        <f>G41*H41*J41</f>
        <v>37.799157564595809</v>
      </c>
      <c r="N41" s="379">
        <v>17</v>
      </c>
      <c r="O41" s="378">
        <f>M41*1000*17</f>
        <v>642585.67859812872</v>
      </c>
      <c r="P41" s="320"/>
      <c r="S41" s="306"/>
    </row>
    <row r="42" spans="1:19" s="60" customFormat="1" ht="19.5" customHeight="1" x14ac:dyDescent="0.25">
      <c r="A42" s="332" t="s">
        <v>66</v>
      </c>
      <c r="B42" s="331">
        <v>404</v>
      </c>
      <c r="C42" s="329">
        <v>740</v>
      </c>
      <c r="D42" s="330" t="s">
        <v>120</v>
      </c>
      <c r="E42" s="329">
        <v>81.760000000000005</v>
      </c>
      <c r="F42" s="328">
        <v>661.49</v>
      </c>
      <c r="G42" s="328">
        <f>SUM(E42:F42)</f>
        <v>743.25</v>
      </c>
      <c r="H42" s="327">
        <v>2.6609653361536076</v>
      </c>
      <c r="I42" s="326">
        <v>1.85</v>
      </c>
      <c r="J42" s="325">
        <f>(H42-I42)/H42</f>
        <v>0.30476358528061392</v>
      </c>
      <c r="K42" s="324">
        <v>7470</v>
      </c>
      <c r="L42" s="323">
        <f>(G42*K42)*J42</f>
        <v>1692071.0446558278</v>
      </c>
      <c r="M42" s="379">
        <f>G42*H42*J42</f>
        <v>602.74998609616875</v>
      </c>
      <c r="N42" s="379">
        <v>17</v>
      </c>
      <c r="O42" s="380">
        <f>M42*1000*17</f>
        <v>10246749.763634868</v>
      </c>
      <c r="P42" s="320"/>
      <c r="S42" s="306"/>
    </row>
    <row r="43" spans="1:19" s="457" customFormat="1" ht="19.5" customHeight="1" x14ac:dyDescent="0.25">
      <c r="A43" s="459" t="s">
        <v>65</v>
      </c>
      <c r="B43" s="444">
        <v>70</v>
      </c>
      <c r="C43" s="444">
        <v>54</v>
      </c>
      <c r="D43" s="444">
        <v>0</v>
      </c>
      <c r="E43" s="444">
        <v>21.75</v>
      </c>
      <c r="F43" s="444">
        <v>14</v>
      </c>
      <c r="G43" s="444">
        <v>35.75</v>
      </c>
      <c r="H43" s="444">
        <v>7.9828960084608234</v>
      </c>
      <c r="I43" s="444">
        <v>1.6</v>
      </c>
      <c r="J43" s="444">
        <v>2.3987144521345849</v>
      </c>
      <c r="K43" s="444">
        <v>84702</v>
      </c>
      <c r="L43" s="444">
        <v>516203.52697868843</v>
      </c>
      <c r="M43" s="444">
        <v>56.729510767491469</v>
      </c>
      <c r="N43" s="444">
        <v>51</v>
      </c>
      <c r="O43" s="444">
        <v>964401.68304735492</v>
      </c>
      <c r="P43" s="456"/>
      <c r="S43" s="458"/>
    </row>
    <row r="44" spans="1:19" s="60" customFormat="1" ht="19.5" customHeight="1" x14ac:dyDescent="0.25">
      <c r="A44" s="332"/>
      <c r="B44" s="331"/>
      <c r="C44" s="329"/>
      <c r="D44" s="330"/>
      <c r="E44" s="329"/>
      <c r="F44" s="336"/>
      <c r="G44" s="372"/>
      <c r="H44" s="371"/>
      <c r="I44" s="326"/>
      <c r="J44" s="325"/>
      <c r="K44" s="335"/>
      <c r="L44" s="334"/>
      <c r="M44" s="370"/>
      <c r="N44" s="370"/>
      <c r="O44" s="369"/>
      <c r="P44" s="333"/>
      <c r="S44" s="306"/>
    </row>
    <row r="45" spans="1:19" s="60" customFormat="1" ht="19.5" customHeight="1" x14ac:dyDescent="0.25">
      <c r="A45" s="373" t="s">
        <v>215</v>
      </c>
      <c r="B45" s="374">
        <f>SUM(B33:B44)</f>
        <v>4778</v>
      </c>
      <c r="C45" s="374">
        <f>SUM(C33:C44)</f>
        <v>5595</v>
      </c>
      <c r="D45" s="376"/>
      <c r="E45" s="375">
        <f>SUM(E33:E44)</f>
        <v>810.55</v>
      </c>
      <c r="F45" s="375">
        <f>SUM(F33:F44)</f>
        <v>4090.9399999999996</v>
      </c>
      <c r="G45" s="375">
        <f>F45+E45</f>
        <v>4901.49</v>
      </c>
      <c r="H45" s="371"/>
      <c r="I45" s="326"/>
      <c r="J45" s="325"/>
      <c r="K45" s="374">
        <f>SUM(K33:K44)</f>
        <v>376158</v>
      </c>
      <c r="L45" s="374">
        <f>SUM(L33:L44)</f>
        <v>20928540.324544679</v>
      </c>
      <c r="M45" s="374">
        <f>SUM(M33:M44)</f>
        <v>5413.1476030251079</v>
      </c>
      <c r="N45" s="377"/>
      <c r="O45" s="374">
        <f>SUM(O33:O44)</f>
        <v>92023509.251426846</v>
      </c>
      <c r="P45" s="333"/>
      <c r="S45" s="306"/>
    </row>
    <row r="46" spans="1:19" s="60" customFormat="1" ht="19.5" customHeight="1" x14ac:dyDescent="0.25">
      <c r="A46" s="373"/>
      <c r="B46" s="331"/>
      <c r="C46" s="329"/>
      <c r="D46" s="330"/>
      <c r="E46" s="329"/>
      <c r="F46" s="336"/>
      <c r="G46" s="372"/>
      <c r="H46" s="371"/>
      <c r="I46" s="326"/>
      <c r="J46" s="325"/>
      <c r="K46" s="335"/>
      <c r="L46" s="334"/>
      <c r="M46" s="370"/>
      <c r="N46" s="370"/>
      <c r="O46" s="369"/>
      <c r="P46" s="333"/>
      <c r="S46" s="306"/>
    </row>
    <row r="47" spans="1:19" s="60" customFormat="1" ht="19.5" customHeight="1" x14ac:dyDescent="0.25">
      <c r="A47" s="368" t="s">
        <v>71</v>
      </c>
      <c r="B47" s="367"/>
      <c r="C47" s="365"/>
      <c r="D47" s="366"/>
      <c r="E47" s="365"/>
      <c r="F47" s="364"/>
      <c r="G47" s="363"/>
      <c r="H47" s="362"/>
      <c r="I47" s="361"/>
      <c r="J47" s="360"/>
      <c r="K47" s="359"/>
      <c r="L47" s="358"/>
      <c r="M47" s="357"/>
      <c r="N47" s="357"/>
      <c r="O47" s="356"/>
      <c r="P47" s="355"/>
      <c r="S47" s="306"/>
    </row>
    <row r="48" spans="1:19" s="60" customFormat="1" ht="19.5" customHeight="1" x14ac:dyDescent="0.25">
      <c r="A48" s="332" t="s">
        <v>74</v>
      </c>
      <c r="B48" s="331">
        <v>300</v>
      </c>
      <c r="C48" s="329">
        <v>381</v>
      </c>
      <c r="D48" s="330" t="s">
        <v>120</v>
      </c>
      <c r="E48" s="329">
        <v>50</v>
      </c>
      <c r="F48" s="328">
        <v>331</v>
      </c>
      <c r="G48" s="336">
        <f>SUM(E48:F48)</f>
        <v>381</v>
      </c>
      <c r="H48" s="327">
        <v>2.9581715248210361</v>
      </c>
      <c r="I48" s="326">
        <v>1.77</v>
      </c>
      <c r="J48" s="325">
        <f t="shared" ref="J48:J53" si="0">(H48-I48)/H48</f>
        <v>0.40165741399762755</v>
      </c>
      <c r="K48" s="335">
        <v>7470</v>
      </c>
      <c r="L48" s="334">
        <f t="shared" ref="L48:L53" si="1">(G48*K48)*J48</f>
        <v>1143145.1162562279</v>
      </c>
      <c r="M48" s="322">
        <f t="shared" ref="M48:M53" si="2">G48*H48*J48</f>
        <v>452.6933509568147</v>
      </c>
      <c r="N48" s="322">
        <v>17</v>
      </c>
      <c r="O48" s="321">
        <f t="shared" ref="O48:O53" si="3">M48*1000*17</f>
        <v>7695786.9662658498</v>
      </c>
      <c r="P48" s="320"/>
      <c r="S48" s="306"/>
    </row>
    <row r="49" spans="1:19" s="60" customFormat="1" ht="19.5" customHeight="1" x14ac:dyDescent="0.25">
      <c r="A49" s="332" t="s">
        <v>101</v>
      </c>
      <c r="B49" s="331">
        <v>35</v>
      </c>
      <c r="C49" s="329">
        <v>23</v>
      </c>
      <c r="D49" s="330" t="s">
        <v>216</v>
      </c>
      <c r="E49" s="329">
        <v>23</v>
      </c>
      <c r="F49" s="328"/>
      <c r="G49" s="336">
        <f>SUM(E49:F49)</f>
        <v>23</v>
      </c>
      <c r="H49" s="327">
        <v>2.9581715248210361</v>
      </c>
      <c r="I49" s="326"/>
      <c r="J49" s="325">
        <f t="shared" si="0"/>
        <v>1</v>
      </c>
      <c r="K49" s="335">
        <v>33464</v>
      </c>
      <c r="L49" s="334">
        <f t="shared" si="1"/>
        <v>769672</v>
      </c>
      <c r="M49" s="322">
        <f t="shared" si="2"/>
        <v>68.037945070883836</v>
      </c>
      <c r="N49" s="322">
        <v>17</v>
      </c>
      <c r="O49" s="321">
        <f t="shared" si="3"/>
        <v>1156645.0662050252</v>
      </c>
      <c r="P49" s="320"/>
      <c r="S49" s="306"/>
    </row>
    <row r="50" spans="1:19" s="60" customFormat="1" ht="19.5" customHeight="1" x14ac:dyDescent="0.25">
      <c r="A50" s="332" t="s">
        <v>219</v>
      </c>
      <c r="B50" s="331">
        <v>306</v>
      </c>
      <c r="C50" s="329">
        <v>350</v>
      </c>
      <c r="D50" s="330" t="s">
        <v>120</v>
      </c>
      <c r="E50" s="329"/>
      <c r="F50" s="328">
        <v>350</v>
      </c>
      <c r="G50" s="336">
        <f>SUM(E50:F50)</f>
        <v>350</v>
      </c>
      <c r="H50" s="327">
        <v>2.9581715248210361</v>
      </c>
      <c r="I50" s="326">
        <v>1.77</v>
      </c>
      <c r="J50" s="325">
        <f t="shared" si="0"/>
        <v>0.40165741399762755</v>
      </c>
      <c r="K50" s="335">
        <v>7470</v>
      </c>
      <c r="L50" s="334">
        <f t="shared" si="1"/>
        <v>1050133.3088967972</v>
      </c>
      <c r="M50" s="322">
        <f t="shared" si="2"/>
        <v>415.8600336873626</v>
      </c>
      <c r="N50" s="322">
        <v>17</v>
      </c>
      <c r="O50" s="321">
        <f t="shared" si="3"/>
        <v>7069620.5726851644</v>
      </c>
      <c r="P50" s="320"/>
      <c r="S50" s="306"/>
    </row>
    <row r="51" spans="1:19" s="60" customFormat="1" ht="19.5" customHeight="1" x14ac:dyDescent="0.25">
      <c r="A51" s="332" t="s">
        <v>80</v>
      </c>
      <c r="B51" s="331"/>
      <c r="C51" s="329">
        <v>212</v>
      </c>
      <c r="D51" s="330" t="s">
        <v>120</v>
      </c>
      <c r="E51" s="329">
        <v>25.75</v>
      </c>
      <c r="F51" s="328">
        <f>C51-E51</f>
        <v>186.25</v>
      </c>
      <c r="G51" s="328">
        <f>F51+E51</f>
        <v>212</v>
      </c>
      <c r="H51" s="327">
        <v>2.9581715248210361</v>
      </c>
      <c r="I51" s="326">
        <v>1.66</v>
      </c>
      <c r="J51" s="325">
        <f t="shared" si="0"/>
        <v>0.43884254646105186</v>
      </c>
      <c r="K51" s="324">
        <v>7470</v>
      </c>
      <c r="L51" s="323">
        <f t="shared" si="1"/>
        <v>694968.61027758021</v>
      </c>
      <c r="M51" s="322">
        <f t="shared" si="2"/>
        <v>275.21236326205968</v>
      </c>
      <c r="N51" s="322">
        <v>17</v>
      </c>
      <c r="O51" s="321">
        <f t="shared" si="3"/>
        <v>4678610.1754550152</v>
      </c>
      <c r="P51" s="320"/>
      <c r="S51" s="306"/>
    </row>
    <row r="52" spans="1:19" s="60" customFormat="1" ht="19.5" customHeight="1" x14ac:dyDescent="0.25">
      <c r="A52" s="332" t="s">
        <v>113</v>
      </c>
      <c r="B52" s="331">
        <v>25</v>
      </c>
      <c r="C52" s="329">
        <v>20</v>
      </c>
      <c r="D52" s="330" t="s">
        <v>216</v>
      </c>
      <c r="E52" s="329"/>
      <c r="F52" s="328">
        <v>20</v>
      </c>
      <c r="G52" s="336">
        <f>SUM(E52:F52)</f>
        <v>20</v>
      </c>
      <c r="H52" s="327">
        <v>2.9581715248210361</v>
      </c>
      <c r="I52" s="326">
        <v>2.37</v>
      </c>
      <c r="J52" s="325">
        <f t="shared" si="0"/>
        <v>0.19882941874258603</v>
      </c>
      <c r="K52" s="335">
        <v>33464</v>
      </c>
      <c r="L52" s="334">
        <f t="shared" si="1"/>
        <v>133072.55337603798</v>
      </c>
      <c r="M52" s="322">
        <f t="shared" si="2"/>
        <v>11.763430496420721</v>
      </c>
      <c r="N52" s="322">
        <v>17</v>
      </c>
      <c r="O52" s="321">
        <f t="shared" si="3"/>
        <v>199978.31843915224</v>
      </c>
      <c r="P52" s="320"/>
      <c r="S52" s="306"/>
    </row>
    <row r="53" spans="1:19" s="60" customFormat="1" ht="19.5" customHeight="1" x14ac:dyDescent="0.25">
      <c r="A53" s="332" t="s">
        <v>82</v>
      </c>
      <c r="B53" s="331">
        <v>508</v>
      </c>
      <c r="C53" s="329">
        <v>53</v>
      </c>
      <c r="D53" s="330" t="s">
        <v>216</v>
      </c>
      <c r="E53" s="329">
        <v>40</v>
      </c>
      <c r="F53" s="328">
        <v>108</v>
      </c>
      <c r="G53" s="336">
        <f>SUM(E53:F53)</f>
        <v>148</v>
      </c>
      <c r="H53" s="327">
        <v>2.9581715248210361</v>
      </c>
      <c r="I53" s="326">
        <v>2.37</v>
      </c>
      <c r="J53" s="325">
        <f t="shared" si="0"/>
        <v>0.19882941874258603</v>
      </c>
      <c r="K53" s="335">
        <v>33464</v>
      </c>
      <c r="L53" s="334">
        <f t="shared" si="1"/>
        <v>984736.89498268103</v>
      </c>
      <c r="M53" s="322">
        <f t="shared" si="2"/>
        <v>87.049385673513328</v>
      </c>
      <c r="N53" s="322">
        <v>17</v>
      </c>
      <c r="O53" s="321">
        <f t="shared" si="3"/>
        <v>1479839.5564497267</v>
      </c>
      <c r="P53" s="320"/>
      <c r="S53" s="306"/>
    </row>
    <row r="54" spans="1:19" s="60" customFormat="1" ht="19.5" customHeight="1" x14ac:dyDescent="0.25">
      <c r="A54" s="373"/>
      <c r="B54" s="331"/>
      <c r="C54" s="329"/>
      <c r="D54" s="330"/>
      <c r="E54" s="329"/>
      <c r="F54" s="336"/>
      <c r="G54" s="372"/>
      <c r="H54" s="371"/>
      <c r="I54" s="326"/>
      <c r="J54" s="325"/>
      <c r="K54" s="335"/>
      <c r="L54" s="334"/>
      <c r="M54" s="370"/>
      <c r="N54" s="370"/>
      <c r="O54" s="369"/>
      <c r="P54" s="333"/>
      <c r="S54" s="306"/>
    </row>
    <row r="55" spans="1:19" s="60" customFormat="1" ht="19.5" customHeight="1" x14ac:dyDescent="0.25">
      <c r="A55" s="373" t="s">
        <v>215</v>
      </c>
      <c r="B55" s="375">
        <f>SUM(B48:B54)</f>
        <v>1174</v>
      </c>
      <c r="C55" s="375">
        <f>SUM(C48:C54)</f>
        <v>1039</v>
      </c>
      <c r="D55" s="376"/>
      <c r="E55" s="375">
        <f>SUM(E48:E54)</f>
        <v>138.75</v>
      </c>
      <c r="F55" s="375">
        <f>SUM(F48:F54)</f>
        <v>995.25</v>
      </c>
      <c r="G55" s="375">
        <f>SUM(G48:G54)</f>
        <v>1134</v>
      </c>
      <c r="H55" s="371"/>
      <c r="I55" s="326"/>
      <c r="J55" s="325"/>
      <c r="K55" s="374">
        <f>SUM(K48:K54)</f>
        <v>122802</v>
      </c>
      <c r="L55" s="374">
        <f>SUM(L48:L54)</f>
        <v>4775728.4837893248</v>
      </c>
      <c r="M55" s="374">
        <f>SUM(M48:M54)</f>
        <v>1310.616509147055</v>
      </c>
      <c r="N55" s="370"/>
      <c r="O55" s="374">
        <f>SUM(O48:O54)</f>
        <v>22280480.655499931</v>
      </c>
      <c r="P55" s="333"/>
      <c r="S55" s="306"/>
    </row>
    <row r="56" spans="1:19" s="60" customFormat="1" ht="19.5" customHeight="1" x14ac:dyDescent="0.25">
      <c r="A56" s="373"/>
      <c r="B56" s="331"/>
      <c r="C56" s="329"/>
      <c r="D56" s="330"/>
      <c r="E56" s="329"/>
      <c r="F56" s="336"/>
      <c r="G56" s="372"/>
      <c r="H56" s="371"/>
      <c r="I56" s="326"/>
      <c r="J56" s="325"/>
      <c r="K56" s="335"/>
      <c r="L56" s="334"/>
      <c r="M56" s="370"/>
      <c r="N56" s="370"/>
      <c r="O56" s="369"/>
      <c r="P56" s="333"/>
      <c r="S56" s="306"/>
    </row>
    <row r="57" spans="1:19" s="60" customFormat="1" ht="19.5" customHeight="1" x14ac:dyDescent="0.25">
      <c r="A57" s="368" t="s">
        <v>83</v>
      </c>
      <c r="B57" s="367"/>
      <c r="C57" s="365"/>
      <c r="D57" s="366"/>
      <c r="E57" s="365"/>
      <c r="F57" s="364"/>
      <c r="G57" s="363"/>
      <c r="H57" s="362"/>
      <c r="I57" s="361"/>
      <c r="J57" s="360"/>
      <c r="K57" s="359"/>
      <c r="L57" s="358"/>
      <c r="M57" s="357"/>
      <c r="N57" s="357"/>
      <c r="O57" s="356"/>
      <c r="P57" s="355"/>
      <c r="S57" s="306"/>
    </row>
    <row r="58" spans="1:19" s="337" customFormat="1" ht="19.5" customHeight="1" x14ac:dyDescent="0.25">
      <c r="A58" s="354" t="s">
        <v>84</v>
      </c>
      <c r="B58" s="348">
        <v>70</v>
      </c>
      <c r="C58" s="346">
        <v>101</v>
      </c>
      <c r="D58" s="347">
        <v>0</v>
      </c>
      <c r="E58" s="346">
        <v>0</v>
      </c>
      <c r="F58" s="345">
        <v>101</v>
      </c>
      <c r="G58" s="353">
        <v>101</v>
      </c>
      <c r="H58" s="352">
        <v>5.6867980607596174</v>
      </c>
      <c r="I58" s="343">
        <v>4.08</v>
      </c>
      <c r="J58" s="342">
        <v>0.56509763265446022</v>
      </c>
      <c r="K58" s="341">
        <v>40934</v>
      </c>
      <c r="L58" s="340">
        <v>584126.74618114554</v>
      </c>
      <c r="M58" s="351">
        <v>67.46330206836069</v>
      </c>
      <c r="N58" s="351">
        <v>34</v>
      </c>
      <c r="O58" s="350">
        <v>1146876.1351621319</v>
      </c>
      <c r="P58" s="339"/>
      <c r="S58" s="338"/>
    </row>
    <row r="59" spans="1:19" s="60" customFormat="1" ht="19.5" customHeight="1" x14ac:dyDescent="0.25">
      <c r="A59" s="332" t="s">
        <v>185</v>
      </c>
      <c r="B59" s="331">
        <v>110</v>
      </c>
      <c r="C59" s="329">
        <v>122</v>
      </c>
      <c r="D59" s="330" t="s">
        <v>120</v>
      </c>
      <c r="E59" s="329">
        <v>32.25</v>
      </c>
      <c r="F59" s="336">
        <v>89.75</v>
      </c>
      <c r="G59" s="336">
        <f>SUM(E59:F59)</f>
        <v>122</v>
      </c>
      <c r="H59" s="327">
        <v>2.8433990303798087</v>
      </c>
      <c r="I59" s="326">
        <v>1.7</v>
      </c>
      <c r="J59" s="325">
        <f>(H59-I59)/H59</f>
        <v>0.40212401360602507</v>
      </c>
      <c r="K59" s="335">
        <v>7470</v>
      </c>
      <c r="L59" s="334">
        <f>(G59*K59)*J59</f>
        <v>366471.69855971489</v>
      </c>
      <c r="M59" s="322">
        <f>G59*H59*J59</f>
        <v>139.49468170633665</v>
      </c>
      <c r="N59" s="322">
        <v>17</v>
      </c>
      <c r="O59" s="321">
        <f>M59*1000*17</f>
        <v>2371409.5890077231</v>
      </c>
      <c r="P59" s="333"/>
      <c r="S59" s="306"/>
    </row>
    <row r="60" spans="1:19" s="60" customFormat="1" ht="19.5" customHeight="1" x14ac:dyDescent="0.25">
      <c r="A60" s="332" t="s">
        <v>86</v>
      </c>
      <c r="B60" s="331">
        <v>77</v>
      </c>
      <c r="C60" s="329">
        <v>80</v>
      </c>
      <c r="D60" s="330" t="s">
        <v>216</v>
      </c>
      <c r="E60" s="329">
        <v>31</v>
      </c>
      <c r="F60" s="336">
        <v>49</v>
      </c>
      <c r="G60" s="336">
        <f>SUM(E60:F60)</f>
        <v>80</v>
      </c>
      <c r="H60" s="327">
        <v>2.8433990303798087</v>
      </c>
      <c r="I60" s="326">
        <v>2.2799999999999998</v>
      </c>
      <c r="J60" s="325">
        <f>(H60-I60)/H60</f>
        <v>0.198142794718669</v>
      </c>
      <c r="K60" s="335">
        <v>33464</v>
      </c>
      <c r="L60" s="334">
        <f>(G60*K60)*J60</f>
        <v>530452.03859724314</v>
      </c>
      <c r="M60" s="322">
        <f>G60*H60*J60</f>
        <v>45.07192243038471</v>
      </c>
      <c r="N60" s="322">
        <v>17</v>
      </c>
      <c r="O60" s="321">
        <f>M60*1000*17</f>
        <v>766222.68131653999</v>
      </c>
      <c r="P60" s="333"/>
      <c r="S60" s="306"/>
    </row>
    <row r="61" spans="1:19" s="60" customFormat="1" ht="19.5" hidden="1" customHeight="1" x14ac:dyDescent="0.25">
      <c r="A61" s="332"/>
      <c r="B61" s="331"/>
      <c r="C61" s="329"/>
      <c r="D61" s="330"/>
      <c r="E61" s="329"/>
      <c r="F61" s="336"/>
      <c r="G61" s="336"/>
      <c r="H61" s="327"/>
      <c r="I61" s="326"/>
      <c r="J61" s="325"/>
      <c r="K61" s="335"/>
      <c r="L61" s="334"/>
      <c r="M61" s="322"/>
      <c r="N61" s="322"/>
      <c r="O61" s="321"/>
      <c r="P61" s="333"/>
      <c r="S61" s="306"/>
    </row>
    <row r="62" spans="1:19" s="337" customFormat="1" ht="19.5" customHeight="1" x14ac:dyDescent="0.25">
      <c r="A62" s="349" t="s">
        <v>87</v>
      </c>
      <c r="B62" s="348">
        <v>376</v>
      </c>
      <c r="C62" s="346">
        <v>361</v>
      </c>
      <c r="D62" s="347">
        <v>0</v>
      </c>
      <c r="E62" s="346">
        <v>8</v>
      </c>
      <c r="F62" s="345">
        <v>353</v>
      </c>
      <c r="G62" s="345">
        <v>361</v>
      </c>
      <c r="H62" s="344">
        <v>5.6867980607596174</v>
      </c>
      <c r="I62" s="343">
        <v>3.25</v>
      </c>
      <c r="J62" s="342">
        <v>0.8570017907174009</v>
      </c>
      <c r="K62" s="341">
        <v>40934</v>
      </c>
      <c r="L62" s="340">
        <v>1679522.589240273</v>
      </c>
      <c r="M62" s="322">
        <v>160.16704996711087</v>
      </c>
      <c r="N62" s="322">
        <v>34</v>
      </c>
      <c r="O62" s="321">
        <v>2722839.8494408848</v>
      </c>
      <c r="P62" s="339"/>
      <c r="S62" s="338"/>
    </row>
    <row r="63" spans="1:19" s="337" customFormat="1" ht="19.5" customHeight="1" x14ac:dyDescent="0.25">
      <c r="A63" s="349" t="s">
        <v>88</v>
      </c>
      <c r="B63" s="348">
        <v>467</v>
      </c>
      <c r="C63" s="346">
        <v>694</v>
      </c>
      <c r="D63" s="347">
        <v>0</v>
      </c>
      <c r="E63" s="346">
        <v>50</v>
      </c>
      <c r="F63" s="345">
        <v>644</v>
      </c>
      <c r="G63" s="345">
        <v>694</v>
      </c>
      <c r="H63" s="344">
        <v>5.6867980607596174</v>
      </c>
      <c r="I63" s="343">
        <v>3.9799999999999995</v>
      </c>
      <c r="J63" s="342">
        <v>0.60026680832469403</v>
      </c>
      <c r="K63" s="341">
        <v>40934</v>
      </c>
      <c r="L63" s="340">
        <v>3669587.9209181517</v>
      </c>
      <c r="M63" s="322">
        <v>540.05892708358738</v>
      </c>
      <c r="N63" s="322">
        <v>34</v>
      </c>
      <c r="O63" s="321">
        <v>9181001.7604209855</v>
      </c>
      <c r="P63" s="339"/>
      <c r="S63" s="338"/>
    </row>
    <row r="64" spans="1:19" s="337" customFormat="1" ht="19.5" customHeight="1" x14ac:dyDescent="0.25">
      <c r="A64" s="349" t="s">
        <v>98</v>
      </c>
      <c r="B64" s="348">
        <v>486</v>
      </c>
      <c r="C64" s="346">
        <v>546</v>
      </c>
      <c r="D64" s="347">
        <v>0</v>
      </c>
      <c r="E64" s="346">
        <v>164</v>
      </c>
      <c r="F64" s="345">
        <v>382</v>
      </c>
      <c r="G64" s="345">
        <v>546</v>
      </c>
      <c r="H64" s="344">
        <v>5.6867980607596174</v>
      </c>
      <c r="I64" s="343">
        <v>3.9799999999999995</v>
      </c>
      <c r="J64" s="342">
        <v>0.60026680832469403</v>
      </c>
      <c r="K64" s="341">
        <v>40934</v>
      </c>
      <c r="L64" s="340">
        <v>2728146.2746223658</v>
      </c>
      <c r="M64" s="322">
        <v>450.29587058737559</v>
      </c>
      <c r="N64" s="322">
        <v>34</v>
      </c>
      <c r="O64" s="321">
        <v>7655029.7999853846</v>
      </c>
      <c r="P64" s="339"/>
      <c r="S64" s="338"/>
    </row>
    <row r="65" spans="1:20" s="337" customFormat="1" ht="19.5" customHeight="1" x14ac:dyDescent="0.25">
      <c r="A65" s="349" t="s">
        <v>109</v>
      </c>
      <c r="B65" s="348">
        <v>233</v>
      </c>
      <c r="C65" s="346">
        <v>339</v>
      </c>
      <c r="D65" s="347">
        <v>0</v>
      </c>
      <c r="E65" s="346">
        <v>30</v>
      </c>
      <c r="F65" s="345">
        <v>309</v>
      </c>
      <c r="G65" s="345">
        <v>339</v>
      </c>
      <c r="H65" s="344">
        <v>5.6867980607596174</v>
      </c>
      <c r="I65" s="343">
        <v>3.53</v>
      </c>
      <c r="J65" s="342">
        <v>0.75852809884074623</v>
      </c>
      <c r="K65" s="341">
        <v>40934</v>
      </c>
      <c r="L65" s="340">
        <v>2115783.6114794421</v>
      </c>
      <c r="M65" s="322">
        <v>246.61227129875522</v>
      </c>
      <c r="N65" s="322">
        <v>34</v>
      </c>
      <c r="O65" s="321">
        <v>4192408.6120788385</v>
      </c>
      <c r="P65" s="339"/>
      <c r="S65" s="338"/>
    </row>
    <row r="66" spans="1:20" s="337" customFormat="1" ht="19.5" customHeight="1" x14ac:dyDescent="0.25">
      <c r="A66" s="349" t="s">
        <v>108</v>
      </c>
      <c r="B66" s="348">
        <v>232</v>
      </c>
      <c r="C66" s="346">
        <v>289</v>
      </c>
      <c r="D66" s="347">
        <v>0</v>
      </c>
      <c r="E66" s="346">
        <v>37.25</v>
      </c>
      <c r="F66" s="345">
        <v>251.75</v>
      </c>
      <c r="G66" s="345">
        <v>289</v>
      </c>
      <c r="H66" s="344">
        <v>5.6867980607596174</v>
      </c>
      <c r="I66" s="343">
        <v>3.9799999999999995</v>
      </c>
      <c r="J66" s="342">
        <v>0.60026680832469403</v>
      </c>
      <c r="K66" s="341">
        <v>40934</v>
      </c>
      <c r="L66" s="340">
        <v>1669636.6705762008</v>
      </c>
      <c r="M66" s="322">
        <v>202.26231977976477</v>
      </c>
      <c r="N66" s="322">
        <v>34</v>
      </c>
      <c r="O66" s="321">
        <v>3438459.4362560008</v>
      </c>
      <c r="P66" s="339"/>
      <c r="S66" s="338"/>
    </row>
    <row r="67" spans="1:20" s="337" customFormat="1" ht="19.5" customHeight="1" x14ac:dyDescent="0.25">
      <c r="A67" s="349" t="s">
        <v>89</v>
      </c>
      <c r="B67" s="348">
        <v>75</v>
      </c>
      <c r="C67" s="346">
        <v>174</v>
      </c>
      <c r="D67" s="347">
        <v>0</v>
      </c>
      <c r="E67" s="346">
        <v>129</v>
      </c>
      <c r="F67" s="345">
        <v>45</v>
      </c>
      <c r="G67" s="345">
        <v>174</v>
      </c>
      <c r="H67" s="344">
        <v>5.6867980607596174</v>
      </c>
      <c r="I67" s="343">
        <v>2.2799999999999998</v>
      </c>
      <c r="J67" s="342">
        <v>1.1981427947186689</v>
      </c>
      <c r="K67" s="341">
        <v>40934</v>
      </c>
      <c r="L67" s="340">
        <v>1257812.524123277</v>
      </c>
      <c r="M67" s="322">
        <v>380.7514312860867</v>
      </c>
      <c r="N67" s="322">
        <v>34</v>
      </c>
      <c r="O67" s="321">
        <v>6472774.3318634732</v>
      </c>
      <c r="P67" s="339"/>
      <c r="S67" s="338"/>
    </row>
    <row r="68" spans="1:20" s="60" customFormat="1" ht="19.5" customHeight="1" x14ac:dyDescent="0.25">
      <c r="A68" s="332" t="s">
        <v>103</v>
      </c>
      <c r="B68" s="331">
        <v>120</v>
      </c>
      <c r="C68" s="329">
        <v>159</v>
      </c>
      <c r="D68" s="330" t="s">
        <v>120</v>
      </c>
      <c r="E68" s="329">
        <v>54.5</v>
      </c>
      <c r="F68" s="336">
        <v>104.5</v>
      </c>
      <c r="G68" s="336">
        <f>SUM(E68:F68)</f>
        <v>159</v>
      </c>
      <c r="H68" s="327">
        <v>2.8433990303798087</v>
      </c>
      <c r="I68" s="326">
        <v>1.7</v>
      </c>
      <c r="J68" s="325">
        <f>(H68-I68)/H68</f>
        <v>0.40212401360602507</v>
      </c>
      <c r="K68" s="335">
        <v>7470</v>
      </c>
      <c r="L68" s="334">
        <f>(G68*K68)*J68</f>
        <v>477614.75468028412</v>
      </c>
      <c r="M68" s="322">
        <f>G68*H68*J68</f>
        <v>181.80044583038958</v>
      </c>
      <c r="N68" s="322">
        <v>17</v>
      </c>
      <c r="O68" s="321">
        <f>M68*1000*17</f>
        <v>3090607.5791166225</v>
      </c>
      <c r="P68" s="333"/>
      <c r="S68" s="306"/>
    </row>
    <row r="69" spans="1:20" s="60" customFormat="1" ht="19.5" customHeight="1" x14ac:dyDescent="0.25">
      <c r="A69" s="349" t="s">
        <v>91</v>
      </c>
      <c r="B69" s="348">
        <v>152</v>
      </c>
      <c r="C69" s="346">
        <v>203</v>
      </c>
      <c r="D69" s="347">
        <v>0</v>
      </c>
      <c r="E69" s="346">
        <v>27</v>
      </c>
      <c r="F69" s="345">
        <v>176</v>
      </c>
      <c r="G69" s="345">
        <v>203</v>
      </c>
      <c r="H69" s="344">
        <v>5.6867980607596174</v>
      </c>
      <c r="I69" s="343">
        <v>4.08</v>
      </c>
      <c r="J69" s="342">
        <v>0.56509763265446022</v>
      </c>
      <c r="K69" s="341">
        <v>14940</v>
      </c>
      <c r="L69" s="340">
        <v>522406.28479775187</v>
      </c>
      <c r="M69" s="322">
        <v>198.85000316710119</v>
      </c>
      <c r="N69" s="322">
        <v>34</v>
      </c>
      <c r="O69" s="321">
        <v>3380450.0538407201</v>
      </c>
      <c r="P69" s="339"/>
      <c r="Q69" s="337"/>
      <c r="R69" s="337"/>
      <c r="S69" s="338"/>
      <c r="T69" s="337"/>
    </row>
    <row r="70" spans="1:20" s="60" customFormat="1" ht="19.5" customHeight="1" x14ac:dyDescent="0.25">
      <c r="A70" s="332" t="s">
        <v>107</v>
      </c>
      <c r="B70" s="331">
        <v>60</v>
      </c>
      <c r="C70" s="329">
        <v>72</v>
      </c>
      <c r="D70" s="330" t="s">
        <v>120</v>
      </c>
      <c r="E70" s="329">
        <v>22</v>
      </c>
      <c r="F70" s="336">
        <v>50</v>
      </c>
      <c r="G70" s="336">
        <f>SUM(E70:F70)</f>
        <v>72</v>
      </c>
      <c r="H70" s="327">
        <v>2.8433990303798087</v>
      </c>
      <c r="I70" s="326">
        <v>1.7</v>
      </c>
      <c r="J70" s="325">
        <f>(H70-I70)/H70</f>
        <v>0.40212401360602507</v>
      </c>
      <c r="K70" s="335">
        <v>7470</v>
      </c>
      <c r="L70" s="334">
        <f>(G70*K70)*J70</f>
        <v>216278.37947786451</v>
      </c>
      <c r="M70" s="322">
        <f>G70*H70*J70</f>
        <v>82.324730187346219</v>
      </c>
      <c r="N70" s="322">
        <v>17</v>
      </c>
      <c r="O70" s="321">
        <f>M70*1000*17</f>
        <v>1399520.4131848856</v>
      </c>
      <c r="P70" s="333"/>
      <c r="S70" s="306"/>
    </row>
    <row r="71" spans="1:20" s="60" customFormat="1" ht="19.5" customHeight="1" x14ac:dyDescent="0.25">
      <c r="A71" s="332" t="s">
        <v>217</v>
      </c>
      <c r="B71" s="331">
        <v>28</v>
      </c>
      <c r="C71" s="329">
        <v>24</v>
      </c>
      <c r="D71" s="330" t="s">
        <v>120</v>
      </c>
      <c r="E71" s="329">
        <v>24</v>
      </c>
      <c r="F71" s="336"/>
      <c r="G71" s="336">
        <f>SUM(E71:F71)</f>
        <v>24</v>
      </c>
      <c r="H71" s="327">
        <v>2.8433990303798087</v>
      </c>
      <c r="I71" s="326"/>
      <c r="J71" s="325">
        <f>(H71-I71)/H71</f>
        <v>1</v>
      </c>
      <c r="K71" s="335">
        <v>7470</v>
      </c>
      <c r="L71" s="334">
        <f>(G71*K71)*J71</f>
        <v>179280</v>
      </c>
      <c r="M71" s="322">
        <f>G71*H71*J71</f>
        <v>68.241576729115408</v>
      </c>
      <c r="N71" s="322">
        <v>17</v>
      </c>
      <c r="O71" s="321">
        <f>M71*1000*17</f>
        <v>1160106.8043949618</v>
      </c>
      <c r="P71" s="333"/>
      <c r="S71" s="306"/>
    </row>
    <row r="72" spans="1:20" s="337" customFormat="1" ht="19.5" customHeight="1" x14ac:dyDescent="0.25">
      <c r="A72" s="332" t="s">
        <v>92</v>
      </c>
      <c r="B72" s="331">
        <v>20</v>
      </c>
      <c r="C72" s="329">
        <v>33</v>
      </c>
      <c r="D72" s="330" t="s">
        <v>216</v>
      </c>
      <c r="E72" s="329"/>
      <c r="F72" s="336">
        <v>33</v>
      </c>
      <c r="G72" s="336">
        <f>SUM(E72:F72)</f>
        <v>33</v>
      </c>
      <c r="H72" s="327">
        <v>2.8433990303798087</v>
      </c>
      <c r="I72" s="326">
        <v>2.2799999999999998</v>
      </c>
      <c r="J72" s="325">
        <f>(H72-I72)/H72</f>
        <v>0.198142794718669</v>
      </c>
      <c r="K72" s="335">
        <v>33464</v>
      </c>
      <c r="L72" s="334">
        <f>(G72*K72)*J72</f>
        <v>218811.4659213628</v>
      </c>
      <c r="M72" s="322">
        <f>G72*H72*J72</f>
        <v>18.592168002533693</v>
      </c>
      <c r="N72" s="322">
        <v>17</v>
      </c>
      <c r="O72" s="321">
        <f>M72*1000*17</f>
        <v>316066.85604307277</v>
      </c>
      <c r="P72" s="333"/>
      <c r="Q72" s="60"/>
      <c r="R72" s="60"/>
      <c r="S72" s="306"/>
      <c r="T72" s="60"/>
    </row>
    <row r="73" spans="1:20" s="337" customFormat="1" ht="19.5" customHeight="1" x14ac:dyDescent="0.25">
      <c r="A73" s="332" t="s">
        <v>3</v>
      </c>
      <c r="B73" s="331">
        <v>50</v>
      </c>
      <c r="C73" s="329">
        <v>48</v>
      </c>
      <c r="D73" s="330" t="s">
        <v>120</v>
      </c>
      <c r="E73" s="329">
        <v>16</v>
      </c>
      <c r="F73" s="336">
        <v>32</v>
      </c>
      <c r="G73" s="336">
        <f>SUM(E73:F73)</f>
        <v>48</v>
      </c>
      <c r="H73" s="327">
        <v>2.8433990303798087</v>
      </c>
      <c r="I73" s="326">
        <v>1.7</v>
      </c>
      <c r="J73" s="325">
        <f>(H73-I73)/H73</f>
        <v>0.40212401360602507</v>
      </c>
      <c r="K73" s="335">
        <v>7470</v>
      </c>
      <c r="L73" s="334">
        <f>(G73*K73)*J73</f>
        <v>144185.58631857636</v>
      </c>
      <c r="M73" s="322">
        <f>G73*H73*J73</f>
        <v>54.883153458230815</v>
      </c>
      <c r="N73" s="322">
        <v>17</v>
      </c>
      <c r="O73" s="321">
        <f>M73*1000*17</f>
        <v>933013.60878992383</v>
      </c>
      <c r="P73" s="333"/>
      <c r="Q73" s="60"/>
      <c r="R73" s="60"/>
      <c r="S73" s="306"/>
      <c r="T73" s="60"/>
    </row>
    <row r="74" spans="1:20" s="60" customFormat="1" ht="19.5" customHeight="1" x14ac:dyDescent="0.25">
      <c r="A74" s="332" t="s">
        <v>106</v>
      </c>
      <c r="B74" s="331">
        <v>305</v>
      </c>
      <c r="C74" s="329">
        <v>345</v>
      </c>
      <c r="D74" s="330">
        <v>0</v>
      </c>
      <c r="E74" s="329">
        <v>65</v>
      </c>
      <c r="F74" s="328">
        <v>278</v>
      </c>
      <c r="G74" s="328">
        <v>343</v>
      </c>
      <c r="H74" s="327">
        <v>5.6867980607596174</v>
      </c>
      <c r="I74" s="326">
        <v>1.9</v>
      </c>
      <c r="J74" s="325">
        <v>1.3317856622655575</v>
      </c>
      <c r="K74" s="324">
        <v>66928</v>
      </c>
      <c r="L74" s="323">
        <v>4507954.0825614976</v>
      </c>
      <c r="M74" s="322">
        <v>383.03586742027437</v>
      </c>
      <c r="N74" s="322">
        <v>34</v>
      </c>
      <c r="O74" s="321">
        <v>6511609.7461446645</v>
      </c>
      <c r="P74" s="320"/>
      <c r="S74" s="306"/>
    </row>
    <row r="75" spans="1:20" s="60" customFormat="1" ht="19.5" customHeight="1" x14ac:dyDescent="0.25">
      <c r="A75" s="349" t="s">
        <v>94</v>
      </c>
      <c r="B75" s="348">
        <v>27</v>
      </c>
      <c r="C75" s="346">
        <v>27</v>
      </c>
      <c r="D75" s="347">
        <v>0</v>
      </c>
      <c r="E75" s="346">
        <v>5</v>
      </c>
      <c r="F75" s="345">
        <v>22</v>
      </c>
      <c r="G75" s="345">
        <v>27</v>
      </c>
      <c r="H75" s="344">
        <v>5.6867980607596174</v>
      </c>
      <c r="I75" s="343">
        <v>2.4500000000000002</v>
      </c>
      <c r="J75" s="342">
        <v>1.1383551960792713</v>
      </c>
      <c r="K75" s="341">
        <v>40934</v>
      </c>
      <c r="L75" s="340">
        <v>139208.20219512819</v>
      </c>
      <c r="M75" s="322">
        <v>22.87177382025483</v>
      </c>
      <c r="N75" s="322">
        <v>34</v>
      </c>
      <c r="O75" s="321">
        <v>388820.15494433214</v>
      </c>
      <c r="P75" s="339"/>
      <c r="Q75" s="337"/>
      <c r="R75" s="337"/>
      <c r="S75" s="338"/>
      <c r="T75" s="337"/>
    </row>
    <row r="76" spans="1:20" s="60" customFormat="1" ht="19.5" customHeight="1" x14ac:dyDescent="0.25">
      <c r="A76" s="319" t="s">
        <v>215</v>
      </c>
      <c r="B76" s="313">
        <f>SUM(B59:B75)</f>
        <v>2818</v>
      </c>
      <c r="C76" s="313">
        <f>SUM(C59:C75)</f>
        <v>3516</v>
      </c>
      <c r="D76" s="318"/>
      <c r="E76" s="313">
        <f>SUM(E59:E75)</f>
        <v>695</v>
      </c>
      <c r="F76" s="313">
        <f>SUM(F59:F75)</f>
        <v>2819</v>
      </c>
      <c r="G76" s="313">
        <f>SUM(G59:G75)</f>
        <v>3514</v>
      </c>
      <c r="H76" s="317"/>
      <c r="I76" s="316"/>
      <c r="J76" s="315"/>
      <c r="K76" s="313">
        <f>SUM(K59:K75)</f>
        <v>472684</v>
      </c>
      <c r="L76" s="313">
        <f>SUM(L59:L75)</f>
        <v>20423152.084069133</v>
      </c>
      <c r="M76" s="313">
        <f>SUM(M59:M75)</f>
        <v>3175.3141927546476</v>
      </c>
      <c r="N76" s="314"/>
      <c r="O76" s="313">
        <f>SUM(O59:O75)</f>
        <v>53980341.276829004</v>
      </c>
      <c r="P76" s="312"/>
      <c r="S76" s="306"/>
    </row>
    <row r="77" spans="1:20" s="60" customFormat="1" ht="19.5" customHeight="1" thickBot="1" x14ac:dyDescent="0.3">
      <c r="A77" s="271"/>
      <c r="B77" s="308"/>
      <c r="C77" s="308"/>
      <c r="D77" s="311"/>
      <c r="E77" s="308"/>
      <c r="F77" s="308"/>
      <c r="G77" s="308"/>
      <c r="H77" s="310"/>
      <c r="I77" s="265"/>
      <c r="J77" s="309"/>
      <c r="K77" s="308"/>
      <c r="L77" s="308"/>
      <c r="M77" s="308"/>
      <c r="N77" s="262"/>
      <c r="O77" s="308"/>
      <c r="P77" s="307"/>
      <c r="S77" s="306"/>
    </row>
    <row r="78" spans="1:20" s="60" customFormat="1" ht="19.5" customHeight="1" x14ac:dyDescent="0.2">
      <c r="A78" s="305" t="s">
        <v>214</v>
      </c>
      <c r="B78" s="303"/>
      <c r="C78" s="303"/>
      <c r="D78" s="304"/>
      <c r="E78" s="303"/>
      <c r="F78" s="302"/>
      <c r="G78" s="301"/>
      <c r="H78" s="300"/>
      <c r="I78" s="299"/>
      <c r="J78" s="296"/>
      <c r="K78" s="298"/>
      <c r="L78" s="297"/>
      <c r="M78" s="296"/>
      <c r="N78" s="296"/>
      <c r="O78" s="295"/>
      <c r="P78" s="294"/>
    </row>
    <row r="79" spans="1:20" s="60" customFormat="1" ht="19.5" customHeight="1" x14ac:dyDescent="0.2">
      <c r="A79" s="286" t="s">
        <v>213</v>
      </c>
      <c r="B79" s="269"/>
      <c r="C79" s="269"/>
      <c r="D79" s="270"/>
      <c r="E79" s="269"/>
      <c r="F79" s="293"/>
      <c r="G79" s="292"/>
      <c r="H79" s="291"/>
      <c r="I79" s="265"/>
      <c r="J79" s="262"/>
      <c r="K79" s="290"/>
      <c r="L79" s="289"/>
      <c r="M79" s="262"/>
      <c r="N79" s="262"/>
      <c r="O79" s="288"/>
      <c r="P79" s="260"/>
    </row>
    <row r="80" spans="1:20" s="60" customFormat="1" ht="19.5" customHeight="1" x14ac:dyDescent="0.2">
      <c r="A80" s="286" t="s">
        <v>212</v>
      </c>
      <c r="B80" s="269"/>
      <c r="C80" s="269"/>
      <c r="D80" s="270"/>
      <c r="E80" s="269"/>
      <c r="F80" s="293"/>
      <c r="G80" s="292"/>
      <c r="H80" s="291"/>
      <c r="I80" s="265"/>
      <c r="J80" s="262"/>
      <c r="K80" s="290"/>
      <c r="L80" s="289"/>
      <c r="M80" s="262"/>
      <c r="N80" s="262"/>
      <c r="O80" s="288"/>
      <c r="P80" s="260"/>
    </row>
    <row r="81" spans="1:16" s="60" customFormat="1" ht="19.5" customHeight="1" x14ac:dyDescent="0.2">
      <c r="A81" s="287" t="s">
        <v>211</v>
      </c>
      <c r="B81" s="269"/>
      <c r="C81" s="269"/>
      <c r="D81" s="270"/>
      <c r="E81" s="269"/>
      <c r="F81" s="293"/>
      <c r="G81" s="292"/>
      <c r="H81" s="291"/>
      <c r="I81" s="265"/>
      <c r="J81" s="262"/>
      <c r="K81" s="290"/>
      <c r="L81" s="289"/>
      <c r="M81" s="262"/>
      <c r="N81" s="262"/>
      <c r="O81" s="288"/>
      <c r="P81" s="260"/>
    </row>
    <row r="82" spans="1:16" s="60" customFormat="1" ht="19.5" customHeight="1" x14ac:dyDescent="0.2">
      <c r="A82" s="287" t="s">
        <v>210</v>
      </c>
      <c r="B82" s="269"/>
      <c r="C82" s="269"/>
      <c r="D82" s="270"/>
      <c r="E82" s="269"/>
      <c r="F82" s="293"/>
      <c r="G82" s="292"/>
      <c r="H82" s="291"/>
      <c r="I82" s="265"/>
      <c r="J82" s="262"/>
      <c r="K82" s="290"/>
      <c r="L82" s="289"/>
      <c r="M82" s="262"/>
      <c r="N82" s="262"/>
      <c r="O82" s="288"/>
      <c r="P82" s="260"/>
    </row>
    <row r="83" spans="1:16" s="60" customFormat="1" ht="19.5" customHeight="1" x14ac:dyDescent="0.2">
      <c r="A83" s="287" t="s">
        <v>209</v>
      </c>
      <c r="B83" s="269"/>
      <c r="C83" s="269"/>
      <c r="D83" s="270"/>
      <c r="E83" s="269"/>
      <c r="F83" s="293"/>
      <c r="G83" s="292"/>
      <c r="H83" s="291"/>
      <c r="I83" s="265"/>
      <c r="J83" s="262"/>
      <c r="K83" s="290"/>
      <c r="L83" s="289"/>
      <c r="M83" s="262"/>
      <c r="N83" s="262"/>
      <c r="O83" s="288"/>
      <c r="P83" s="260"/>
    </row>
    <row r="84" spans="1:16" s="60" customFormat="1" ht="19.5" customHeight="1" x14ac:dyDescent="0.2">
      <c r="A84" s="287" t="s">
        <v>208</v>
      </c>
      <c r="B84" s="269"/>
      <c r="C84" s="269"/>
      <c r="D84" s="270"/>
      <c r="E84" s="269"/>
      <c r="F84" s="293"/>
      <c r="G84" s="292"/>
      <c r="H84" s="291"/>
      <c r="I84" s="265"/>
      <c r="J84" s="262"/>
      <c r="K84" s="290"/>
      <c r="L84" s="289"/>
      <c r="M84" s="262"/>
      <c r="N84" s="262"/>
      <c r="O84" s="288"/>
      <c r="P84" s="260"/>
    </row>
    <row r="85" spans="1:16" s="60" customFormat="1" ht="19.5" customHeight="1" x14ac:dyDescent="0.2">
      <c r="A85" s="287" t="s">
        <v>207</v>
      </c>
      <c r="B85" s="269"/>
      <c r="C85" s="269"/>
      <c r="D85" s="270"/>
      <c r="E85" s="269"/>
      <c r="F85" s="293"/>
      <c r="G85" s="292"/>
      <c r="H85" s="291"/>
      <c r="I85" s="265"/>
      <c r="J85" s="262"/>
      <c r="K85" s="290"/>
      <c r="L85" s="289"/>
      <c r="M85" s="262"/>
      <c r="N85" s="262"/>
      <c r="O85" s="288"/>
      <c r="P85" s="260"/>
    </row>
    <row r="86" spans="1:16" s="60" customFormat="1" ht="19.5" customHeight="1" x14ac:dyDescent="0.2">
      <c r="A86" s="287" t="s">
        <v>206</v>
      </c>
      <c r="B86" s="269"/>
      <c r="C86" s="269"/>
      <c r="D86" s="270"/>
      <c r="E86" s="269"/>
      <c r="F86" s="293"/>
      <c r="G86" s="292"/>
      <c r="H86" s="291"/>
      <c r="I86" s="265"/>
      <c r="J86" s="262"/>
      <c r="K86" s="290"/>
      <c r="L86" s="289"/>
      <c r="M86" s="262"/>
      <c r="N86" s="262"/>
      <c r="O86" s="288"/>
      <c r="P86" s="260"/>
    </row>
    <row r="87" spans="1:16" s="60" customFormat="1" ht="19.5" customHeight="1" x14ac:dyDescent="0.2">
      <c r="A87" s="286"/>
      <c r="B87" s="269"/>
      <c r="C87" s="269"/>
      <c r="D87" s="270"/>
      <c r="E87" s="269"/>
      <c r="F87" s="293"/>
      <c r="G87" s="292"/>
      <c r="H87" s="291"/>
      <c r="I87" s="265"/>
      <c r="J87" s="262"/>
      <c r="K87" s="290"/>
      <c r="L87" s="289"/>
      <c r="M87" s="262"/>
      <c r="N87" s="262"/>
      <c r="O87" s="288"/>
      <c r="P87" s="260"/>
    </row>
    <row r="88" spans="1:16" s="60" customFormat="1" ht="19.5" customHeight="1" x14ac:dyDescent="0.25">
      <c r="A88" s="286" t="s">
        <v>205</v>
      </c>
      <c r="B88" s="278"/>
      <c r="C88" s="278"/>
      <c r="D88" s="281"/>
      <c r="E88" s="285"/>
      <c r="F88" s="285"/>
      <c r="G88" s="284"/>
      <c r="H88" s="182"/>
      <c r="I88" s="281"/>
      <c r="J88" s="281"/>
      <c r="K88" s="283"/>
      <c r="L88" s="282"/>
      <c r="M88" s="282"/>
      <c r="N88" s="281"/>
      <c r="O88" s="280"/>
      <c r="P88" s="275"/>
    </row>
    <row r="89" spans="1:16" s="60" customFormat="1" ht="19.5" customHeight="1" x14ac:dyDescent="0.25">
      <c r="A89" s="287" t="s">
        <v>204</v>
      </c>
      <c r="B89" s="278"/>
      <c r="C89" s="278"/>
      <c r="D89" s="281"/>
      <c r="E89" s="285"/>
      <c r="F89" s="285"/>
      <c r="G89" s="284"/>
      <c r="H89" s="182"/>
      <c r="I89" s="281"/>
      <c r="J89" s="281"/>
      <c r="K89" s="283"/>
      <c r="L89" s="282"/>
      <c r="M89" s="282"/>
      <c r="N89" s="281"/>
      <c r="O89" s="280"/>
      <c r="P89" s="275"/>
    </row>
    <row r="90" spans="1:16" s="60" customFormat="1" ht="19.5" customHeight="1" x14ac:dyDescent="0.25">
      <c r="A90" s="287" t="s">
        <v>203</v>
      </c>
      <c r="B90" s="278"/>
      <c r="C90" s="278"/>
      <c r="D90" s="281"/>
      <c r="E90" s="285"/>
      <c r="F90" s="285"/>
      <c r="G90" s="284"/>
      <c r="H90" s="182"/>
      <c r="I90" s="281"/>
      <c r="J90" s="281"/>
      <c r="K90" s="283"/>
      <c r="L90" s="282"/>
      <c r="M90" s="282"/>
      <c r="N90" s="281"/>
      <c r="O90" s="280"/>
      <c r="P90" s="275"/>
    </row>
    <row r="91" spans="1:16" s="60" customFormat="1" ht="19.5" customHeight="1" x14ac:dyDescent="0.25">
      <c r="A91" s="287" t="s">
        <v>202</v>
      </c>
      <c r="B91" s="278"/>
      <c r="C91" s="278"/>
      <c r="D91" s="281"/>
      <c r="E91" s="285"/>
      <c r="F91" s="285"/>
      <c r="G91" s="284"/>
      <c r="H91" s="182"/>
      <c r="I91" s="281"/>
      <c r="J91" s="281"/>
      <c r="K91" s="283"/>
      <c r="L91" s="282"/>
      <c r="M91" s="282"/>
      <c r="N91" s="281"/>
      <c r="O91" s="280"/>
      <c r="P91" s="275"/>
    </row>
    <row r="92" spans="1:16" s="60" customFormat="1" ht="19.5" customHeight="1" x14ac:dyDescent="0.25">
      <c r="A92" s="287" t="s">
        <v>201</v>
      </c>
      <c r="B92" s="278"/>
      <c r="C92" s="278"/>
      <c r="D92" s="281"/>
      <c r="E92" s="285"/>
      <c r="F92" s="285"/>
      <c r="G92" s="284"/>
      <c r="H92" s="182"/>
      <c r="I92" s="281"/>
      <c r="J92" s="281"/>
      <c r="K92" s="283"/>
      <c r="L92" s="282"/>
      <c r="M92" s="282"/>
      <c r="N92" s="281"/>
      <c r="O92" s="280"/>
      <c r="P92" s="275"/>
    </row>
    <row r="93" spans="1:16" s="60" customFormat="1" ht="19.5" customHeight="1" x14ac:dyDescent="0.25">
      <c r="A93" s="287" t="s">
        <v>200</v>
      </c>
      <c r="B93" s="278"/>
      <c r="C93" s="278"/>
      <c r="D93" s="281"/>
      <c r="E93" s="285"/>
      <c r="F93" s="285"/>
      <c r="G93" s="284"/>
      <c r="H93" s="182"/>
      <c r="I93" s="281"/>
      <c r="J93" s="281"/>
      <c r="K93" s="283"/>
      <c r="L93" s="282"/>
      <c r="M93" s="282"/>
      <c r="N93" s="281"/>
      <c r="O93" s="280"/>
      <c r="P93" s="275"/>
    </row>
    <row r="94" spans="1:16" s="60" customFormat="1" ht="19.5" customHeight="1" x14ac:dyDescent="0.25">
      <c r="A94" s="287" t="s">
        <v>200</v>
      </c>
      <c r="B94" s="278"/>
      <c r="C94" s="278"/>
      <c r="D94" s="281"/>
      <c r="E94" s="285"/>
      <c r="F94" s="285"/>
      <c r="G94" s="284"/>
      <c r="H94" s="182"/>
      <c r="I94" s="281"/>
      <c r="J94" s="281"/>
      <c r="K94" s="283"/>
      <c r="L94" s="282"/>
      <c r="M94" s="282"/>
      <c r="N94" s="281"/>
      <c r="O94" s="280"/>
      <c r="P94" s="275"/>
    </row>
    <row r="95" spans="1:16" s="60" customFormat="1" ht="19.5" customHeight="1" x14ac:dyDescent="0.25">
      <c r="A95" s="287" t="s">
        <v>194</v>
      </c>
      <c r="B95" s="278"/>
      <c r="C95" s="278"/>
      <c r="D95" s="281"/>
      <c r="E95" s="285"/>
      <c r="F95" s="285"/>
      <c r="G95" s="284"/>
      <c r="H95" s="182"/>
      <c r="I95" s="281"/>
      <c r="J95" s="281"/>
      <c r="K95" s="283"/>
      <c r="L95" s="282"/>
      <c r="M95" s="282"/>
      <c r="N95" s="281"/>
      <c r="O95" s="280"/>
      <c r="P95" s="275"/>
    </row>
    <row r="96" spans="1:16" s="60" customFormat="1" ht="19.5" customHeight="1" x14ac:dyDescent="0.25">
      <c r="A96" s="287" t="s">
        <v>199</v>
      </c>
      <c r="B96" s="278"/>
      <c r="C96" s="278"/>
      <c r="D96" s="281"/>
      <c r="E96" s="285"/>
      <c r="F96" s="285"/>
      <c r="G96" s="284"/>
      <c r="H96" s="182"/>
      <c r="I96" s="281"/>
      <c r="J96" s="281"/>
      <c r="K96" s="283"/>
      <c r="L96" s="282"/>
      <c r="M96" s="282"/>
      <c r="N96" s="281"/>
      <c r="O96" s="280"/>
      <c r="P96" s="275"/>
    </row>
    <row r="97" spans="1:16" s="60" customFormat="1" ht="19.5" customHeight="1" x14ac:dyDescent="0.25">
      <c r="A97" s="287" t="s">
        <v>198</v>
      </c>
      <c r="B97" s="278"/>
      <c r="C97" s="278"/>
      <c r="D97" s="281"/>
      <c r="E97" s="285"/>
      <c r="F97" s="285"/>
      <c r="G97" s="284"/>
      <c r="H97" s="182"/>
      <c r="I97" s="281"/>
      <c r="J97" s="281"/>
      <c r="K97" s="283"/>
      <c r="L97" s="282"/>
      <c r="M97" s="282"/>
      <c r="N97" s="281"/>
      <c r="O97" s="280"/>
      <c r="P97" s="275"/>
    </row>
    <row r="98" spans="1:16" s="60" customFormat="1" ht="19.5" customHeight="1" x14ac:dyDescent="0.25">
      <c r="A98" s="286"/>
      <c r="B98" s="278"/>
      <c r="C98" s="278"/>
      <c r="D98" s="281"/>
      <c r="E98" s="285"/>
      <c r="F98" s="285"/>
      <c r="G98" s="284"/>
      <c r="H98" s="182"/>
      <c r="I98" s="281"/>
      <c r="J98" s="281"/>
      <c r="K98" s="283"/>
      <c r="L98" s="282"/>
      <c r="M98" s="282"/>
      <c r="N98" s="281"/>
      <c r="O98" s="280"/>
      <c r="P98" s="275"/>
    </row>
    <row r="99" spans="1:16" s="60" customFormat="1" ht="19.5" customHeight="1" x14ac:dyDescent="0.25">
      <c r="A99" s="286" t="s">
        <v>197</v>
      </c>
      <c r="B99" s="278"/>
      <c r="C99" s="278"/>
      <c r="D99" s="281"/>
      <c r="E99" s="285"/>
      <c r="F99" s="285"/>
      <c r="G99" s="284"/>
      <c r="H99" s="182"/>
      <c r="I99" s="281"/>
      <c r="J99" s="281"/>
      <c r="K99" s="283"/>
      <c r="L99" s="282"/>
      <c r="M99" s="282"/>
      <c r="N99" s="281"/>
      <c r="O99" s="280"/>
      <c r="P99" s="275"/>
    </row>
    <row r="100" spans="1:16" s="60" customFormat="1" ht="19.5" customHeight="1" x14ac:dyDescent="0.25">
      <c r="A100" s="287" t="s">
        <v>196</v>
      </c>
      <c r="B100" s="278"/>
      <c r="C100" s="278"/>
      <c r="D100" s="281"/>
      <c r="E100" s="285"/>
      <c r="F100" s="285"/>
      <c r="G100" s="284"/>
      <c r="H100" s="182"/>
      <c r="I100" s="281"/>
      <c r="J100" s="281"/>
      <c r="K100" s="283"/>
      <c r="L100" s="282"/>
      <c r="M100" s="282"/>
      <c r="N100" s="281"/>
      <c r="O100" s="280"/>
      <c r="P100" s="275"/>
    </row>
    <row r="101" spans="1:16" s="60" customFormat="1" ht="19.5" customHeight="1" x14ac:dyDescent="0.25">
      <c r="A101" s="287" t="s">
        <v>195</v>
      </c>
      <c r="B101" s="278"/>
      <c r="C101" s="278"/>
      <c r="D101" s="281"/>
      <c r="E101" s="285"/>
      <c r="F101" s="285"/>
      <c r="G101" s="284"/>
      <c r="H101" s="182"/>
      <c r="I101" s="281"/>
      <c r="J101" s="281"/>
      <c r="K101" s="283"/>
      <c r="L101" s="282"/>
      <c r="M101" s="282"/>
      <c r="N101" s="281"/>
      <c r="O101" s="280"/>
      <c r="P101" s="275"/>
    </row>
    <row r="102" spans="1:16" s="60" customFormat="1" ht="19.5" customHeight="1" x14ac:dyDescent="0.25">
      <c r="A102" s="287" t="s">
        <v>194</v>
      </c>
      <c r="B102" s="278"/>
      <c r="C102" s="278"/>
      <c r="D102" s="281"/>
      <c r="E102" s="285"/>
      <c r="F102" s="285"/>
      <c r="G102" s="284"/>
      <c r="H102" s="182"/>
      <c r="I102" s="281"/>
      <c r="J102" s="281"/>
      <c r="K102" s="283"/>
      <c r="L102" s="282"/>
      <c r="M102" s="282"/>
      <c r="N102" s="281"/>
      <c r="O102" s="280"/>
      <c r="P102" s="275"/>
    </row>
    <row r="103" spans="1:16" s="60" customFormat="1" ht="19.5" customHeight="1" x14ac:dyDescent="0.25">
      <c r="A103" s="287" t="s">
        <v>193</v>
      </c>
      <c r="B103" s="278"/>
      <c r="C103" s="278"/>
      <c r="D103" s="281"/>
      <c r="E103" s="285"/>
      <c r="F103" s="285"/>
      <c r="G103" s="284"/>
      <c r="H103" s="182"/>
      <c r="I103" s="281"/>
      <c r="J103" s="281"/>
      <c r="K103" s="283"/>
      <c r="L103" s="282"/>
      <c r="M103" s="282"/>
      <c r="N103" s="281"/>
      <c r="O103" s="280"/>
      <c r="P103" s="275"/>
    </row>
    <row r="104" spans="1:16" s="60" customFormat="1" ht="19.5" customHeight="1" x14ac:dyDescent="0.25">
      <c r="A104" s="287"/>
      <c r="B104" s="278"/>
      <c r="C104" s="278"/>
      <c r="D104" s="281"/>
      <c r="E104" s="285"/>
      <c r="F104" s="285"/>
      <c r="G104" s="284"/>
      <c r="H104" s="182"/>
      <c r="I104" s="281"/>
      <c r="J104" s="281"/>
      <c r="K104" s="283"/>
      <c r="L104" s="282"/>
      <c r="M104" s="282"/>
      <c r="N104" s="281"/>
      <c r="O104" s="280"/>
      <c r="P104" s="275"/>
    </row>
    <row r="105" spans="1:16" s="60" customFormat="1" ht="19.5" customHeight="1" x14ac:dyDescent="0.25">
      <c r="A105" s="287"/>
      <c r="B105" s="278"/>
      <c r="C105" s="278"/>
      <c r="D105" s="281"/>
      <c r="E105" s="285"/>
      <c r="F105" s="285"/>
      <c r="G105" s="284"/>
      <c r="H105" s="182"/>
      <c r="I105" s="281"/>
      <c r="J105" s="281"/>
      <c r="K105" s="283"/>
      <c r="L105" s="282"/>
      <c r="M105" s="282"/>
      <c r="N105" s="281"/>
      <c r="O105" s="280"/>
      <c r="P105" s="275"/>
    </row>
    <row r="106" spans="1:16" s="60" customFormat="1" ht="19.5" customHeight="1" x14ac:dyDescent="0.25">
      <c r="A106" s="286"/>
      <c r="B106" s="278"/>
      <c r="C106" s="278"/>
      <c r="D106" s="281"/>
      <c r="E106" s="285"/>
      <c r="F106" s="285"/>
      <c r="G106" s="284"/>
      <c r="H106" s="182"/>
      <c r="I106" s="281"/>
      <c r="J106" s="281"/>
      <c r="K106" s="283"/>
      <c r="L106" s="282"/>
      <c r="M106" s="282"/>
      <c r="N106" s="281"/>
      <c r="O106" s="280"/>
      <c r="P106" s="275"/>
    </row>
    <row r="107" spans="1:16" s="60" customFormat="1" ht="19.5" customHeight="1" x14ac:dyDescent="0.25">
      <c r="A107" s="286"/>
      <c r="B107" s="278"/>
      <c r="C107" s="278"/>
      <c r="D107" s="281"/>
      <c r="E107" s="285"/>
      <c r="F107" s="285"/>
      <c r="G107" s="284"/>
      <c r="H107" s="182"/>
      <c r="I107" s="281"/>
      <c r="J107" s="281"/>
      <c r="K107" s="283"/>
      <c r="L107" s="282"/>
      <c r="M107" s="282"/>
      <c r="N107" s="281"/>
      <c r="O107" s="280"/>
      <c r="P107" s="275"/>
    </row>
    <row r="108" spans="1:16" s="60" customFormat="1" ht="19.5" customHeight="1" x14ac:dyDescent="0.25">
      <c r="A108" s="286"/>
      <c r="B108" s="278"/>
      <c r="C108" s="278"/>
      <c r="D108" s="281"/>
      <c r="E108" s="285"/>
      <c r="F108" s="285"/>
      <c r="G108" s="284"/>
      <c r="H108" s="182"/>
      <c r="I108" s="281"/>
      <c r="J108" s="281"/>
      <c r="K108" s="283"/>
      <c r="L108" s="282"/>
      <c r="M108" s="282"/>
      <c r="N108" s="281"/>
      <c r="O108" s="280"/>
      <c r="P108" s="275"/>
    </row>
    <row r="109" spans="1:16" s="60" customFormat="1" ht="19.5" customHeight="1" x14ac:dyDescent="0.25">
      <c r="A109" s="286"/>
      <c r="B109" s="278"/>
      <c r="C109" s="278"/>
      <c r="D109" s="281"/>
      <c r="E109" s="285"/>
      <c r="F109" s="285"/>
      <c r="G109" s="284"/>
      <c r="H109" s="182"/>
      <c r="I109" s="281"/>
      <c r="J109" s="281"/>
      <c r="K109" s="283"/>
      <c r="L109" s="282"/>
      <c r="M109" s="282"/>
      <c r="N109" s="281"/>
      <c r="O109" s="280"/>
      <c r="P109" s="275"/>
    </row>
    <row r="110" spans="1:16" s="60" customFormat="1" ht="19.5" customHeight="1" x14ac:dyDescent="0.25">
      <c r="A110" s="286"/>
      <c r="B110" s="278"/>
      <c r="C110" s="278"/>
      <c r="D110" s="281"/>
      <c r="E110" s="285"/>
      <c r="F110" s="285"/>
      <c r="G110" s="284"/>
      <c r="H110" s="182"/>
      <c r="I110" s="281"/>
      <c r="J110" s="281"/>
      <c r="K110" s="283"/>
      <c r="L110" s="282"/>
      <c r="M110" s="282"/>
      <c r="N110" s="281"/>
      <c r="O110" s="280"/>
      <c r="P110" s="275"/>
    </row>
    <row r="111" spans="1:16" s="60" customFormat="1" ht="19.5" customHeight="1" x14ac:dyDescent="0.25">
      <c r="A111" s="286"/>
      <c r="B111" s="278"/>
      <c r="C111" s="278"/>
      <c r="D111" s="281"/>
      <c r="E111" s="285"/>
      <c r="F111" s="285"/>
      <c r="G111" s="284"/>
      <c r="H111" s="182"/>
      <c r="I111" s="281"/>
      <c r="J111" s="281"/>
      <c r="K111" s="283"/>
      <c r="L111" s="282"/>
      <c r="M111" s="282"/>
      <c r="N111" s="281"/>
      <c r="O111" s="280"/>
      <c r="P111" s="275"/>
    </row>
    <row r="112" spans="1:16" s="60" customFormat="1" ht="19.5" customHeight="1" x14ac:dyDescent="0.25">
      <c r="A112" s="286"/>
      <c r="B112" s="278"/>
      <c r="C112" s="278"/>
      <c r="D112" s="281"/>
      <c r="E112" s="285"/>
      <c r="F112" s="285"/>
      <c r="G112" s="284"/>
      <c r="H112" s="182"/>
      <c r="I112" s="281"/>
      <c r="J112" s="281"/>
      <c r="K112" s="283"/>
      <c r="L112" s="282"/>
      <c r="M112" s="282"/>
      <c r="N112" s="281"/>
      <c r="O112" s="280"/>
      <c r="P112" s="275"/>
    </row>
    <row r="113" spans="1:16" s="60" customFormat="1" ht="19.5" customHeight="1" x14ac:dyDescent="0.25">
      <c r="A113" s="286"/>
      <c r="B113" s="278"/>
      <c r="C113" s="278"/>
      <c r="D113" s="281"/>
      <c r="E113" s="285"/>
      <c r="F113" s="285"/>
      <c r="G113" s="284"/>
      <c r="H113" s="182"/>
      <c r="I113" s="281"/>
      <c r="J113" s="281"/>
      <c r="K113" s="283"/>
      <c r="L113" s="282"/>
      <c r="M113" s="282"/>
      <c r="N113" s="281"/>
      <c r="O113" s="280"/>
      <c r="P113" s="275"/>
    </row>
    <row r="114" spans="1:16" s="60" customFormat="1" ht="19.5" customHeight="1" x14ac:dyDescent="0.25">
      <c r="A114" s="286"/>
      <c r="B114" s="278"/>
      <c r="C114" s="278"/>
      <c r="D114" s="281"/>
      <c r="E114" s="285"/>
      <c r="F114" s="285"/>
      <c r="G114" s="284"/>
      <c r="H114" s="182"/>
      <c r="I114" s="281"/>
      <c r="J114" s="281"/>
      <c r="K114" s="283"/>
      <c r="L114" s="282"/>
      <c r="M114" s="282"/>
      <c r="N114" s="281"/>
      <c r="O114" s="280"/>
      <c r="P114" s="275"/>
    </row>
    <row r="115" spans="1:16" s="60" customFormat="1" ht="19.5" customHeight="1" x14ac:dyDescent="0.25">
      <c r="A115" s="286"/>
      <c r="B115" s="278"/>
      <c r="C115" s="278"/>
      <c r="D115" s="281"/>
      <c r="E115" s="285"/>
      <c r="F115" s="285"/>
      <c r="G115" s="284"/>
      <c r="H115" s="182"/>
      <c r="I115" s="281"/>
      <c r="J115" s="281"/>
      <c r="K115" s="283"/>
      <c r="L115" s="282"/>
      <c r="M115" s="282"/>
      <c r="N115" s="281"/>
      <c r="O115" s="280"/>
      <c r="P115" s="275"/>
    </row>
    <row r="116" spans="1:16" s="60" customFormat="1" ht="19.5" customHeight="1" x14ac:dyDescent="0.25">
      <c r="A116" s="276" t="s">
        <v>192</v>
      </c>
      <c r="B116" s="278"/>
      <c r="C116" s="278"/>
      <c r="D116" s="279"/>
      <c r="E116" s="278" t="s">
        <v>191</v>
      </c>
      <c r="F116" s="278"/>
      <c r="G116" s="278"/>
      <c r="H116" s="276"/>
      <c r="I116" s="276"/>
      <c r="J116" s="274"/>
      <c r="K116" s="273"/>
      <c r="L116" s="276" t="s">
        <v>191</v>
      </c>
      <c r="M116" s="276"/>
      <c r="N116" s="276"/>
      <c r="O116" s="276"/>
      <c r="P116" s="10"/>
    </row>
    <row r="117" spans="1:16" s="60" customFormat="1" ht="19.5" customHeight="1" x14ac:dyDescent="0.25">
      <c r="A117" s="276"/>
      <c r="B117" s="278"/>
      <c r="C117" s="278"/>
      <c r="D117" s="279"/>
      <c r="E117" s="278"/>
      <c r="F117" s="278"/>
      <c r="G117" s="278"/>
      <c r="H117" s="276"/>
      <c r="I117" s="276"/>
      <c r="J117" s="274"/>
      <c r="K117" s="277"/>
      <c r="L117" s="276"/>
      <c r="M117" s="276"/>
      <c r="N117" s="276"/>
      <c r="O117" s="276"/>
      <c r="P117" s="275"/>
    </row>
    <row r="118" spans="1:16" s="60" customFormat="1" ht="19.5" customHeight="1" x14ac:dyDescent="0.25">
      <c r="A118" s="801" t="s">
        <v>190</v>
      </c>
      <c r="B118" s="801"/>
      <c r="C118" s="801"/>
      <c r="D118" s="274"/>
      <c r="E118" s="801" t="s">
        <v>189</v>
      </c>
      <c r="F118" s="801"/>
      <c r="G118" s="801"/>
      <c r="H118" s="801"/>
      <c r="I118" s="801"/>
      <c r="J118" s="274"/>
      <c r="K118" s="273"/>
      <c r="L118" s="801" t="s">
        <v>188</v>
      </c>
      <c r="M118" s="801"/>
      <c r="N118" s="801"/>
      <c r="O118" s="801"/>
      <c r="P118" s="272"/>
    </row>
    <row r="119" spans="1:16" s="60" customFormat="1" ht="19.5" customHeight="1" x14ac:dyDescent="0.25">
      <c r="A119" s="802"/>
      <c r="B119" s="802"/>
      <c r="C119" s="802"/>
      <c r="D119" s="274"/>
      <c r="E119" s="802" t="s">
        <v>187</v>
      </c>
      <c r="F119" s="802"/>
      <c r="G119" s="802"/>
      <c r="H119" s="802"/>
      <c r="I119" s="802"/>
      <c r="J119" s="274"/>
      <c r="K119" s="273"/>
      <c r="L119" s="802" t="s">
        <v>186</v>
      </c>
      <c r="M119" s="802"/>
      <c r="N119" s="802"/>
      <c r="O119" s="802"/>
      <c r="P119" s="272"/>
    </row>
    <row r="120" spans="1:16" s="60" customFormat="1" ht="19.5" customHeight="1" x14ac:dyDescent="0.2">
      <c r="A120" s="271"/>
      <c r="B120" s="269"/>
      <c r="C120" s="269"/>
      <c r="D120" s="270"/>
      <c r="E120" s="269"/>
      <c r="F120" s="268"/>
      <c r="G120" s="267"/>
      <c r="H120" s="266"/>
      <c r="I120" s="265"/>
      <c r="J120" s="262"/>
      <c r="K120" s="264"/>
      <c r="L120" s="263"/>
      <c r="M120" s="262"/>
      <c r="N120" s="262"/>
      <c r="O120" s="261"/>
      <c r="P120" s="260"/>
    </row>
    <row r="121" spans="1:16" ht="18.95" customHeight="1" x14ac:dyDescent="0.25">
      <c r="A121" s="826"/>
      <c r="B121" s="826"/>
      <c r="C121" s="826"/>
      <c r="D121" s="826"/>
      <c r="E121" s="826"/>
      <c r="F121" s="826"/>
      <c r="G121" s="826"/>
      <c r="H121" s="826"/>
      <c r="I121" s="826"/>
      <c r="J121" s="826"/>
      <c r="K121" s="826"/>
      <c r="L121" s="826"/>
      <c r="M121" s="826"/>
      <c r="N121" s="826"/>
      <c r="O121" s="826"/>
      <c r="P121" s="826"/>
    </row>
    <row r="122" spans="1:16" ht="18.95" customHeight="1" x14ac:dyDescent="0.25">
      <c r="A122" s="827"/>
      <c r="B122" s="827"/>
      <c r="C122" s="827"/>
      <c r="D122" s="827"/>
      <c r="E122" s="827"/>
      <c r="F122" s="827"/>
      <c r="G122" s="827"/>
      <c r="H122" s="827"/>
      <c r="I122" s="827"/>
      <c r="J122" s="827"/>
      <c r="K122" s="827"/>
      <c r="L122" s="827"/>
      <c r="M122" s="259"/>
      <c r="N122" s="259"/>
      <c r="O122" s="258"/>
      <c r="P122" s="15"/>
    </row>
    <row r="123" spans="1:16" ht="18.95" customHeight="1" x14ac:dyDescent="0.25">
      <c r="A123" s="257"/>
      <c r="B123" s="256"/>
      <c r="C123" s="256"/>
      <c r="D123" s="247"/>
      <c r="E123" s="256"/>
      <c r="F123" s="256"/>
      <c r="G123" s="255"/>
      <c r="H123" s="15"/>
      <c r="I123" s="247"/>
      <c r="J123" s="247"/>
      <c r="K123" s="254"/>
      <c r="P123" s="15"/>
    </row>
    <row r="131" spans="6:6" ht="18.95" customHeight="1" x14ac:dyDescent="0.2">
      <c r="F131" s="253"/>
    </row>
  </sheetData>
  <sortState xmlns:xlrd2="http://schemas.microsoft.com/office/spreadsheetml/2017/richdata2" ref="A58:T75">
    <sortCondition ref="A58:A75"/>
  </sortState>
  <mergeCells count="24">
    <mergeCell ref="A1:P1"/>
    <mergeCell ref="A2:P2"/>
    <mergeCell ref="A3:P3"/>
    <mergeCell ref="A4:P4"/>
    <mergeCell ref="A12:A14"/>
    <mergeCell ref="B12:B14"/>
    <mergeCell ref="C12:C14"/>
    <mergeCell ref="D12:D14"/>
    <mergeCell ref="P12:P14"/>
    <mergeCell ref="A11:P11"/>
    <mergeCell ref="E12:G13"/>
    <mergeCell ref="H12:I13"/>
    <mergeCell ref="J12:J14"/>
    <mergeCell ref="K12:O12"/>
    <mergeCell ref="K13:L13"/>
    <mergeCell ref="M13:O13"/>
    <mergeCell ref="A121:P121"/>
    <mergeCell ref="A122:L122"/>
    <mergeCell ref="A118:C118"/>
    <mergeCell ref="E118:I118"/>
    <mergeCell ref="L118:O118"/>
    <mergeCell ref="A119:C119"/>
    <mergeCell ref="E119:I119"/>
    <mergeCell ref="L119:O119"/>
  </mergeCells>
  <printOptions horizontalCentered="1"/>
  <pageMargins left="0" right="0" top="0.25" bottom="0.25" header="0.46" footer="0"/>
  <pageSetup paperSize="258" scale="66" orientation="landscape" verticalDpi="300" r:id="rId1"/>
  <headerFooter alignWithMargins="0"/>
  <rowBreaks count="1" manualBreakCount="1">
    <brk id="78" max="1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40</vt:i4>
      </vt:variant>
    </vt:vector>
  </HeadingPairs>
  <TitlesOfParts>
    <vt:vector size="47" baseType="lpstr">
      <vt:lpstr>RFO</vt:lpstr>
      <vt:lpstr>Ursula_Rice</vt:lpstr>
      <vt:lpstr>Rice-Urduja</vt:lpstr>
      <vt:lpstr>rice-Ruby</vt:lpstr>
      <vt:lpstr>rice-nona</vt:lpstr>
      <vt:lpstr>Rice_TISOY</vt:lpstr>
      <vt:lpstr>Rice_Glenda</vt:lpstr>
      <vt:lpstr>Glenda_Biliran</vt:lpstr>
      <vt:lpstr>Glenda_ESamar</vt:lpstr>
      <vt:lpstr>Glenda_leyte</vt:lpstr>
      <vt:lpstr>Glenda_NSamar</vt:lpstr>
      <vt:lpstr>Glenda_Samar</vt:lpstr>
      <vt:lpstr>Nona_Biliran</vt:lpstr>
      <vt:lpstr>Nona_ESamar</vt:lpstr>
      <vt:lpstr>Nona_NSamar</vt:lpstr>
      <vt:lpstr>Nona_Samar</vt:lpstr>
      <vt:lpstr>Rice_Glenda!Print_Area</vt:lpstr>
      <vt:lpstr>Rice_TISOY!Print_Area</vt:lpstr>
      <vt:lpstr>'rice-nona'!Print_Area</vt:lpstr>
      <vt:lpstr>'rice-Ruby'!Print_Area</vt:lpstr>
      <vt:lpstr>'Rice-Urduja'!Print_Area</vt:lpstr>
      <vt:lpstr>Ursula_Rice!Print_Area</vt:lpstr>
      <vt:lpstr>Rice_Glenda!Print_Titles</vt:lpstr>
      <vt:lpstr>Rice_TISOY!Print_Titles</vt:lpstr>
      <vt:lpstr>'rice-nona'!Print_Titles</vt:lpstr>
      <vt:lpstr>'rice-Ruby'!Print_Titles</vt:lpstr>
      <vt:lpstr>'Rice-Urduja'!Print_Titles</vt:lpstr>
      <vt:lpstr>Ursula_Rice!Print_Titles</vt:lpstr>
      <vt:lpstr>Ruby_Biliran</vt:lpstr>
      <vt:lpstr>Ruby_ESamar</vt:lpstr>
      <vt:lpstr>Ruby_Leyte</vt:lpstr>
      <vt:lpstr>Ruby_NSamar</vt:lpstr>
      <vt:lpstr>Ruby_Samar</vt:lpstr>
      <vt:lpstr>TISOY_BILIRAN</vt:lpstr>
      <vt:lpstr>Tisoy_ESamar</vt:lpstr>
      <vt:lpstr>Tisoy_NSamar</vt:lpstr>
      <vt:lpstr>Tisoy_wSamar</vt:lpstr>
      <vt:lpstr>Urduja_Biliran</vt:lpstr>
      <vt:lpstr>Urduja_ESamar</vt:lpstr>
      <vt:lpstr>Urduja_Leyte</vt:lpstr>
      <vt:lpstr>Urduja_NSamar</vt:lpstr>
      <vt:lpstr>Urduja_Samar</vt:lpstr>
      <vt:lpstr>Urduja_SLeyte</vt:lpstr>
      <vt:lpstr>Ursula_Biliran</vt:lpstr>
      <vt:lpstr>Ursula_ESamar</vt:lpstr>
      <vt:lpstr>Ursula_Leyte</vt:lpstr>
      <vt:lpstr>Ursula_WSamar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marieke van brussel</cp:lastModifiedBy>
  <cp:lastPrinted>2021-06-22T03:05:24Z</cp:lastPrinted>
  <dcterms:created xsi:type="dcterms:W3CDTF">2018-07-23T01:57:49Z</dcterms:created>
  <dcterms:modified xsi:type="dcterms:W3CDTF">2021-08-13T14:11:01Z</dcterms:modified>
</cp:coreProperties>
</file>