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8_{62F5B85A-4F04-4E77-AB0B-58BEC761BA11}" xr6:coauthVersionLast="47" xr6:coauthVersionMax="47" xr10:uidLastSave="{00000000-0000-0000-0000-000000000000}"/>
  <bookViews>
    <workbookView xWindow="-120" yWindow="-120" windowWidth="29040" windowHeight="16440" xr2:uid="{00000000-000D-0000-FFFF-FFFF00000000}"/>
  </bookViews>
  <sheets>
    <sheet name="RFO 8"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10" i="1" l="1"/>
  <c r="AV10" i="1"/>
  <c r="AK10" i="1"/>
  <c r="AJ10" i="1"/>
  <c r="AH10" i="1"/>
  <c r="AG10" i="1"/>
  <c r="AF10" i="1"/>
  <c r="AD10" i="1"/>
  <c r="Y10" i="1"/>
  <c r="X10" i="1"/>
  <c r="V10" i="1"/>
  <c r="U10" i="1"/>
  <c r="T10" i="1"/>
  <c r="S10" i="1"/>
  <c r="R10" i="1"/>
  <c r="P10" i="1"/>
  <c r="O10" i="1"/>
  <c r="N10" i="1"/>
  <c r="M10" i="1"/>
  <c r="L10" i="1"/>
  <c r="J10" i="1"/>
  <c r="I10" i="1"/>
  <c r="H10" i="1"/>
  <c r="G10" i="1"/>
  <c r="F10" i="1"/>
  <c r="D10" i="1"/>
  <c r="C10" i="1"/>
  <c r="BB54" i="1"/>
  <c r="AV54" i="1"/>
  <c r="AK54" i="1"/>
  <c r="AJ54" i="1"/>
  <c r="AH54" i="1"/>
  <c r="AG54" i="1"/>
  <c r="AF54" i="1"/>
  <c r="AE54" i="1"/>
  <c r="AD54" i="1"/>
  <c r="Y54" i="1"/>
  <c r="X54" i="1"/>
  <c r="V54" i="1"/>
  <c r="U54" i="1"/>
  <c r="T54" i="1"/>
  <c r="S54" i="1"/>
  <c r="R54" i="1"/>
  <c r="P54" i="1"/>
  <c r="O54" i="1"/>
  <c r="N54" i="1"/>
  <c r="M54" i="1"/>
  <c r="L54" i="1"/>
  <c r="J54" i="1"/>
  <c r="I54" i="1"/>
  <c r="H54" i="1"/>
  <c r="G54" i="1"/>
  <c r="F54" i="1"/>
  <c r="D54" i="1"/>
  <c r="C54" i="1"/>
  <c r="BB70" i="1"/>
  <c r="AV70" i="1"/>
  <c r="AD70" i="1"/>
  <c r="S70" i="1"/>
  <c r="R70" i="1"/>
  <c r="P70" i="1"/>
  <c r="O70" i="1"/>
  <c r="N70" i="1"/>
  <c r="L70" i="1"/>
  <c r="J70" i="1"/>
  <c r="I70" i="1"/>
  <c r="H70" i="1"/>
  <c r="G70" i="1"/>
  <c r="F70" i="1"/>
  <c r="D70" i="1"/>
  <c r="C70" i="1"/>
  <c r="BB79" i="1"/>
  <c r="AV79" i="1"/>
  <c r="AD79" i="1"/>
  <c r="R79" i="1"/>
  <c r="P79" i="1"/>
  <c r="O79" i="1"/>
  <c r="N79" i="1"/>
  <c r="M79" i="1"/>
  <c r="L79" i="1"/>
  <c r="J79" i="1"/>
  <c r="I79" i="1"/>
  <c r="H79" i="1"/>
  <c r="G79" i="1"/>
  <c r="F79" i="1"/>
  <c r="D79" i="1"/>
  <c r="C79" i="1"/>
  <c r="BB106" i="1"/>
  <c r="AV106" i="1"/>
  <c r="AD106" i="1"/>
  <c r="X106" i="1"/>
  <c r="S106" i="1"/>
  <c r="R106" i="1"/>
  <c r="P106" i="1"/>
  <c r="O106" i="1"/>
  <c r="N106" i="1"/>
  <c r="M106" i="1"/>
  <c r="L106" i="1"/>
  <c r="J106" i="1"/>
  <c r="I106" i="1"/>
  <c r="H106" i="1"/>
  <c r="G106" i="1"/>
  <c r="F106" i="1"/>
  <c r="D106" i="1"/>
  <c r="C106" i="1"/>
  <c r="BB131" i="1"/>
  <c r="AV131" i="1"/>
  <c r="AD131" i="1"/>
  <c r="X131" i="1"/>
  <c r="S131" i="1"/>
  <c r="R131" i="1"/>
  <c r="P131" i="1"/>
  <c r="O131" i="1"/>
  <c r="N131" i="1"/>
  <c r="M131" i="1"/>
  <c r="L131" i="1"/>
  <c r="J131" i="1"/>
  <c r="I131" i="1"/>
  <c r="H131" i="1"/>
  <c r="G131" i="1"/>
  <c r="F131" i="1"/>
  <c r="D131" i="1"/>
  <c r="C131" i="1"/>
  <c r="B131" i="1"/>
  <c r="B106" i="1"/>
  <c r="B79" i="1"/>
  <c r="B70" i="1"/>
  <c r="B10" i="1"/>
  <c r="BC108" i="1"/>
  <c r="BC109" i="1"/>
  <c r="BC110" i="1"/>
  <c r="BC111" i="1"/>
  <c r="BC112" i="1"/>
  <c r="BC114" i="1"/>
  <c r="BC116" i="1"/>
  <c r="BC117" i="1"/>
  <c r="BC118" i="1"/>
  <c r="BC119" i="1"/>
  <c r="BC120" i="1"/>
  <c r="BC121" i="1"/>
  <c r="BC122" i="1"/>
  <c r="BC123" i="1"/>
  <c r="BC125" i="1"/>
  <c r="BC126" i="1"/>
  <c r="BC127" i="1"/>
  <c r="BC129" i="1"/>
  <c r="BC107" i="1"/>
  <c r="AX108" i="1"/>
  <c r="AY108" i="1"/>
  <c r="AZ108" i="1"/>
  <c r="AX109" i="1"/>
  <c r="AY109" i="1"/>
  <c r="AZ109" i="1"/>
  <c r="AX110" i="1"/>
  <c r="AY110" i="1"/>
  <c r="AZ110" i="1"/>
  <c r="AX111" i="1"/>
  <c r="AY111" i="1"/>
  <c r="AZ111" i="1"/>
  <c r="AX112" i="1"/>
  <c r="AY112" i="1"/>
  <c r="AZ112" i="1"/>
  <c r="AX113" i="1"/>
  <c r="AY113" i="1"/>
  <c r="AZ113" i="1"/>
  <c r="AX114" i="1"/>
  <c r="AY114" i="1"/>
  <c r="AZ114" i="1"/>
  <c r="AX115" i="1"/>
  <c r="AY115" i="1"/>
  <c r="BA115" i="1" s="1"/>
  <c r="AZ115" i="1"/>
  <c r="AX116" i="1"/>
  <c r="AY116" i="1"/>
  <c r="AZ116" i="1"/>
  <c r="AX117" i="1"/>
  <c r="AY117" i="1"/>
  <c r="AZ117" i="1"/>
  <c r="AX118" i="1"/>
  <c r="AY118" i="1"/>
  <c r="AZ118" i="1"/>
  <c r="AX119" i="1"/>
  <c r="AY119" i="1"/>
  <c r="AZ119" i="1"/>
  <c r="AX120" i="1"/>
  <c r="AY120" i="1"/>
  <c r="AZ120" i="1"/>
  <c r="BA120" i="1" s="1"/>
  <c r="AX121" i="1"/>
  <c r="AY121" i="1"/>
  <c r="AZ121" i="1"/>
  <c r="AX122" i="1"/>
  <c r="AY122" i="1"/>
  <c r="AZ122" i="1"/>
  <c r="AX123" i="1"/>
  <c r="AY123" i="1"/>
  <c r="BA123" i="1" s="1"/>
  <c r="AZ123" i="1"/>
  <c r="AX124" i="1"/>
  <c r="AY124" i="1"/>
  <c r="AZ124" i="1"/>
  <c r="AX125" i="1"/>
  <c r="AY125" i="1"/>
  <c r="AZ125" i="1"/>
  <c r="AX126" i="1"/>
  <c r="AY126" i="1"/>
  <c r="AZ126" i="1"/>
  <c r="AX127" i="1"/>
  <c r="AY127" i="1"/>
  <c r="AZ127" i="1"/>
  <c r="AX128" i="1"/>
  <c r="AY128" i="1"/>
  <c r="AZ128" i="1"/>
  <c r="AX129" i="1"/>
  <c r="AY129" i="1"/>
  <c r="AZ129" i="1"/>
  <c r="AZ107" i="1"/>
  <c r="AZ106" i="1" s="1"/>
  <c r="AY107" i="1"/>
  <c r="AY106" i="1" s="1"/>
  <c r="AX107" i="1"/>
  <c r="AX106" i="1" s="1"/>
  <c r="AX100" i="1"/>
  <c r="AY100" i="1"/>
  <c r="BA100" i="1" s="1"/>
  <c r="AZ100" i="1"/>
  <c r="AX81" i="1"/>
  <c r="AY81" i="1"/>
  <c r="AZ81" i="1"/>
  <c r="BC81" i="1"/>
  <c r="AX82" i="1"/>
  <c r="AY82" i="1"/>
  <c r="AZ82" i="1"/>
  <c r="BC82" i="1"/>
  <c r="AX83" i="1"/>
  <c r="AY83" i="1"/>
  <c r="AZ83" i="1"/>
  <c r="BC83" i="1"/>
  <c r="AX84" i="1"/>
  <c r="AY84" i="1"/>
  <c r="AZ84" i="1"/>
  <c r="BC84" i="1"/>
  <c r="AX85" i="1"/>
  <c r="AY85" i="1"/>
  <c r="AZ85" i="1"/>
  <c r="BA85" i="1"/>
  <c r="BC85" i="1"/>
  <c r="AX86" i="1"/>
  <c r="AY86" i="1"/>
  <c r="BA86" i="1" s="1"/>
  <c r="AZ86" i="1"/>
  <c r="BC86" i="1"/>
  <c r="AX87" i="1"/>
  <c r="AY87" i="1"/>
  <c r="AZ87" i="1"/>
  <c r="BC87" i="1"/>
  <c r="AX88" i="1"/>
  <c r="AY88" i="1"/>
  <c r="BA88" i="1" s="1"/>
  <c r="AZ88" i="1"/>
  <c r="BC88" i="1"/>
  <c r="AX89" i="1"/>
  <c r="AY89" i="1"/>
  <c r="AZ89" i="1"/>
  <c r="AX90" i="1"/>
  <c r="AY90" i="1"/>
  <c r="AZ90" i="1"/>
  <c r="BC90" i="1"/>
  <c r="AX91" i="1"/>
  <c r="AY91" i="1"/>
  <c r="AZ91" i="1"/>
  <c r="BA91" i="1" s="1"/>
  <c r="BC91" i="1"/>
  <c r="AX92" i="1"/>
  <c r="AY92" i="1"/>
  <c r="BA92" i="1" s="1"/>
  <c r="AZ92" i="1"/>
  <c r="BC92" i="1"/>
  <c r="AX93" i="1"/>
  <c r="AY93" i="1"/>
  <c r="AZ93" i="1"/>
  <c r="BA93" i="1" s="1"/>
  <c r="AX94" i="1"/>
  <c r="AY94" i="1"/>
  <c r="AZ94" i="1"/>
  <c r="BC94" i="1"/>
  <c r="AX95" i="1"/>
  <c r="AY95" i="1"/>
  <c r="AZ95" i="1"/>
  <c r="BC95" i="1"/>
  <c r="AX96" i="1"/>
  <c r="AY96" i="1"/>
  <c r="AZ96" i="1"/>
  <c r="BC96" i="1"/>
  <c r="AX97" i="1"/>
  <c r="AY97" i="1"/>
  <c r="AZ97" i="1"/>
  <c r="BC97" i="1"/>
  <c r="AX98" i="1"/>
  <c r="AY98" i="1"/>
  <c r="AZ98" i="1"/>
  <c r="BC98" i="1"/>
  <c r="AX99" i="1"/>
  <c r="AY99" i="1"/>
  <c r="AZ99" i="1"/>
  <c r="BC99" i="1"/>
  <c r="AX101" i="1"/>
  <c r="AY101" i="1"/>
  <c r="AZ101" i="1"/>
  <c r="BC101" i="1"/>
  <c r="AX102" i="1"/>
  <c r="AY102" i="1"/>
  <c r="AZ102" i="1"/>
  <c r="BC102" i="1"/>
  <c r="AX103" i="1"/>
  <c r="AY103" i="1"/>
  <c r="AZ103" i="1"/>
  <c r="AX104" i="1"/>
  <c r="AY104" i="1"/>
  <c r="AZ104" i="1"/>
  <c r="BC80" i="1"/>
  <c r="AZ80" i="1"/>
  <c r="AZ79" i="1" s="1"/>
  <c r="AY80" i="1"/>
  <c r="AY79" i="1" s="1"/>
  <c r="AX80" i="1"/>
  <c r="AX79" i="1" s="1"/>
  <c r="AX72" i="1"/>
  <c r="AY72" i="1"/>
  <c r="AZ72" i="1"/>
  <c r="AX73" i="1"/>
  <c r="AY73" i="1"/>
  <c r="AZ73" i="1"/>
  <c r="AX74" i="1"/>
  <c r="AY74" i="1"/>
  <c r="AZ74" i="1"/>
  <c r="BC74" i="1"/>
  <c r="AX75" i="1"/>
  <c r="AY75" i="1"/>
  <c r="AZ75" i="1"/>
  <c r="BC75" i="1"/>
  <c r="AX76" i="1"/>
  <c r="AY76" i="1"/>
  <c r="AZ76" i="1"/>
  <c r="AX77" i="1"/>
  <c r="AY77" i="1"/>
  <c r="AZ77" i="1"/>
  <c r="AZ71" i="1"/>
  <c r="AZ70" i="1" s="1"/>
  <c r="AY71" i="1"/>
  <c r="AX71" i="1"/>
  <c r="AX70" i="1" s="1"/>
  <c r="AX56" i="1"/>
  <c r="AY56" i="1"/>
  <c r="AZ56" i="1"/>
  <c r="BC56" i="1"/>
  <c r="AX57" i="1"/>
  <c r="AY57" i="1"/>
  <c r="AZ57" i="1"/>
  <c r="BC57" i="1"/>
  <c r="AX58" i="1"/>
  <c r="AY58" i="1"/>
  <c r="AZ58" i="1"/>
  <c r="BC58" i="1"/>
  <c r="AX59" i="1"/>
  <c r="AY59" i="1"/>
  <c r="AZ59" i="1"/>
  <c r="BC59" i="1"/>
  <c r="AX60" i="1"/>
  <c r="AY60" i="1"/>
  <c r="AZ60" i="1"/>
  <c r="BC60" i="1"/>
  <c r="AX61" i="1"/>
  <c r="AY61" i="1"/>
  <c r="AZ61" i="1"/>
  <c r="BC61" i="1"/>
  <c r="AX62" i="1"/>
  <c r="AY62" i="1"/>
  <c r="AZ62" i="1"/>
  <c r="BC62" i="1"/>
  <c r="AX63" i="1"/>
  <c r="AY63" i="1"/>
  <c r="AZ63" i="1"/>
  <c r="BC63" i="1"/>
  <c r="AX64" i="1"/>
  <c r="AY64" i="1"/>
  <c r="AZ64" i="1"/>
  <c r="BC64" i="1"/>
  <c r="AX65" i="1"/>
  <c r="AY65" i="1"/>
  <c r="AZ65" i="1"/>
  <c r="BC65" i="1"/>
  <c r="AX66" i="1"/>
  <c r="AY66" i="1"/>
  <c r="BA66" i="1" s="1"/>
  <c r="AZ66" i="1"/>
  <c r="BC66" i="1"/>
  <c r="AX67" i="1"/>
  <c r="AY67" i="1"/>
  <c r="BA67" i="1" s="1"/>
  <c r="AZ67" i="1"/>
  <c r="BC67" i="1"/>
  <c r="AX68" i="1"/>
  <c r="AY68" i="1"/>
  <c r="AZ68" i="1"/>
  <c r="BC68" i="1"/>
  <c r="BC55" i="1"/>
  <c r="BC54" i="1" s="1"/>
  <c r="AZ55" i="1"/>
  <c r="BA55" i="1" s="1"/>
  <c r="AY55" i="1"/>
  <c r="AY54" i="1" s="1"/>
  <c r="AX55" i="1"/>
  <c r="AX54" i="1" s="1"/>
  <c r="AX11" i="1"/>
  <c r="AX13" i="1"/>
  <c r="AY13" i="1"/>
  <c r="AZ13" i="1"/>
  <c r="BC13" i="1"/>
  <c r="AX14" i="1"/>
  <c r="AY14" i="1"/>
  <c r="AZ14" i="1"/>
  <c r="AX15" i="1"/>
  <c r="AY15" i="1"/>
  <c r="AZ15" i="1"/>
  <c r="BC15" i="1"/>
  <c r="AX16" i="1"/>
  <c r="AY16" i="1"/>
  <c r="AZ16" i="1"/>
  <c r="AX17" i="1"/>
  <c r="AY17" i="1"/>
  <c r="AZ17" i="1"/>
  <c r="BC17" i="1"/>
  <c r="AX18" i="1"/>
  <c r="AY18" i="1"/>
  <c r="AZ18" i="1"/>
  <c r="BC18" i="1"/>
  <c r="AX19" i="1"/>
  <c r="AY19" i="1"/>
  <c r="AZ19" i="1"/>
  <c r="AX20" i="1"/>
  <c r="AY20" i="1"/>
  <c r="AZ20" i="1"/>
  <c r="BC20" i="1"/>
  <c r="AX21" i="1"/>
  <c r="AY21" i="1"/>
  <c r="AZ21" i="1"/>
  <c r="AX22" i="1"/>
  <c r="AY22" i="1"/>
  <c r="AZ22" i="1"/>
  <c r="AX23" i="1"/>
  <c r="AY23" i="1"/>
  <c r="AZ23" i="1"/>
  <c r="BC23" i="1"/>
  <c r="AX24" i="1"/>
  <c r="AY24" i="1"/>
  <c r="AZ24" i="1"/>
  <c r="BC24" i="1"/>
  <c r="AX25" i="1"/>
  <c r="AY25" i="1"/>
  <c r="AZ25" i="1"/>
  <c r="BC25" i="1"/>
  <c r="AX26" i="1"/>
  <c r="AY26" i="1"/>
  <c r="AZ26" i="1"/>
  <c r="AX27" i="1"/>
  <c r="AY27" i="1"/>
  <c r="AZ27" i="1"/>
  <c r="BC27" i="1"/>
  <c r="AX28" i="1"/>
  <c r="AY28" i="1"/>
  <c r="AZ28" i="1"/>
  <c r="BC28" i="1"/>
  <c r="AX29" i="1"/>
  <c r="AY29" i="1"/>
  <c r="AZ29" i="1"/>
  <c r="BC29" i="1"/>
  <c r="AX30" i="1"/>
  <c r="AY30" i="1"/>
  <c r="AZ30" i="1"/>
  <c r="BC30" i="1"/>
  <c r="AX31" i="1"/>
  <c r="AY31" i="1"/>
  <c r="AZ31" i="1"/>
  <c r="BC31" i="1"/>
  <c r="AX32" i="1"/>
  <c r="AY32" i="1"/>
  <c r="AZ32" i="1"/>
  <c r="AX33" i="1"/>
  <c r="AY33" i="1"/>
  <c r="AZ33" i="1"/>
  <c r="BC33" i="1"/>
  <c r="AX34" i="1"/>
  <c r="AY34" i="1"/>
  <c r="AZ34" i="1"/>
  <c r="BC34" i="1"/>
  <c r="AX35" i="1"/>
  <c r="AY35" i="1"/>
  <c r="AZ35" i="1"/>
  <c r="BC35" i="1"/>
  <c r="AX36" i="1"/>
  <c r="AY36" i="1"/>
  <c r="AZ36" i="1"/>
  <c r="BC36" i="1"/>
  <c r="AX37" i="1"/>
  <c r="AY37" i="1"/>
  <c r="AZ37" i="1"/>
  <c r="BC37" i="1"/>
  <c r="AX38" i="1"/>
  <c r="AY38" i="1"/>
  <c r="AZ38" i="1"/>
  <c r="BC38" i="1"/>
  <c r="AX39" i="1"/>
  <c r="AY39" i="1"/>
  <c r="AZ39" i="1"/>
  <c r="BC39" i="1"/>
  <c r="AX40" i="1"/>
  <c r="AY40" i="1"/>
  <c r="AZ40" i="1"/>
  <c r="AX41" i="1"/>
  <c r="AY41" i="1"/>
  <c r="AZ41" i="1"/>
  <c r="BC41" i="1"/>
  <c r="AX42" i="1"/>
  <c r="AY42" i="1"/>
  <c r="AZ42" i="1"/>
  <c r="BC42" i="1"/>
  <c r="AX43" i="1"/>
  <c r="AY43" i="1"/>
  <c r="AZ43" i="1"/>
  <c r="AX44" i="1"/>
  <c r="AY44" i="1"/>
  <c r="AZ44" i="1"/>
  <c r="BC44" i="1"/>
  <c r="AX45" i="1"/>
  <c r="AY45" i="1"/>
  <c r="AZ45" i="1"/>
  <c r="BC45" i="1"/>
  <c r="AX46" i="1"/>
  <c r="AY46" i="1"/>
  <c r="AZ46" i="1"/>
  <c r="BC46" i="1"/>
  <c r="AX47" i="1"/>
  <c r="AY47" i="1"/>
  <c r="AZ47" i="1"/>
  <c r="BC47" i="1"/>
  <c r="AX48" i="1"/>
  <c r="AY48" i="1"/>
  <c r="AZ48" i="1"/>
  <c r="BC48" i="1"/>
  <c r="AX49" i="1"/>
  <c r="AY49" i="1"/>
  <c r="AZ49" i="1"/>
  <c r="BC49" i="1"/>
  <c r="AX50" i="1"/>
  <c r="AY50" i="1"/>
  <c r="AZ50" i="1"/>
  <c r="BC50" i="1"/>
  <c r="AX51" i="1"/>
  <c r="AY51" i="1"/>
  <c r="AZ51" i="1"/>
  <c r="BC51" i="1"/>
  <c r="AX52" i="1"/>
  <c r="AY52" i="1"/>
  <c r="AZ52" i="1"/>
  <c r="BC52" i="1"/>
  <c r="AZ12" i="1"/>
  <c r="AY12" i="1"/>
  <c r="AX12" i="1"/>
  <c r="D17" i="13"/>
  <c r="F18" i="13"/>
  <c r="AY11" i="1" s="1"/>
  <c r="G18" i="13"/>
  <c r="AZ11" i="1" s="1"/>
  <c r="K18" i="13"/>
  <c r="Q18" i="13"/>
  <c r="H19" i="13"/>
  <c r="K19" i="13"/>
  <c r="M19" i="13" s="1"/>
  <c r="BC12" i="1" s="1"/>
  <c r="Q19" i="13"/>
  <c r="H21" i="13"/>
  <c r="K21" i="13"/>
  <c r="M21" i="13" s="1"/>
  <c r="BC40" i="1" s="1"/>
  <c r="Q21" i="13"/>
  <c r="H22" i="13"/>
  <c r="K22" i="13"/>
  <c r="M22" i="13" s="1"/>
  <c r="BC43" i="1" s="1"/>
  <c r="Q22" i="13"/>
  <c r="H26" i="13"/>
  <c r="K26" i="13"/>
  <c r="M26" i="13" s="1"/>
  <c r="BC21" i="1" s="1"/>
  <c r="Q26" i="13"/>
  <c r="H27" i="13"/>
  <c r="K27" i="13"/>
  <c r="M27" i="13" s="1"/>
  <c r="BC14" i="1" s="1"/>
  <c r="Q27" i="13"/>
  <c r="H30" i="13"/>
  <c r="K30" i="13"/>
  <c r="M30" i="13" s="1"/>
  <c r="BC19" i="1" s="1"/>
  <c r="Q30" i="13"/>
  <c r="H31" i="13"/>
  <c r="K31" i="13"/>
  <c r="M31" i="13" s="1"/>
  <c r="BC22" i="1" s="1"/>
  <c r="Q31" i="13"/>
  <c r="H32" i="13"/>
  <c r="K32" i="13"/>
  <c r="M32" i="13" s="1"/>
  <c r="BC26" i="1" s="1"/>
  <c r="Q32" i="13"/>
  <c r="H35" i="13"/>
  <c r="K35" i="13"/>
  <c r="M35" i="13" s="1"/>
  <c r="BC32" i="1" s="1"/>
  <c r="Q35" i="13"/>
  <c r="D42" i="13"/>
  <c r="F42" i="13"/>
  <c r="G42" i="13"/>
  <c r="H43" i="13"/>
  <c r="K43" i="13"/>
  <c r="M43" i="13" s="1"/>
  <c r="BC71" i="1" s="1"/>
  <c r="Q43" i="13"/>
  <c r="H44" i="13"/>
  <c r="K44" i="13"/>
  <c r="M44" i="13" s="1"/>
  <c r="BC72" i="1" s="1"/>
  <c r="Q44" i="13"/>
  <c r="H45" i="13"/>
  <c r="K45" i="13"/>
  <c r="M45" i="13" s="1"/>
  <c r="BC73" i="1" s="1"/>
  <c r="Q45" i="13"/>
  <c r="H47" i="13"/>
  <c r="K47" i="13"/>
  <c r="N47" i="13" s="1"/>
  <c r="M47" i="13" s="1"/>
  <c r="BC76" i="1" s="1"/>
  <c r="Q47" i="13"/>
  <c r="H48" i="13"/>
  <c r="K48" i="13"/>
  <c r="M48" i="13" s="1"/>
  <c r="BC77" i="1" s="1"/>
  <c r="Q48" i="13"/>
  <c r="C51" i="13"/>
  <c r="D51" i="13"/>
  <c r="F51" i="13"/>
  <c r="G51" i="13"/>
  <c r="N51" i="13"/>
  <c r="P51" i="13"/>
  <c r="H52" i="13"/>
  <c r="K52" i="13"/>
  <c r="M52" i="13" s="1"/>
  <c r="BC93" i="1" s="1"/>
  <c r="Q52" i="13"/>
  <c r="H53" i="13"/>
  <c r="K53" i="13"/>
  <c r="M53" i="13" s="1"/>
  <c r="BC89" i="1" s="1"/>
  <c r="Q53" i="13"/>
  <c r="H54" i="13"/>
  <c r="K54" i="13"/>
  <c r="M54" i="13" s="1"/>
  <c r="BC100" i="1" s="1"/>
  <c r="Q54" i="13"/>
  <c r="H55" i="13"/>
  <c r="K55" i="13"/>
  <c r="M55" i="13" s="1"/>
  <c r="BC103" i="1" s="1"/>
  <c r="Q55" i="13"/>
  <c r="H56" i="13"/>
  <c r="K56" i="13"/>
  <c r="M56" i="13" s="1"/>
  <c r="BC104" i="1" s="1"/>
  <c r="Q56" i="13"/>
  <c r="C58" i="13"/>
  <c r="D58" i="13"/>
  <c r="F58" i="13"/>
  <c r="G58" i="13"/>
  <c r="P58" i="13"/>
  <c r="H59" i="13"/>
  <c r="K59" i="13"/>
  <c r="M59" i="13" s="1"/>
  <c r="BC115" i="1" s="1"/>
  <c r="Q59" i="13"/>
  <c r="H60" i="13"/>
  <c r="K60" i="13"/>
  <c r="M60" i="13" s="1"/>
  <c r="BC124" i="1" s="1"/>
  <c r="Q60" i="13"/>
  <c r="H61" i="13"/>
  <c r="K61" i="13"/>
  <c r="M61" i="13" s="1"/>
  <c r="BC128" i="1" s="1"/>
  <c r="Q61" i="13"/>
  <c r="H62" i="13"/>
  <c r="K62" i="13"/>
  <c r="M62" i="13" s="1"/>
  <c r="BC113" i="1" s="1"/>
  <c r="Q62" i="13"/>
  <c r="C64" i="13"/>
  <c r="D64" i="13"/>
  <c r="F64" i="13"/>
  <c r="G64" i="13"/>
  <c r="M64" i="13"/>
  <c r="H65" i="13"/>
  <c r="H64" i="13" s="1"/>
  <c r="K65" i="13"/>
  <c r="N65" i="13" s="1"/>
  <c r="N64" i="13" s="1"/>
  <c r="Q65" i="13"/>
  <c r="BC70" i="1" l="1"/>
  <c r="BC106" i="1"/>
  <c r="BC79" i="1"/>
  <c r="AY10" i="1"/>
  <c r="AX10" i="1"/>
  <c r="BC16" i="1"/>
  <c r="BA98" i="1"/>
  <c r="BA129" i="1"/>
  <c r="BA121" i="1"/>
  <c r="BA64" i="1"/>
  <c r="BA60" i="1"/>
  <c r="BA56" i="1"/>
  <c r="BA54" i="1" s="1"/>
  <c r="BA128" i="1"/>
  <c r="AZ54" i="1"/>
  <c r="AZ10" i="1"/>
  <c r="BA61" i="1"/>
  <c r="BA59" i="1"/>
  <c r="BA71" i="1"/>
  <c r="BA104" i="1"/>
  <c r="BA102" i="1"/>
  <c r="BA122" i="1"/>
  <c r="BA119" i="1"/>
  <c r="AY70" i="1"/>
  <c r="BA108" i="1"/>
  <c r="BA11" i="1"/>
  <c r="BA63" i="1"/>
  <c r="BA57" i="1"/>
  <c r="BA76" i="1"/>
  <c r="BA74" i="1"/>
  <c r="BA72" i="1"/>
  <c r="BA125" i="1"/>
  <c r="BA81" i="1"/>
  <c r="BA68" i="1"/>
  <c r="BA114" i="1"/>
  <c r="BA101" i="1"/>
  <c r="BA62" i="1"/>
  <c r="BA58" i="1"/>
  <c r="BA84" i="1"/>
  <c r="BA82" i="1"/>
  <c r="BA126" i="1"/>
  <c r="BA118" i="1"/>
  <c r="BA113" i="1"/>
  <c r="BA124" i="1"/>
  <c r="BA111" i="1"/>
  <c r="BA109" i="1"/>
  <c r="BA116" i="1"/>
  <c r="BA127" i="1"/>
  <c r="BA112" i="1"/>
  <c r="BA110" i="1"/>
  <c r="BA117" i="1"/>
  <c r="BA77" i="1"/>
  <c r="BA99" i="1"/>
  <c r="BA97" i="1"/>
  <c r="BA95" i="1"/>
  <c r="BA75" i="1"/>
  <c r="BA73" i="1"/>
  <c r="BA103" i="1"/>
  <c r="BA89" i="1"/>
  <c r="BA87" i="1"/>
  <c r="BA83" i="1"/>
  <c r="BA96" i="1"/>
  <c r="BA94" i="1"/>
  <c r="BA65" i="1"/>
  <c r="BA90" i="1"/>
  <c r="BA80" i="1"/>
  <c r="BA41" i="1"/>
  <c r="BA33" i="1"/>
  <c r="BA31" i="1"/>
  <c r="BA23" i="1"/>
  <c r="BA21" i="1"/>
  <c r="BA17" i="1"/>
  <c r="BA15" i="1"/>
  <c r="BA13" i="1"/>
  <c r="BA52" i="1"/>
  <c r="BA36" i="1"/>
  <c r="BA34" i="1"/>
  <c r="BA26" i="1"/>
  <c r="BA22" i="1"/>
  <c r="BA20" i="1"/>
  <c r="BA18" i="1"/>
  <c r="BA14" i="1"/>
  <c r="BA50" i="1"/>
  <c r="BA42" i="1"/>
  <c r="BA40" i="1"/>
  <c r="BA44" i="1"/>
  <c r="BA47" i="1"/>
  <c r="BA45" i="1"/>
  <c r="BA43" i="1"/>
  <c r="BA39" i="1"/>
  <c r="BA49" i="1"/>
  <c r="BA25" i="1"/>
  <c r="BA28" i="1"/>
  <c r="BA16" i="1"/>
  <c r="BA32" i="1"/>
  <c r="BA48" i="1"/>
  <c r="BA46" i="1"/>
  <c r="BA37" i="1"/>
  <c r="BA30" i="1"/>
  <c r="BA19" i="1"/>
  <c r="BA51" i="1"/>
  <c r="BA35" i="1"/>
  <c r="BA24" i="1"/>
  <c r="BA38" i="1"/>
  <c r="BA29" i="1"/>
  <c r="BA27" i="1"/>
  <c r="G17" i="13"/>
  <c r="G16" i="13" s="1"/>
  <c r="F17" i="13"/>
  <c r="F16" i="13" s="1"/>
  <c r="C42" i="13"/>
  <c r="C17" i="13"/>
  <c r="M18" i="13"/>
  <c r="BC11" i="1" s="1"/>
  <c r="BC10" i="1" s="1"/>
  <c r="P65" i="13"/>
  <c r="P64" i="13" s="1"/>
  <c r="H58" i="13"/>
  <c r="M58" i="13"/>
  <c r="M51" i="13"/>
  <c r="H51" i="13"/>
  <c r="D16" i="13"/>
  <c r="H42" i="13"/>
  <c r="P42" i="13"/>
  <c r="N42" i="13"/>
  <c r="N17" i="13"/>
  <c r="P17" i="13"/>
  <c r="H18" i="13"/>
  <c r="H17" i="13" s="1"/>
  <c r="BA70" i="1" l="1"/>
  <c r="BA79" i="1"/>
  <c r="C16" i="13"/>
  <c r="M17" i="13"/>
  <c r="M42" i="13"/>
  <c r="H16" i="13"/>
  <c r="N16" i="13"/>
  <c r="P16" i="13"/>
  <c r="M16" i="13" l="1"/>
  <c r="BC153" i="1" l="1"/>
  <c r="AZ153" i="1"/>
  <c r="AY153" i="1"/>
  <c r="AX153" i="1"/>
  <c r="BC152" i="1"/>
  <c r="AZ152" i="1"/>
  <c r="AY152" i="1"/>
  <c r="AX152" i="1"/>
  <c r="BC151" i="1"/>
  <c r="AZ151" i="1"/>
  <c r="AY151" i="1"/>
  <c r="AX151" i="1"/>
  <c r="BC150" i="1"/>
  <c r="AZ150" i="1"/>
  <c r="AY150" i="1"/>
  <c r="AX150" i="1"/>
  <c r="BC149" i="1"/>
  <c r="AZ149" i="1"/>
  <c r="AY149" i="1"/>
  <c r="AX149" i="1"/>
  <c r="BC148" i="1"/>
  <c r="AZ148" i="1"/>
  <c r="AY148" i="1"/>
  <c r="AX148" i="1"/>
  <c r="BC147" i="1"/>
  <c r="AZ147" i="1"/>
  <c r="AY147" i="1"/>
  <c r="AX147" i="1"/>
  <c r="BC146" i="1"/>
  <c r="AZ146" i="1"/>
  <c r="AY146" i="1"/>
  <c r="AX146" i="1"/>
  <c r="BC145" i="1"/>
  <c r="AZ145" i="1"/>
  <c r="AY145" i="1"/>
  <c r="AX145" i="1"/>
  <c r="BC144" i="1"/>
  <c r="AZ144" i="1"/>
  <c r="AY144" i="1"/>
  <c r="AX144" i="1"/>
  <c r="BC143" i="1"/>
  <c r="AZ143" i="1"/>
  <c r="AY143" i="1"/>
  <c r="AX143" i="1"/>
  <c r="BC142" i="1"/>
  <c r="AZ142" i="1"/>
  <c r="AY142" i="1"/>
  <c r="AX142" i="1"/>
  <c r="BC141" i="1"/>
  <c r="AZ141" i="1"/>
  <c r="AY141" i="1"/>
  <c r="AX141" i="1"/>
  <c r="BC140" i="1"/>
  <c r="AZ140" i="1"/>
  <c r="AY140" i="1"/>
  <c r="AX140" i="1"/>
  <c r="BC139" i="1"/>
  <c r="AZ139" i="1"/>
  <c r="AY139" i="1"/>
  <c r="AX139" i="1"/>
  <c r="BC138" i="1"/>
  <c r="AZ138" i="1"/>
  <c r="AY138" i="1"/>
  <c r="AX138" i="1"/>
  <c r="BC137" i="1"/>
  <c r="AZ137" i="1"/>
  <c r="AY137" i="1"/>
  <c r="AX137" i="1"/>
  <c r="BC136" i="1"/>
  <c r="AZ136" i="1"/>
  <c r="AY136" i="1"/>
  <c r="AX136" i="1"/>
  <c r="BC135" i="1"/>
  <c r="AZ135" i="1"/>
  <c r="AY135" i="1"/>
  <c r="AX135" i="1"/>
  <c r="BC134" i="1"/>
  <c r="AZ134" i="1"/>
  <c r="AY134" i="1"/>
  <c r="AX134" i="1"/>
  <c r="BC133" i="1"/>
  <c r="AZ133" i="1"/>
  <c r="AY133" i="1"/>
  <c r="AX133" i="1"/>
  <c r="BC132" i="1"/>
  <c r="BC131" i="1" s="1"/>
  <c r="AZ132" i="1"/>
  <c r="AZ131" i="1" s="1"/>
  <c r="AY132" i="1"/>
  <c r="AX132" i="1"/>
  <c r="AX131" i="1" s="1"/>
  <c r="BA130" i="1"/>
  <c r="BA105" i="1"/>
  <c r="BA78" i="1"/>
  <c r="BA69" i="1"/>
  <c r="BA53" i="1"/>
  <c r="BA12" i="1"/>
  <c r="BA10" i="1" s="1"/>
  <c r="AR133" i="1"/>
  <c r="AS133" i="1"/>
  <c r="AT133" i="1"/>
  <c r="AW133" i="1"/>
  <c r="AR134" i="1"/>
  <c r="AS134" i="1"/>
  <c r="AT134" i="1"/>
  <c r="AW134" i="1"/>
  <c r="AR135" i="1"/>
  <c r="AS135" i="1"/>
  <c r="AT135" i="1"/>
  <c r="AW135" i="1"/>
  <c r="AR136" i="1"/>
  <c r="AS136" i="1"/>
  <c r="AT136" i="1"/>
  <c r="AW136" i="1"/>
  <c r="AR137" i="1"/>
  <c r="AS137" i="1"/>
  <c r="AT137" i="1"/>
  <c r="AR138" i="1"/>
  <c r="AS138" i="1"/>
  <c r="AT138" i="1"/>
  <c r="AR139" i="1"/>
  <c r="AS139" i="1"/>
  <c r="AT139" i="1"/>
  <c r="AR140" i="1"/>
  <c r="AS140" i="1"/>
  <c r="AT140" i="1"/>
  <c r="AR141" i="1"/>
  <c r="AS141" i="1"/>
  <c r="AT141" i="1"/>
  <c r="AW141" i="1"/>
  <c r="AR142" i="1"/>
  <c r="AS142" i="1"/>
  <c r="AT142" i="1"/>
  <c r="AR143" i="1"/>
  <c r="AS143" i="1"/>
  <c r="AT143" i="1"/>
  <c r="AW143" i="1"/>
  <c r="AR144" i="1"/>
  <c r="AS144" i="1"/>
  <c r="AT144" i="1"/>
  <c r="AR145" i="1"/>
  <c r="AS145" i="1"/>
  <c r="AT145" i="1"/>
  <c r="AR146" i="1"/>
  <c r="AS146" i="1"/>
  <c r="AT146" i="1"/>
  <c r="AR147" i="1"/>
  <c r="AS147" i="1"/>
  <c r="AT147" i="1"/>
  <c r="AR148" i="1"/>
  <c r="AS148" i="1"/>
  <c r="AT148" i="1"/>
  <c r="AR149" i="1"/>
  <c r="AS149" i="1"/>
  <c r="AT149" i="1"/>
  <c r="AR150" i="1"/>
  <c r="AS150" i="1"/>
  <c r="AT150" i="1"/>
  <c r="AR151" i="1"/>
  <c r="AS151" i="1"/>
  <c r="AT151" i="1"/>
  <c r="AW151" i="1"/>
  <c r="AR152" i="1"/>
  <c r="AS152" i="1"/>
  <c r="AT152" i="1"/>
  <c r="AW152" i="1"/>
  <c r="AR153" i="1"/>
  <c r="AS153" i="1"/>
  <c r="AT153" i="1"/>
  <c r="AW132" i="1"/>
  <c r="AT132" i="1"/>
  <c r="AT131" i="1" s="1"/>
  <c r="AS132" i="1"/>
  <c r="AR132" i="1"/>
  <c r="AR108" i="1"/>
  <c r="AS108" i="1"/>
  <c r="AT108" i="1"/>
  <c r="AR109" i="1"/>
  <c r="AS109" i="1"/>
  <c r="AT109" i="1"/>
  <c r="AR110" i="1"/>
  <c r="AS110" i="1"/>
  <c r="AT110" i="1"/>
  <c r="AR111" i="1"/>
  <c r="AS111" i="1"/>
  <c r="AT111" i="1"/>
  <c r="AR112" i="1"/>
  <c r="AS112" i="1"/>
  <c r="AT112" i="1"/>
  <c r="AR113" i="1"/>
  <c r="AS113" i="1"/>
  <c r="AT113" i="1"/>
  <c r="AW113" i="1"/>
  <c r="AR114" i="1"/>
  <c r="AS114" i="1"/>
  <c r="AT114" i="1"/>
  <c r="AR115" i="1"/>
  <c r="AS115" i="1"/>
  <c r="AT115" i="1"/>
  <c r="AR116" i="1"/>
  <c r="AS116" i="1"/>
  <c r="AT116" i="1"/>
  <c r="AR117" i="1"/>
  <c r="AT117" i="1"/>
  <c r="AR118" i="1"/>
  <c r="AS118" i="1"/>
  <c r="AT118" i="1"/>
  <c r="AR119" i="1"/>
  <c r="AS119" i="1"/>
  <c r="AT119" i="1"/>
  <c r="AR120" i="1"/>
  <c r="AS120" i="1"/>
  <c r="AT120" i="1"/>
  <c r="AR121" i="1"/>
  <c r="AS121" i="1"/>
  <c r="AT121" i="1"/>
  <c r="AR122" i="1"/>
  <c r="AS122" i="1"/>
  <c r="AT122" i="1"/>
  <c r="AR123" i="1"/>
  <c r="AS123" i="1"/>
  <c r="AT123" i="1"/>
  <c r="AW123" i="1"/>
  <c r="AR124" i="1"/>
  <c r="AS124" i="1"/>
  <c r="AT124" i="1"/>
  <c r="AR125" i="1"/>
  <c r="AS125" i="1"/>
  <c r="AT125" i="1"/>
  <c r="AR126" i="1"/>
  <c r="AS126" i="1"/>
  <c r="AT126" i="1"/>
  <c r="AW126" i="1"/>
  <c r="AR127" i="1"/>
  <c r="AS127" i="1"/>
  <c r="AT127" i="1"/>
  <c r="AR128" i="1"/>
  <c r="AS128" i="1"/>
  <c r="AT128" i="1"/>
  <c r="AR129" i="1"/>
  <c r="AS129" i="1"/>
  <c r="AT129" i="1"/>
  <c r="AT107" i="1"/>
  <c r="AS107" i="1"/>
  <c r="AR107" i="1"/>
  <c r="AR81" i="1"/>
  <c r="AS81" i="1"/>
  <c r="AT81" i="1"/>
  <c r="AR82" i="1"/>
  <c r="AS82" i="1"/>
  <c r="AT82" i="1"/>
  <c r="AW82" i="1"/>
  <c r="AR83" i="1"/>
  <c r="AS83" i="1"/>
  <c r="AT83" i="1"/>
  <c r="AW83" i="1"/>
  <c r="AR84" i="1"/>
  <c r="AS84" i="1"/>
  <c r="AT84" i="1"/>
  <c r="AR85" i="1"/>
  <c r="AS85" i="1"/>
  <c r="AT85" i="1"/>
  <c r="AW85" i="1"/>
  <c r="AR86" i="1"/>
  <c r="AS86" i="1"/>
  <c r="AT86" i="1"/>
  <c r="AR87" i="1"/>
  <c r="AS87" i="1"/>
  <c r="AT87" i="1"/>
  <c r="AR88" i="1"/>
  <c r="AS88" i="1"/>
  <c r="AT88" i="1"/>
  <c r="AR89" i="1"/>
  <c r="AS89" i="1"/>
  <c r="AT89" i="1"/>
  <c r="AR90" i="1"/>
  <c r="AS90" i="1"/>
  <c r="AT90" i="1"/>
  <c r="AR91" i="1"/>
  <c r="AS91" i="1"/>
  <c r="AT91" i="1"/>
  <c r="AR92" i="1"/>
  <c r="AS92" i="1"/>
  <c r="AT92" i="1"/>
  <c r="AR93" i="1"/>
  <c r="AS93" i="1"/>
  <c r="AT93" i="1"/>
  <c r="AR94" i="1"/>
  <c r="AS94" i="1"/>
  <c r="AT94" i="1"/>
  <c r="AW94" i="1"/>
  <c r="AR95" i="1"/>
  <c r="AS95" i="1"/>
  <c r="AT95" i="1"/>
  <c r="AR96" i="1"/>
  <c r="AS96" i="1"/>
  <c r="AT96" i="1"/>
  <c r="AR97" i="1"/>
  <c r="AS97" i="1"/>
  <c r="AT97" i="1"/>
  <c r="AR98" i="1"/>
  <c r="AS98" i="1"/>
  <c r="AT98" i="1"/>
  <c r="AR99" i="1"/>
  <c r="AS99" i="1"/>
  <c r="AT99" i="1"/>
  <c r="AR101" i="1"/>
  <c r="AS101" i="1"/>
  <c r="AT101" i="1"/>
  <c r="AR102" i="1"/>
  <c r="AS102" i="1"/>
  <c r="AT102" i="1"/>
  <c r="AR103" i="1"/>
  <c r="AS103" i="1"/>
  <c r="AT103" i="1"/>
  <c r="AW103" i="1"/>
  <c r="AR104" i="1"/>
  <c r="AS104" i="1"/>
  <c r="AT104" i="1"/>
  <c r="AW104" i="1"/>
  <c r="AT80" i="1"/>
  <c r="AS80" i="1"/>
  <c r="AR80" i="1"/>
  <c r="AR72" i="1"/>
  <c r="AS72" i="1"/>
  <c r="AT72" i="1"/>
  <c r="AR73" i="1"/>
  <c r="AS73" i="1"/>
  <c r="AT73" i="1"/>
  <c r="AR74" i="1"/>
  <c r="AS74" i="1"/>
  <c r="AT74" i="1"/>
  <c r="AR75" i="1"/>
  <c r="AS75" i="1"/>
  <c r="AT75" i="1"/>
  <c r="AR76" i="1"/>
  <c r="AS76" i="1"/>
  <c r="AT76" i="1"/>
  <c r="AR77" i="1"/>
  <c r="AS77" i="1"/>
  <c r="AT77" i="1"/>
  <c r="AW77" i="1"/>
  <c r="AT71" i="1"/>
  <c r="AT70" i="1" s="1"/>
  <c r="AS71" i="1"/>
  <c r="AR71" i="1"/>
  <c r="AR56" i="1"/>
  <c r="AS56" i="1"/>
  <c r="AT56" i="1"/>
  <c r="AW56" i="1"/>
  <c r="AR57" i="1"/>
  <c r="AS57" i="1"/>
  <c r="AT57" i="1"/>
  <c r="AR58" i="1"/>
  <c r="AS58" i="1"/>
  <c r="AT58" i="1"/>
  <c r="AR59" i="1"/>
  <c r="AS59" i="1"/>
  <c r="AT59" i="1"/>
  <c r="AR60" i="1"/>
  <c r="AS60" i="1"/>
  <c r="AT60" i="1"/>
  <c r="AR61" i="1"/>
  <c r="AS61" i="1"/>
  <c r="AT61" i="1"/>
  <c r="AR62" i="1"/>
  <c r="AS62" i="1"/>
  <c r="AT62" i="1"/>
  <c r="AR63" i="1"/>
  <c r="AS63" i="1"/>
  <c r="AT63" i="1"/>
  <c r="AR64" i="1"/>
  <c r="AS64" i="1"/>
  <c r="AT64" i="1"/>
  <c r="AR65" i="1"/>
  <c r="AS65" i="1"/>
  <c r="AT65" i="1"/>
  <c r="AW65" i="1"/>
  <c r="AR66" i="1"/>
  <c r="AS66" i="1"/>
  <c r="AT66" i="1"/>
  <c r="AR67" i="1"/>
  <c r="AS67" i="1"/>
  <c r="AT67" i="1"/>
  <c r="AW67" i="1"/>
  <c r="AR68" i="1"/>
  <c r="AS68" i="1"/>
  <c r="AT68" i="1"/>
  <c r="AW68" i="1"/>
  <c r="AW55" i="1"/>
  <c r="AT55" i="1"/>
  <c r="AS55" i="1"/>
  <c r="AR55" i="1"/>
  <c r="AR35" i="1"/>
  <c r="AS35" i="1"/>
  <c r="AT35" i="1"/>
  <c r="AR31" i="1"/>
  <c r="AS31" i="1"/>
  <c r="AT31" i="1"/>
  <c r="AW31" i="1"/>
  <c r="AR30" i="1"/>
  <c r="AS30" i="1"/>
  <c r="AT30" i="1"/>
  <c r="AW30" i="1"/>
  <c r="AR44" i="1"/>
  <c r="AS44" i="1"/>
  <c r="AT44" i="1"/>
  <c r="AR50" i="1"/>
  <c r="AS50" i="1"/>
  <c r="AT50" i="1"/>
  <c r="AR13" i="1"/>
  <c r="AS13" i="1"/>
  <c r="AT13" i="1"/>
  <c r="AR14" i="1"/>
  <c r="AS14" i="1"/>
  <c r="AT14" i="1"/>
  <c r="AR15" i="1"/>
  <c r="AS15" i="1"/>
  <c r="AT15" i="1"/>
  <c r="AR16" i="1"/>
  <c r="AS16" i="1"/>
  <c r="AT16" i="1"/>
  <c r="AR17" i="1"/>
  <c r="AS17" i="1"/>
  <c r="AT17" i="1"/>
  <c r="AW17" i="1"/>
  <c r="AR18" i="1"/>
  <c r="AS18" i="1"/>
  <c r="AT18" i="1"/>
  <c r="AW18" i="1"/>
  <c r="AR19" i="1"/>
  <c r="AS19" i="1"/>
  <c r="AT19" i="1"/>
  <c r="AR20" i="1"/>
  <c r="AS20" i="1"/>
  <c r="AT20" i="1"/>
  <c r="AR21" i="1"/>
  <c r="AS21" i="1"/>
  <c r="AT21" i="1"/>
  <c r="AR22" i="1"/>
  <c r="AS22" i="1"/>
  <c r="AT22" i="1"/>
  <c r="AR23" i="1"/>
  <c r="AS23" i="1"/>
  <c r="AT23" i="1"/>
  <c r="AW23" i="1"/>
  <c r="AR24" i="1"/>
  <c r="AS24" i="1"/>
  <c r="AT24" i="1"/>
  <c r="AR25" i="1"/>
  <c r="AS25" i="1"/>
  <c r="AT25" i="1"/>
  <c r="AR26" i="1"/>
  <c r="AS26" i="1"/>
  <c r="AT26" i="1"/>
  <c r="AR27" i="1"/>
  <c r="AS27" i="1"/>
  <c r="AT27" i="1"/>
  <c r="AR28" i="1"/>
  <c r="AS28" i="1"/>
  <c r="AT28" i="1"/>
  <c r="AR29" i="1"/>
  <c r="AS29" i="1"/>
  <c r="AT29" i="1"/>
  <c r="AW29" i="1"/>
  <c r="AR32" i="1"/>
  <c r="AS32" i="1"/>
  <c r="AT32" i="1"/>
  <c r="AR33" i="1"/>
  <c r="AS33" i="1"/>
  <c r="AT33" i="1"/>
  <c r="AR34" i="1"/>
  <c r="AS34" i="1"/>
  <c r="AT34" i="1"/>
  <c r="AR36" i="1"/>
  <c r="AS36" i="1"/>
  <c r="AT36" i="1"/>
  <c r="AR37" i="1"/>
  <c r="AS37" i="1"/>
  <c r="AT37" i="1"/>
  <c r="AR38" i="1"/>
  <c r="AS38" i="1"/>
  <c r="AT38" i="1"/>
  <c r="AR39" i="1"/>
  <c r="AS39" i="1"/>
  <c r="AT39" i="1"/>
  <c r="AR40" i="1"/>
  <c r="AS40" i="1"/>
  <c r="AT40" i="1"/>
  <c r="AR41" i="1"/>
  <c r="AS41" i="1"/>
  <c r="AT41" i="1"/>
  <c r="AR42" i="1"/>
  <c r="AS42" i="1"/>
  <c r="AT42" i="1"/>
  <c r="AR43" i="1"/>
  <c r="AS43" i="1"/>
  <c r="AT43" i="1"/>
  <c r="AW43" i="1"/>
  <c r="AR45" i="1"/>
  <c r="AS45" i="1"/>
  <c r="AT45" i="1"/>
  <c r="AR46" i="1"/>
  <c r="AS46" i="1"/>
  <c r="AT46" i="1"/>
  <c r="AR47" i="1"/>
  <c r="AS47" i="1"/>
  <c r="AT47" i="1"/>
  <c r="AR48" i="1"/>
  <c r="AS48" i="1"/>
  <c r="AT48" i="1"/>
  <c r="AR49" i="1"/>
  <c r="AS49" i="1"/>
  <c r="AT49" i="1"/>
  <c r="AR51" i="1"/>
  <c r="AS51" i="1"/>
  <c r="AT51" i="1"/>
  <c r="AR52" i="1"/>
  <c r="AS52" i="1"/>
  <c r="AT52" i="1"/>
  <c r="AT12" i="1"/>
  <c r="AS12" i="1"/>
  <c r="AR12" i="1"/>
  <c r="G63" i="12"/>
  <c r="C63" i="12"/>
  <c r="L122" i="12"/>
  <c r="C122" i="12"/>
  <c r="G122" i="12"/>
  <c r="C18" i="12"/>
  <c r="F18" i="12"/>
  <c r="G18" i="12"/>
  <c r="O18" i="12"/>
  <c r="O17" i="12" s="1"/>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s="1"/>
  <c r="P33" i="12"/>
  <c r="H34" i="12"/>
  <c r="M34" i="12" s="1"/>
  <c r="P34" i="12"/>
  <c r="H35" i="12"/>
  <c r="K35" i="12"/>
  <c r="P35" i="12"/>
  <c r="H36" i="12"/>
  <c r="K36" i="12"/>
  <c r="P36" i="12"/>
  <c r="H37" i="12"/>
  <c r="K37" i="12"/>
  <c r="P37" i="12"/>
  <c r="H38" i="12"/>
  <c r="K38" i="12"/>
  <c r="P38" i="12"/>
  <c r="H39" i="12"/>
  <c r="K39" i="12"/>
  <c r="H40" i="12"/>
  <c r="M40" i="12" s="1"/>
  <c r="P40" i="12"/>
  <c r="H41" i="12"/>
  <c r="M41" i="12" s="1"/>
  <c r="P41" i="12"/>
  <c r="H42" i="12"/>
  <c r="K42" i="12"/>
  <c r="P42" i="12"/>
  <c r="H43" i="12"/>
  <c r="K43" i="12"/>
  <c r="P43" i="12"/>
  <c r="H44" i="12"/>
  <c r="K44" i="12"/>
  <c r="P44" i="12"/>
  <c r="H45" i="12"/>
  <c r="K45" i="12"/>
  <c r="P45" i="12"/>
  <c r="L18" i="12"/>
  <c r="H46" i="12"/>
  <c r="K46" i="12"/>
  <c r="P46" i="12"/>
  <c r="H47" i="12"/>
  <c r="K47" i="12"/>
  <c r="P47" i="12"/>
  <c r="H49" i="12"/>
  <c r="K49" i="12"/>
  <c r="P49" i="12"/>
  <c r="H50" i="12"/>
  <c r="M50" i="12" s="1"/>
  <c r="P50" i="12"/>
  <c r="H51" i="12"/>
  <c r="K51" i="12"/>
  <c r="P51" i="12"/>
  <c r="H52" i="12"/>
  <c r="K52" i="12"/>
  <c r="P52" i="12"/>
  <c r="H53" i="12"/>
  <c r="P53" i="12"/>
  <c r="H54" i="12"/>
  <c r="M54" i="12" s="1"/>
  <c r="P54" i="12"/>
  <c r="H56" i="12"/>
  <c r="M56" i="12" s="1"/>
  <c r="P56" i="12"/>
  <c r="H59" i="12"/>
  <c r="J59" i="12"/>
  <c r="K59" i="12" s="1"/>
  <c r="P59" i="12"/>
  <c r="H60" i="12"/>
  <c r="K60" i="12"/>
  <c r="P60" i="12"/>
  <c r="H61" i="12"/>
  <c r="M61" i="12" s="1"/>
  <c r="P61" i="12"/>
  <c r="Q62" i="12"/>
  <c r="F63" i="12"/>
  <c r="L63" i="12"/>
  <c r="O63" i="12"/>
  <c r="H64" i="12"/>
  <c r="K64" i="12"/>
  <c r="P64" i="12"/>
  <c r="H65" i="12"/>
  <c r="K65" i="12"/>
  <c r="P65" i="12"/>
  <c r="H66" i="12"/>
  <c r="K66" i="12"/>
  <c r="P66" i="12"/>
  <c r="H67" i="12"/>
  <c r="K67" i="12"/>
  <c r="P67" i="12"/>
  <c r="H68" i="12"/>
  <c r="K68" i="12"/>
  <c r="P68" i="12"/>
  <c r="H69" i="12"/>
  <c r="J69" i="12"/>
  <c r="K69" i="12" s="1"/>
  <c r="P69" i="12"/>
  <c r="H71" i="12"/>
  <c r="M71" i="12" s="1"/>
  <c r="P71" i="12"/>
  <c r="C73" i="12"/>
  <c r="F73" i="12"/>
  <c r="G73" i="12"/>
  <c r="J73" i="12"/>
  <c r="L73" i="12"/>
  <c r="O73" i="12"/>
  <c r="H74" i="12"/>
  <c r="P74" i="12"/>
  <c r="H75" i="12"/>
  <c r="M75" i="12" s="1"/>
  <c r="P75" i="12"/>
  <c r="H76" i="12"/>
  <c r="K76" i="12"/>
  <c r="P76" i="12"/>
  <c r="H77" i="12"/>
  <c r="M77" i="12" s="1"/>
  <c r="P77" i="12"/>
  <c r="H78" i="12"/>
  <c r="M78" i="12" s="1"/>
  <c r="P78" i="12"/>
  <c r="H79" i="12"/>
  <c r="M79" i="12" s="1"/>
  <c r="P79" i="12"/>
  <c r="H80" i="12"/>
  <c r="M80" i="12" s="1"/>
  <c r="P80" i="12"/>
  <c r="H81" i="12"/>
  <c r="M81" i="12" s="1"/>
  <c r="P81" i="12"/>
  <c r="H82" i="12"/>
  <c r="K82" i="12"/>
  <c r="H83" i="12"/>
  <c r="M83" i="12" s="1"/>
  <c r="P83" i="12"/>
  <c r="H84" i="12"/>
  <c r="M84" i="12" s="1"/>
  <c r="P84" i="12"/>
  <c r="H85" i="12"/>
  <c r="M85" i="12" s="1"/>
  <c r="P85" i="12"/>
  <c r="H86" i="12"/>
  <c r="M86" i="12" s="1"/>
  <c r="P86" i="12"/>
  <c r="H87" i="12"/>
  <c r="M87" i="12" s="1"/>
  <c r="P87" i="12"/>
  <c r="H88" i="12"/>
  <c r="M88" i="12" s="1"/>
  <c r="P88" i="12"/>
  <c r="H89" i="12"/>
  <c r="M89" i="12" s="1"/>
  <c r="P89" i="12"/>
  <c r="H90" i="12"/>
  <c r="K90" i="12"/>
  <c r="P90" i="12"/>
  <c r="H91" i="12"/>
  <c r="M91" i="12" s="1"/>
  <c r="P91" i="12"/>
  <c r="H92" i="12"/>
  <c r="M92" i="12" s="1"/>
  <c r="P92" i="12"/>
  <c r="H95" i="12"/>
  <c r="P95" i="12"/>
  <c r="H98" i="12"/>
  <c r="M98" i="12" s="1"/>
  <c r="P98" i="12"/>
  <c r="H99" i="12"/>
  <c r="K99" i="12"/>
  <c r="H101" i="12"/>
  <c r="K101" i="12"/>
  <c r="P101" i="12"/>
  <c r="H102" i="12"/>
  <c r="K102" i="12"/>
  <c r="P102" i="12"/>
  <c r="H103" i="12"/>
  <c r="M103" i="12" s="1"/>
  <c r="P103" i="12"/>
  <c r="H104" i="12"/>
  <c r="K104" i="12"/>
  <c r="P104" i="12"/>
  <c r="H105" i="12"/>
  <c r="K105" i="12"/>
  <c r="P105" i="12"/>
  <c r="H106" i="12"/>
  <c r="M106" i="12" s="1"/>
  <c r="P106" i="12"/>
  <c r="H107" i="12"/>
  <c r="M107" i="12" s="1"/>
  <c r="P107" i="12"/>
  <c r="H108" i="12"/>
  <c r="M108" i="12" s="1"/>
  <c r="P108" i="12"/>
  <c r="H109" i="12"/>
  <c r="K109" i="12"/>
  <c r="P109" i="12"/>
  <c r="H110" i="12"/>
  <c r="M110" i="12" s="1"/>
  <c r="P110" i="12"/>
  <c r="H111" i="12"/>
  <c r="K111" i="12"/>
  <c r="P111" i="12"/>
  <c r="H112" i="12"/>
  <c r="K112" i="12"/>
  <c r="P112" i="12"/>
  <c r="H113" i="12"/>
  <c r="K113" i="12"/>
  <c r="P113" i="12"/>
  <c r="H114" i="12"/>
  <c r="K114" i="12"/>
  <c r="P114" i="12"/>
  <c r="H115" i="12"/>
  <c r="M115" i="12" s="1"/>
  <c r="P115" i="12"/>
  <c r="H116" i="12"/>
  <c r="M116" i="12" s="1"/>
  <c r="P116" i="12"/>
  <c r="H117" i="12"/>
  <c r="K117" i="12"/>
  <c r="H118" i="12"/>
  <c r="M118" i="12" s="1"/>
  <c r="P118" i="12"/>
  <c r="H119" i="12"/>
  <c r="M119" i="12" s="1"/>
  <c r="P119" i="12"/>
  <c r="H120" i="12"/>
  <c r="M120" i="12" s="1"/>
  <c r="P120" i="12"/>
  <c r="N122" i="12"/>
  <c r="O122" i="12"/>
  <c r="O94" i="12" s="1"/>
  <c r="H123" i="12"/>
  <c r="K123" i="12"/>
  <c r="P123" i="12"/>
  <c r="H124" i="12"/>
  <c r="K124" i="12"/>
  <c r="P124" i="12"/>
  <c r="H125" i="12"/>
  <c r="M125" i="12" s="1"/>
  <c r="P125" i="12"/>
  <c r="H126" i="12"/>
  <c r="M126" i="12" s="1"/>
  <c r="P126" i="12"/>
  <c r="H127" i="12"/>
  <c r="K127" i="12"/>
  <c r="P127" i="12"/>
  <c r="H129" i="12"/>
  <c r="K129" i="12"/>
  <c r="P129" i="12"/>
  <c r="H130" i="12"/>
  <c r="M130" i="12" s="1"/>
  <c r="P130" i="12"/>
  <c r="H131" i="12"/>
  <c r="M131" i="12" s="1"/>
  <c r="P131" i="12"/>
  <c r="H132" i="12"/>
  <c r="M132" i="12" s="1"/>
  <c r="P132" i="12"/>
  <c r="F133" i="12"/>
  <c r="F122" i="12" s="1"/>
  <c r="K133" i="12"/>
  <c r="P133" i="12"/>
  <c r="H134" i="12"/>
  <c r="M134" i="12" s="1"/>
  <c r="P134" i="12"/>
  <c r="H135" i="12"/>
  <c r="M135" i="12" s="1"/>
  <c r="P135" i="12"/>
  <c r="H136" i="12"/>
  <c r="K136" i="12"/>
  <c r="P136" i="12"/>
  <c r="H137" i="12"/>
  <c r="K137" i="12"/>
  <c r="P137" i="12"/>
  <c r="H138" i="12"/>
  <c r="M138" i="12" s="1"/>
  <c r="P138" i="12"/>
  <c r="H140" i="12"/>
  <c r="K140" i="12"/>
  <c r="P140" i="12"/>
  <c r="H141" i="12"/>
  <c r="M141" i="12" s="1"/>
  <c r="P141" i="12"/>
  <c r="H143" i="12"/>
  <c r="K143" i="12"/>
  <c r="P143" i="12"/>
  <c r="H144" i="12"/>
  <c r="K144" i="12"/>
  <c r="P144" i="12"/>
  <c r="H145" i="12"/>
  <c r="K145" i="12"/>
  <c r="P145" i="12"/>
  <c r="O147" i="12"/>
  <c r="H148" i="12"/>
  <c r="P148" i="12"/>
  <c r="H149" i="12"/>
  <c r="M149" i="12" s="1"/>
  <c r="P149" i="12"/>
  <c r="H150" i="12"/>
  <c r="M150" i="12" s="1"/>
  <c r="P150" i="12"/>
  <c r="H151" i="12"/>
  <c r="M151" i="12" s="1"/>
  <c r="P151" i="12"/>
  <c r="H152" i="12"/>
  <c r="M152" i="12" s="1"/>
  <c r="P152" i="12"/>
  <c r="H153" i="12"/>
  <c r="M153" i="12" s="1"/>
  <c r="P153" i="12"/>
  <c r="H154" i="12"/>
  <c r="M154" i="12" s="1"/>
  <c r="P154" i="12"/>
  <c r="H155" i="12"/>
  <c r="K155" i="12"/>
  <c r="P155" i="12"/>
  <c r="H156" i="12"/>
  <c r="M156" i="12" s="1"/>
  <c r="P156" i="12"/>
  <c r="H157" i="12"/>
  <c r="M157" i="12" s="1"/>
  <c r="P157" i="12"/>
  <c r="H158" i="12"/>
  <c r="M158" i="12" s="1"/>
  <c r="P158" i="12"/>
  <c r="H159" i="12"/>
  <c r="K159" i="12"/>
  <c r="P159" i="12"/>
  <c r="H160" i="12"/>
  <c r="M160" i="12" s="1"/>
  <c r="P160" i="12"/>
  <c r="H161" i="12"/>
  <c r="M161" i="12" s="1"/>
  <c r="P161" i="12"/>
  <c r="H162" i="12"/>
  <c r="K162" i="12"/>
  <c r="P162" i="12"/>
  <c r="H163" i="12"/>
  <c r="M163" i="12" s="1"/>
  <c r="P163" i="12"/>
  <c r="H164" i="12"/>
  <c r="M164" i="12" s="1"/>
  <c r="P164" i="12"/>
  <c r="H165" i="12"/>
  <c r="J165" i="12"/>
  <c r="K165" i="12" s="1"/>
  <c r="P165" i="12"/>
  <c r="H166" i="12"/>
  <c r="M166" i="12" s="1"/>
  <c r="P166" i="12"/>
  <c r="H167" i="12"/>
  <c r="K167" i="12"/>
  <c r="P167" i="12"/>
  <c r="H168" i="12"/>
  <c r="M168" i="12" s="1"/>
  <c r="P168" i="12"/>
  <c r="H169" i="12"/>
  <c r="K169" i="12"/>
  <c r="P169" i="12"/>
  <c r="H170" i="12"/>
  <c r="M170" i="12" s="1"/>
  <c r="P170" i="12"/>
  <c r="H171" i="12"/>
  <c r="M171" i="12" s="1"/>
  <c r="P171" i="12"/>
  <c r="Q172" i="12"/>
  <c r="AU130" i="1"/>
  <c r="AU105" i="1"/>
  <c r="AU78" i="1"/>
  <c r="AU69" i="1"/>
  <c r="AU53" i="1"/>
  <c r="AL133" i="1"/>
  <c r="AM133" i="1"/>
  <c r="AN133" i="1"/>
  <c r="AL134" i="1"/>
  <c r="AM134" i="1"/>
  <c r="AN134" i="1"/>
  <c r="AL135" i="1"/>
  <c r="AM135" i="1"/>
  <c r="AN135" i="1"/>
  <c r="AL136" i="1"/>
  <c r="AM136" i="1"/>
  <c r="AN136" i="1"/>
  <c r="AL137" i="1"/>
  <c r="AM137" i="1"/>
  <c r="AN137" i="1"/>
  <c r="AP137" i="1"/>
  <c r="AQ137" i="1"/>
  <c r="AL138" i="1"/>
  <c r="AM138" i="1"/>
  <c r="AN138" i="1"/>
  <c r="AP138" i="1"/>
  <c r="AQ138" i="1"/>
  <c r="AL139" i="1"/>
  <c r="AM139" i="1"/>
  <c r="AN139" i="1"/>
  <c r="AL140" i="1"/>
  <c r="AM140" i="1"/>
  <c r="AN140" i="1"/>
  <c r="AL141" i="1"/>
  <c r="AM141" i="1"/>
  <c r="AN141" i="1"/>
  <c r="AP141" i="1"/>
  <c r="AQ141" i="1"/>
  <c r="AL142" i="1"/>
  <c r="AM142" i="1"/>
  <c r="AN142" i="1"/>
  <c r="AL143" i="1"/>
  <c r="AM143" i="1"/>
  <c r="AN143" i="1"/>
  <c r="AP143" i="1"/>
  <c r="AQ143" i="1"/>
  <c r="AL144" i="1"/>
  <c r="AM144" i="1"/>
  <c r="AN144" i="1"/>
  <c r="AP144" i="1"/>
  <c r="AQ144" i="1"/>
  <c r="AL145" i="1"/>
  <c r="AM145" i="1"/>
  <c r="AN145" i="1"/>
  <c r="AL146" i="1"/>
  <c r="AM146" i="1"/>
  <c r="AN146" i="1"/>
  <c r="AL147" i="1"/>
  <c r="AM147" i="1"/>
  <c r="AN147" i="1"/>
  <c r="AL148" i="1"/>
  <c r="AM148" i="1"/>
  <c r="AN148" i="1"/>
  <c r="AP148" i="1"/>
  <c r="AQ148" i="1"/>
  <c r="AL149" i="1"/>
  <c r="AM149" i="1"/>
  <c r="AN149" i="1"/>
  <c r="AL150" i="1"/>
  <c r="AM150" i="1"/>
  <c r="AN150" i="1"/>
  <c r="AL151" i="1"/>
  <c r="AM151" i="1"/>
  <c r="AL152" i="1"/>
  <c r="AM152" i="1"/>
  <c r="AN152" i="1"/>
  <c r="AP152" i="1"/>
  <c r="AQ152" i="1"/>
  <c r="AL153" i="1"/>
  <c r="AM153" i="1"/>
  <c r="AN153" i="1"/>
  <c r="AQ132" i="1"/>
  <c r="AP132" i="1"/>
  <c r="AN132" i="1"/>
  <c r="AM132" i="1"/>
  <c r="AL132" i="1"/>
  <c r="AL117" i="1"/>
  <c r="AM117" i="1"/>
  <c r="AN117" i="1"/>
  <c r="AP117" i="1"/>
  <c r="AQ117" i="1"/>
  <c r="AL118" i="1"/>
  <c r="AM118" i="1"/>
  <c r="AN118" i="1"/>
  <c r="AL119" i="1"/>
  <c r="AM119" i="1"/>
  <c r="AN119" i="1"/>
  <c r="AP119" i="1"/>
  <c r="AQ119" i="1"/>
  <c r="AL120" i="1"/>
  <c r="AM120" i="1"/>
  <c r="AN120" i="1"/>
  <c r="AL121" i="1"/>
  <c r="AM121" i="1"/>
  <c r="AN121" i="1"/>
  <c r="AL122" i="1"/>
  <c r="AM122" i="1"/>
  <c r="AN122" i="1"/>
  <c r="AP122" i="1"/>
  <c r="AQ122" i="1"/>
  <c r="AL123" i="1"/>
  <c r="AM123" i="1"/>
  <c r="AN123" i="1"/>
  <c r="AL124" i="1"/>
  <c r="AM124" i="1"/>
  <c r="AN124" i="1"/>
  <c r="AL125" i="1"/>
  <c r="AM125" i="1"/>
  <c r="AN125" i="1"/>
  <c r="AP125" i="1"/>
  <c r="AQ125" i="1"/>
  <c r="AL126" i="1"/>
  <c r="AM126" i="1"/>
  <c r="AN126" i="1"/>
  <c r="AP126" i="1"/>
  <c r="AQ126" i="1"/>
  <c r="AL127" i="1"/>
  <c r="AM127" i="1"/>
  <c r="AN127" i="1"/>
  <c r="AP127" i="1"/>
  <c r="AQ127" i="1"/>
  <c r="AL128" i="1"/>
  <c r="AM128" i="1"/>
  <c r="AN128" i="1"/>
  <c r="AP128" i="1"/>
  <c r="AQ128" i="1"/>
  <c r="AL116" i="1"/>
  <c r="AM116" i="1"/>
  <c r="AN116" i="1"/>
  <c r="AL109" i="1"/>
  <c r="AM109" i="1"/>
  <c r="AN109" i="1"/>
  <c r="AL110" i="1"/>
  <c r="AM110" i="1"/>
  <c r="AN110" i="1"/>
  <c r="AL111" i="1"/>
  <c r="AM111" i="1"/>
  <c r="AN111" i="1"/>
  <c r="AL112" i="1"/>
  <c r="AM112" i="1"/>
  <c r="AN112" i="1"/>
  <c r="AL113" i="1"/>
  <c r="AM113" i="1"/>
  <c r="AN113" i="1"/>
  <c r="AL108" i="1"/>
  <c r="AM108" i="1"/>
  <c r="AN108" i="1"/>
  <c r="AP108" i="1"/>
  <c r="AQ108" i="1"/>
  <c r="AL114" i="1"/>
  <c r="AM114" i="1"/>
  <c r="AN114" i="1"/>
  <c r="AL115" i="1"/>
  <c r="AM115" i="1"/>
  <c r="AN115" i="1"/>
  <c r="AL129" i="1"/>
  <c r="AM129" i="1"/>
  <c r="AN129" i="1"/>
  <c r="AQ107" i="1"/>
  <c r="AP107" i="1"/>
  <c r="AN107" i="1"/>
  <c r="AM107" i="1"/>
  <c r="AL107" i="1"/>
  <c r="AL102" i="1"/>
  <c r="AM102" i="1"/>
  <c r="AN102" i="1"/>
  <c r="AL99" i="1"/>
  <c r="AM99" i="1"/>
  <c r="AN99" i="1"/>
  <c r="AL91" i="1"/>
  <c r="AM91" i="1"/>
  <c r="AN91" i="1"/>
  <c r="AL81" i="1"/>
  <c r="AM81" i="1"/>
  <c r="AN81" i="1"/>
  <c r="AL82" i="1"/>
  <c r="AM82" i="1"/>
  <c r="AN82" i="1"/>
  <c r="AP82" i="1"/>
  <c r="AQ82" i="1"/>
  <c r="AL83" i="1"/>
  <c r="AM83" i="1"/>
  <c r="AN83" i="1"/>
  <c r="AL84" i="1"/>
  <c r="AM84" i="1"/>
  <c r="AN84" i="1"/>
  <c r="AP84" i="1"/>
  <c r="AQ84" i="1"/>
  <c r="AL85" i="1"/>
  <c r="AM85" i="1"/>
  <c r="AN85" i="1"/>
  <c r="AP85" i="1"/>
  <c r="AQ85" i="1"/>
  <c r="AL86" i="1"/>
  <c r="AM86" i="1"/>
  <c r="AN86" i="1"/>
  <c r="AP86" i="1"/>
  <c r="AQ86" i="1"/>
  <c r="AL87" i="1"/>
  <c r="AM87" i="1"/>
  <c r="AN87" i="1"/>
  <c r="AL88" i="1"/>
  <c r="AM88" i="1"/>
  <c r="AN88" i="1"/>
  <c r="AL89" i="1"/>
  <c r="AM89" i="1"/>
  <c r="AN89" i="1"/>
  <c r="AP89" i="1"/>
  <c r="AQ89" i="1"/>
  <c r="AL90" i="1"/>
  <c r="AM90" i="1"/>
  <c r="AN90" i="1"/>
  <c r="AP90" i="1"/>
  <c r="AQ90" i="1"/>
  <c r="AL92" i="1"/>
  <c r="AM92" i="1"/>
  <c r="AN92" i="1"/>
  <c r="AL93" i="1"/>
  <c r="AM93" i="1"/>
  <c r="AN93" i="1"/>
  <c r="AP93" i="1"/>
  <c r="AQ93" i="1"/>
  <c r="AL94" i="1"/>
  <c r="AM94" i="1"/>
  <c r="AN94" i="1"/>
  <c r="AP94" i="1"/>
  <c r="AQ94" i="1"/>
  <c r="AL95" i="1"/>
  <c r="AM95" i="1"/>
  <c r="AN95" i="1"/>
  <c r="AL96" i="1"/>
  <c r="AM96" i="1"/>
  <c r="AN96" i="1"/>
  <c r="AP96" i="1"/>
  <c r="AQ96" i="1"/>
  <c r="AL97" i="1"/>
  <c r="AM97" i="1"/>
  <c r="AN97" i="1"/>
  <c r="AL98" i="1"/>
  <c r="AM98" i="1"/>
  <c r="AN98" i="1"/>
  <c r="AP98" i="1"/>
  <c r="AQ98" i="1"/>
  <c r="AL101" i="1"/>
  <c r="AM101" i="1"/>
  <c r="AN101" i="1"/>
  <c r="AL103" i="1"/>
  <c r="AM103" i="1"/>
  <c r="AN103" i="1"/>
  <c r="AL104" i="1"/>
  <c r="AM104" i="1"/>
  <c r="AN104" i="1"/>
  <c r="AQ80" i="1"/>
  <c r="AP80" i="1"/>
  <c r="AN80" i="1"/>
  <c r="AM80" i="1"/>
  <c r="AL80" i="1"/>
  <c r="AL72" i="1"/>
  <c r="AL73" i="1"/>
  <c r="AL74" i="1"/>
  <c r="AL75" i="1"/>
  <c r="AL76" i="1"/>
  <c r="AL77" i="1"/>
  <c r="AM72" i="1"/>
  <c r="AN72" i="1"/>
  <c r="AM73" i="1"/>
  <c r="AN73" i="1"/>
  <c r="AP73" i="1"/>
  <c r="AQ73" i="1"/>
  <c r="AM74" i="1"/>
  <c r="AN74" i="1"/>
  <c r="AM75" i="1"/>
  <c r="AN75" i="1"/>
  <c r="AM76" i="1"/>
  <c r="AN76" i="1"/>
  <c r="AM77" i="1"/>
  <c r="AN77" i="1"/>
  <c r="AP77" i="1"/>
  <c r="AQ77" i="1"/>
  <c r="AN71" i="1"/>
  <c r="AN70" i="1" s="1"/>
  <c r="AM71" i="1"/>
  <c r="AM70" i="1" s="1"/>
  <c r="AL71" i="1"/>
  <c r="AQ55" i="1"/>
  <c r="AQ54" i="1" s="1"/>
  <c r="AP55" i="1"/>
  <c r="AP54" i="1" s="1"/>
  <c r="AN55" i="1"/>
  <c r="AN54" i="1" s="1"/>
  <c r="AM55" i="1"/>
  <c r="AM54" i="1" s="1"/>
  <c r="AL55" i="1"/>
  <c r="AL54" i="1" s="1"/>
  <c r="AL13" i="1"/>
  <c r="AM13" i="1"/>
  <c r="AN13" i="1"/>
  <c r="AP13" i="1"/>
  <c r="AQ13" i="1"/>
  <c r="AL14" i="1"/>
  <c r="AM14" i="1"/>
  <c r="AN14" i="1"/>
  <c r="AL15" i="1"/>
  <c r="AM15" i="1"/>
  <c r="AN15" i="1"/>
  <c r="AP15" i="1"/>
  <c r="AQ15" i="1"/>
  <c r="AL16" i="1"/>
  <c r="AM16" i="1"/>
  <c r="AN16" i="1"/>
  <c r="AL17" i="1"/>
  <c r="AM17" i="1"/>
  <c r="AN17" i="1"/>
  <c r="AP17" i="1"/>
  <c r="AQ17" i="1"/>
  <c r="AL18" i="1"/>
  <c r="AM18" i="1"/>
  <c r="AN18" i="1"/>
  <c r="AP18" i="1"/>
  <c r="AQ18" i="1"/>
  <c r="AL19" i="1"/>
  <c r="AM19" i="1"/>
  <c r="AN19" i="1"/>
  <c r="AL20" i="1"/>
  <c r="AM20" i="1"/>
  <c r="AN20" i="1"/>
  <c r="AL21" i="1"/>
  <c r="AM21" i="1"/>
  <c r="AN21" i="1"/>
  <c r="AP21" i="1"/>
  <c r="AQ21" i="1"/>
  <c r="AL22" i="1"/>
  <c r="AM22" i="1"/>
  <c r="AN22" i="1"/>
  <c r="AP22" i="1"/>
  <c r="AQ22" i="1"/>
  <c r="AL23" i="1"/>
  <c r="AM23" i="1"/>
  <c r="AN23" i="1"/>
  <c r="AL24" i="1"/>
  <c r="AM24" i="1"/>
  <c r="AN24" i="1"/>
  <c r="AP24" i="1"/>
  <c r="AQ24" i="1"/>
  <c r="AL25" i="1"/>
  <c r="AM25" i="1"/>
  <c r="AN25" i="1"/>
  <c r="AL26" i="1"/>
  <c r="AM26" i="1"/>
  <c r="AN26" i="1"/>
  <c r="AP26" i="1"/>
  <c r="AQ26" i="1"/>
  <c r="AL27" i="1"/>
  <c r="AM27" i="1"/>
  <c r="AN27" i="1"/>
  <c r="AL28" i="1"/>
  <c r="AM28" i="1"/>
  <c r="AN28" i="1"/>
  <c r="AP28" i="1"/>
  <c r="AQ28" i="1"/>
  <c r="AL29" i="1"/>
  <c r="AM29" i="1"/>
  <c r="AN29" i="1"/>
  <c r="AP29" i="1"/>
  <c r="AQ29" i="1"/>
  <c r="AL32" i="1"/>
  <c r="AM32" i="1"/>
  <c r="AN32" i="1"/>
  <c r="AP32" i="1"/>
  <c r="AQ32" i="1"/>
  <c r="AL33" i="1"/>
  <c r="AM33" i="1"/>
  <c r="AN33" i="1"/>
  <c r="AP33" i="1"/>
  <c r="AQ33" i="1"/>
  <c r="AL34" i="1"/>
  <c r="AM34" i="1"/>
  <c r="AN34" i="1"/>
  <c r="AL36" i="1"/>
  <c r="AM36" i="1"/>
  <c r="AN36" i="1"/>
  <c r="AL37" i="1"/>
  <c r="AM37" i="1"/>
  <c r="AN37" i="1"/>
  <c r="AP37" i="1"/>
  <c r="AQ37" i="1"/>
  <c r="AL38" i="1"/>
  <c r="AM38" i="1"/>
  <c r="AN38" i="1"/>
  <c r="AL39" i="1"/>
  <c r="AM39" i="1"/>
  <c r="AN39" i="1"/>
  <c r="AP39" i="1"/>
  <c r="AQ39" i="1"/>
  <c r="AL40" i="1"/>
  <c r="AM40" i="1"/>
  <c r="AN40" i="1"/>
  <c r="AP40" i="1"/>
  <c r="AQ40" i="1"/>
  <c r="AL41" i="1"/>
  <c r="AM41" i="1"/>
  <c r="AN41" i="1"/>
  <c r="AL42" i="1"/>
  <c r="AM42" i="1"/>
  <c r="AN42" i="1"/>
  <c r="AP42" i="1"/>
  <c r="AQ42" i="1"/>
  <c r="AL43" i="1"/>
  <c r="AM43" i="1"/>
  <c r="AN43" i="1"/>
  <c r="AP43" i="1"/>
  <c r="AQ43" i="1"/>
  <c r="AL45" i="1"/>
  <c r="AM45" i="1"/>
  <c r="AN45" i="1"/>
  <c r="AL46" i="1"/>
  <c r="AM46" i="1"/>
  <c r="AN46" i="1"/>
  <c r="AL47" i="1"/>
  <c r="AM47" i="1"/>
  <c r="AN47" i="1"/>
  <c r="AL48" i="1"/>
  <c r="AM48" i="1"/>
  <c r="AN48" i="1"/>
  <c r="AL49" i="1"/>
  <c r="AM49" i="1"/>
  <c r="AN49" i="1"/>
  <c r="AL51" i="1"/>
  <c r="AM51" i="1"/>
  <c r="AN51" i="1"/>
  <c r="AP51" i="1"/>
  <c r="AQ51" i="1"/>
  <c r="AL52" i="1"/>
  <c r="AM52" i="1"/>
  <c r="AN52" i="1"/>
  <c r="AP52" i="1"/>
  <c r="AQ52" i="1"/>
  <c r="AN12" i="1"/>
  <c r="AM12" i="1"/>
  <c r="AL12" i="1"/>
  <c r="AI12" i="1"/>
  <c r="H18" i="11"/>
  <c r="J18" i="11"/>
  <c r="K18" i="11" s="1"/>
  <c r="H20" i="11"/>
  <c r="J20" i="11"/>
  <c r="K20" i="11" s="1"/>
  <c r="H22" i="11"/>
  <c r="J22" i="11"/>
  <c r="K22" i="11" s="1"/>
  <c r="H23" i="11"/>
  <c r="J23" i="11"/>
  <c r="K23" i="11" s="1"/>
  <c r="H27" i="11"/>
  <c r="J27" i="11"/>
  <c r="K27" i="11" s="1"/>
  <c r="H28" i="11"/>
  <c r="J28" i="11"/>
  <c r="K28" i="11" s="1"/>
  <c r="H29" i="11"/>
  <c r="J29" i="11"/>
  <c r="K29" i="11" s="1"/>
  <c r="H31" i="11"/>
  <c r="J31" i="11"/>
  <c r="K31" i="11" s="1"/>
  <c r="H33" i="11"/>
  <c r="J33" i="11"/>
  <c r="K33" i="11" s="1"/>
  <c r="H34" i="11"/>
  <c r="J34" i="11"/>
  <c r="K34" i="11" s="1"/>
  <c r="H35" i="11"/>
  <c r="J35" i="11"/>
  <c r="K35" i="11" s="1"/>
  <c r="H36" i="11"/>
  <c r="J36" i="11"/>
  <c r="K36" i="11" s="1"/>
  <c r="H37" i="11"/>
  <c r="J37" i="11"/>
  <c r="K37" i="11" s="1"/>
  <c r="H38" i="11"/>
  <c r="J38" i="11"/>
  <c r="K38" i="11" s="1"/>
  <c r="H40" i="11"/>
  <c r="J40" i="11"/>
  <c r="K40" i="11" s="1"/>
  <c r="H41" i="11"/>
  <c r="J41" i="11"/>
  <c r="K41" i="11" s="1"/>
  <c r="G42" i="11"/>
  <c r="J42" i="11"/>
  <c r="K42" i="11" s="1"/>
  <c r="H46" i="11"/>
  <c r="J46" i="11"/>
  <c r="K46" i="11" s="1"/>
  <c r="H47" i="11"/>
  <c r="J47" i="11"/>
  <c r="K47" i="11" s="1"/>
  <c r="H48" i="11"/>
  <c r="J48" i="11"/>
  <c r="K48" i="11" s="1"/>
  <c r="H49" i="11"/>
  <c r="J49" i="11"/>
  <c r="K49" i="11" s="1"/>
  <c r="H50" i="11"/>
  <c r="J50" i="11"/>
  <c r="K50" i="11" s="1"/>
  <c r="H56" i="11"/>
  <c r="J56" i="11"/>
  <c r="K56" i="11" s="1"/>
  <c r="H57" i="11"/>
  <c r="J57" i="11"/>
  <c r="K57" i="11" s="1"/>
  <c r="H59" i="11"/>
  <c r="J59" i="11"/>
  <c r="K59" i="11" s="1"/>
  <c r="J60" i="11"/>
  <c r="K60" i="11" s="1"/>
  <c r="H62" i="11"/>
  <c r="J62" i="11"/>
  <c r="K62" i="11" s="1"/>
  <c r="H63" i="11"/>
  <c r="J63" i="11"/>
  <c r="K63" i="11" s="1"/>
  <c r="H65" i="11"/>
  <c r="J65" i="11"/>
  <c r="K65" i="11" s="1"/>
  <c r="H66" i="11"/>
  <c r="J66" i="11"/>
  <c r="K66" i="11" s="1"/>
  <c r="H67" i="11"/>
  <c r="J67" i="11"/>
  <c r="K67" i="11" s="1"/>
  <c r="H70" i="11"/>
  <c r="J70" i="11"/>
  <c r="K70" i="11" s="1"/>
  <c r="H71" i="11"/>
  <c r="J71" i="11"/>
  <c r="K71" i="11" s="1"/>
  <c r="H72" i="11"/>
  <c r="J72" i="11"/>
  <c r="K72" i="11" s="1"/>
  <c r="H73" i="11"/>
  <c r="J73" i="11"/>
  <c r="K73" i="11" s="1"/>
  <c r="H76" i="11"/>
  <c r="J76" i="11"/>
  <c r="K76" i="11" s="1"/>
  <c r="H77" i="11"/>
  <c r="J77" i="11"/>
  <c r="K77" i="11" s="1"/>
  <c r="H78" i="11"/>
  <c r="J78" i="11"/>
  <c r="K78" i="11" s="1"/>
  <c r="H80" i="11"/>
  <c r="J80" i="11"/>
  <c r="K80" i="11" s="1"/>
  <c r="H81" i="11"/>
  <c r="J81" i="11"/>
  <c r="K81" i="11" s="1"/>
  <c r="H82" i="11"/>
  <c r="J82" i="11"/>
  <c r="K82" i="11" s="1"/>
  <c r="H83" i="11"/>
  <c r="J83" i="11"/>
  <c r="K83" i="11" s="1"/>
  <c r="H84" i="11"/>
  <c r="J84" i="11"/>
  <c r="K84" i="11" s="1"/>
  <c r="H85" i="11"/>
  <c r="J85" i="11"/>
  <c r="K85" i="11" s="1"/>
  <c r="H86" i="11"/>
  <c r="J86" i="11"/>
  <c r="K86" i="11" s="1"/>
  <c r="H87" i="11"/>
  <c r="J87" i="11"/>
  <c r="K87" i="11" s="1"/>
  <c r="H89" i="11"/>
  <c r="J89" i="11"/>
  <c r="K89" i="11" s="1"/>
  <c r="H90" i="11"/>
  <c r="J90" i="11"/>
  <c r="K90" i="11" s="1"/>
  <c r="H93" i="11"/>
  <c r="J93" i="11"/>
  <c r="K93" i="11" s="1"/>
  <c r="H96" i="11"/>
  <c r="J96" i="11"/>
  <c r="K96" i="11" s="1"/>
  <c r="H97" i="11"/>
  <c r="J97" i="11"/>
  <c r="K97" i="11" s="1"/>
  <c r="H98" i="11"/>
  <c r="J98" i="11"/>
  <c r="K98" i="11" s="1"/>
  <c r="H99" i="11"/>
  <c r="J99" i="11"/>
  <c r="K99" i="11" s="1"/>
  <c r="H100" i="11"/>
  <c r="J100" i="11"/>
  <c r="K100" i="11" s="1"/>
  <c r="H101" i="11"/>
  <c r="J101" i="11"/>
  <c r="K101" i="11" s="1"/>
  <c r="H102" i="11"/>
  <c r="J102" i="11"/>
  <c r="K102" i="11" s="1"/>
  <c r="H103" i="11"/>
  <c r="J103" i="11"/>
  <c r="K103" i="11" s="1"/>
  <c r="H104" i="11"/>
  <c r="J104" i="11"/>
  <c r="K104" i="11" s="1"/>
  <c r="H105" i="11"/>
  <c r="J105" i="11"/>
  <c r="K105" i="11" s="1"/>
  <c r="H106" i="11"/>
  <c r="J106" i="11"/>
  <c r="K106" i="11" s="1"/>
  <c r="H108" i="11"/>
  <c r="J108" i="11"/>
  <c r="K108" i="11" s="1"/>
  <c r="H109" i="11"/>
  <c r="J109" i="11"/>
  <c r="K109" i="11" s="1"/>
  <c r="G110" i="11"/>
  <c r="H110" i="11" s="1"/>
  <c r="J110" i="11"/>
  <c r="K110" i="11" s="1"/>
  <c r="H111" i="11"/>
  <c r="K111" i="11"/>
  <c r="H113" i="11"/>
  <c r="J113" i="11"/>
  <c r="K113" i="11" s="1"/>
  <c r="AF133" i="1"/>
  <c r="AG133" i="1"/>
  <c r="AH133" i="1"/>
  <c r="AF134" i="1"/>
  <c r="AG134" i="1"/>
  <c r="AH134" i="1"/>
  <c r="AJ134" i="1"/>
  <c r="AK134" i="1"/>
  <c r="AF135" i="1"/>
  <c r="AG135" i="1"/>
  <c r="AH135" i="1"/>
  <c r="AJ135" i="1"/>
  <c r="AK135" i="1"/>
  <c r="AF136" i="1"/>
  <c r="AG136" i="1"/>
  <c r="AH136" i="1"/>
  <c r="AF137" i="1"/>
  <c r="AG137" i="1"/>
  <c r="AH137" i="1"/>
  <c r="AF138" i="1"/>
  <c r="AG138" i="1"/>
  <c r="AH138" i="1"/>
  <c r="AF139" i="1"/>
  <c r="AG139" i="1"/>
  <c r="AH139" i="1"/>
  <c r="AF140" i="1"/>
  <c r="AG140" i="1"/>
  <c r="AH140" i="1"/>
  <c r="AF141" i="1"/>
  <c r="AG141" i="1"/>
  <c r="AH141" i="1"/>
  <c r="AF142" i="1"/>
  <c r="AG142" i="1"/>
  <c r="AH142" i="1"/>
  <c r="AJ142" i="1"/>
  <c r="AK142" i="1"/>
  <c r="AF143" i="1"/>
  <c r="AG143" i="1"/>
  <c r="AH143" i="1"/>
  <c r="AJ143" i="1"/>
  <c r="AK143" i="1"/>
  <c r="AF144" i="1"/>
  <c r="AG144" i="1"/>
  <c r="AH144" i="1"/>
  <c r="AF145" i="1"/>
  <c r="AG145" i="1"/>
  <c r="AH145" i="1"/>
  <c r="AF146" i="1"/>
  <c r="AG146" i="1"/>
  <c r="AH146" i="1"/>
  <c r="AF147" i="1"/>
  <c r="AG147" i="1"/>
  <c r="AH147" i="1"/>
  <c r="AF148" i="1"/>
  <c r="AG148" i="1"/>
  <c r="AH148" i="1"/>
  <c r="AF149" i="1"/>
  <c r="AG149" i="1"/>
  <c r="AH149" i="1"/>
  <c r="AJ149" i="1"/>
  <c r="AK149" i="1"/>
  <c r="AF150" i="1"/>
  <c r="AG150" i="1"/>
  <c r="AH150" i="1"/>
  <c r="AF151" i="1"/>
  <c r="AG151" i="1"/>
  <c r="AH151" i="1"/>
  <c r="AJ151" i="1"/>
  <c r="AK151" i="1"/>
  <c r="AF152" i="1"/>
  <c r="AG152" i="1"/>
  <c r="AH152" i="1"/>
  <c r="AJ152" i="1"/>
  <c r="AK152" i="1"/>
  <c r="AF153" i="1"/>
  <c r="AG153" i="1"/>
  <c r="AH153" i="1"/>
  <c r="AJ153" i="1"/>
  <c r="AK153" i="1"/>
  <c r="AK132" i="1"/>
  <c r="AJ132" i="1"/>
  <c r="AH132" i="1"/>
  <c r="AG132" i="1"/>
  <c r="AF132" i="1"/>
  <c r="AF131" i="1" s="1"/>
  <c r="AF108" i="1"/>
  <c r="AG108" i="1"/>
  <c r="AH108" i="1"/>
  <c r="AJ108" i="1"/>
  <c r="AK108" i="1"/>
  <c r="AF110" i="1"/>
  <c r="AG110" i="1"/>
  <c r="AH110" i="1"/>
  <c r="AJ110" i="1"/>
  <c r="AK110" i="1"/>
  <c r="AF111" i="1"/>
  <c r="AG111" i="1"/>
  <c r="AH111" i="1"/>
  <c r="AJ111" i="1"/>
  <c r="AK111" i="1"/>
  <c r="AF112" i="1"/>
  <c r="AG112" i="1"/>
  <c r="AH112" i="1"/>
  <c r="AJ112" i="1"/>
  <c r="AK112" i="1"/>
  <c r="AF114" i="1"/>
  <c r="AG114" i="1"/>
  <c r="AH114" i="1"/>
  <c r="AJ114" i="1"/>
  <c r="AK114" i="1"/>
  <c r="AF115" i="1"/>
  <c r="AG115" i="1"/>
  <c r="AH115" i="1"/>
  <c r="AJ115" i="1"/>
  <c r="AK115" i="1"/>
  <c r="AF117" i="1"/>
  <c r="AG117" i="1"/>
  <c r="AH117" i="1"/>
  <c r="AF118" i="1"/>
  <c r="AG118" i="1"/>
  <c r="AH118" i="1"/>
  <c r="AJ118" i="1"/>
  <c r="AK118" i="1"/>
  <c r="AF119" i="1"/>
  <c r="AG119" i="1"/>
  <c r="AH119" i="1"/>
  <c r="AJ119" i="1"/>
  <c r="AK119" i="1"/>
  <c r="AF122" i="1"/>
  <c r="AG122" i="1"/>
  <c r="AH122" i="1"/>
  <c r="AJ122" i="1"/>
  <c r="AK122" i="1"/>
  <c r="AF123" i="1"/>
  <c r="AG123" i="1"/>
  <c r="AH123" i="1"/>
  <c r="AJ123" i="1"/>
  <c r="AK123" i="1"/>
  <c r="AF125" i="1"/>
  <c r="AG125" i="1"/>
  <c r="AH125" i="1"/>
  <c r="AJ125" i="1"/>
  <c r="AK125" i="1"/>
  <c r="AF127" i="1"/>
  <c r="AG127" i="1"/>
  <c r="AH127" i="1"/>
  <c r="AJ127" i="1"/>
  <c r="AK127" i="1"/>
  <c r="AF128" i="1"/>
  <c r="AG128" i="1"/>
  <c r="AH128" i="1"/>
  <c r="AJ128" i="1"/>
  <c r="AK128" i="1"/>
  <c r="AF129" i="1"/>
  <c r="AG129" i="1"/>
  <c r="AH129" i="1"/>
  <c r="AJ129" i="1"/>
  <c r="AK129" i="1"/>
  <c r="AH107" i="1"/>
  <c r="AG107" i="1"/>
  <c r="AF107" i="1"/>
  <c r="AF81" i="1"/>
  <c r="AG81" i="1"/>
  <c r="AH81" i="1"/>
  <c r="AJ81" i="1"/>
  <c r="AK81" i="1"/>
  <c r="AF82" i="1"/>
  <c r="AG82" i="1"/>
  <c r="AH82" i="1"/>
  <c r="AJ82" i="1"/>
  <c r="AK82" i="1"/>
  <c r="AF83" i="1"/>
  <c r="AG83" i="1"/>
  <c r="AH83" i="1"/>
  <c r="AJ83" i="1"/>
  <c r="AK83" i="1"/>
  <c r="AF84" i="1"/>
  <c r="AG84" i="1"/>
  <c r="AH84" i="1"/>
  <c r="AJ84" i="1"/>
  <c r="AK84" i="1"/>
  <c r="AF85" i="1"/>
  <c r="AG85" i="1"/>
  <c r="AH85" i="1"/>
  <c r="AF86" i="1"/>
  <c r="AG86" i="1"/>
  <c r="AH86" i="1"/>
  <c r="AJ86" i="1"/>
  <c r="AK86" i="1"/>
  <c r="AF87" i="1"/>
  <c r="AG87" i="1"/>
  <c r="AH87" i="1"/>
  <c r="AJ87" i="1"/>
  <c r="AK87" i="1"/>
  <c r="AF88" i="1"/>
  <c r="AG88" i="1"/>
  <c r="AH88" i="1"/>
  <c r="AJ88" i="1"/>
  <c r="AK88" i="1"/>
  <c r="AF89" i="1"/>
  <c r="AG89" i="1"/>
  <c r="AH89" i="1"/>
  <c r="AJ89" i="1"/>
  <c r="AK89" i="1"/>
  <c r="AF90" i="1"/>
  <c r="AG90" i="1"/>
  <c r="AH90" i="1"/>
  <c r="AJ90" i="1"/>
  <c r="AK90" i="1"/>
  <c r="AF92" i="1"/>
  <c r="AG92" i="1"/>
  <c r="AH92" i="1"/>
  <c r="AJ92" i="1"/>
  <c r="AK92" i="1"/>
  <c r="AF93" i="1"/>
  <c r="AG93" i="1"/>
  <c r="AH93" i="1"/>
  <c r="AJ93" i="1"/>
  <c r="AK93" i="1"/>
  <c r="AF94" i="1"/>
  <c r="AG94" i="1"/>
  <c r="AH94" i="1"/>
  <c r="AF95" i="1"/>
  <c r="AG95" i="1"/>
  <c r="AH95" i="1"/>
  <c r="AJ95" i="1"/>
  <c r="AK95" i="1"/>
  <c r="AF96" i="1"/>
  <c r="AG96" i="1"/>
  <c r="AH96" i="1"/>
  <c r="AJ96" i="1"/>
  <c r="AK96" i="1"/>
  <c r="AF97" i="1"/>
  <c r="AG97" i="1"/>
  <c r="AH97" i="1"/>
  <c r="AF98" i="1"/>
  <c r="AG98" i="1"/>
  <c r="AH98" i="1"/>
  <c r="AJ98" i="1"/>
  <c r="AK98" i="1"/>
  <c r="AF101" i="1"/>
  <c r="AG101" i="1"/>
  <c r="AH101" i="1"/>
  <c r="AJ101" i="1"/>
  <c r="AK101" i="1"/>
  <c r="AF103" i="1"/>
  <c r="AG103" i="1"/>
  <c r="AH103" i="1"/>
  <c r="AJ103" i="1"/>
  <c r="AK103" i="1"/>
  <c r="AK80" i="1"/>
  <c r="AJ80" i="1"/>
  <c r="AH80" i="1"/>
  <c r="AH79" i="1" s="1"/>
  <c r="AG80" i="1"/>
  <c r="AF80" i="1"/>
  <c r="AK77" i="1"/>
  <c r="AJ77" i="1"/>
  <c r="AK71" i="1"/>
  <c r="AK72" i="1"/>
  <c r="AK73" i="1"/>
  <c r="AK74" i="1"/>
  <c r="AG76" i="1"/>
  <c r="AH76" i="1"/>
  <c r="AG77" i="1"/>
  <c r="AH77" i="1"/>
  <c r="AG71" i="1"/>
  <c r="AH71" i="1"/>
  <c r="AG72" i="1"/>
  <c r="AH72" i="1"/>
  <c r="AG73" i="1"/>
  <c r="AH73" i="1"/>
  <c r="AG74" i="1"/>
  <c r="AH74" i="1"/>
  <c r="AH75" i="1"/>
  <c r="AG75" i="1"/>
  <c r="AF76" i="1"/>
  <c r="AF77" i="1"/>
  <c r="AF71" i="1"/>
  <c r="AF72" i="1"/>
  <c r="AF73" i="1"/>
  <c r="AF74" i="1"/>
  <c r="AF75" i="1"/>
  <c r="C27" i="10"/>
  <c r="C17" i="10"/>
  <c r="D17" i="10"/>
  <c r="F17" i="10"/>
  <c r="G17" i="10"/>
  <c r="H18" i="10"/>
  <c r="K18" i="10"/>
  <c r="H19" i="10"/>
  <c r="J19" i="10"/>
  <c r="K19" i="10" s="1"/>
  <c r="C20" i="10"/>
  <c r="D20" i="10"/>
  <c r="F20" i="10"/>
  <c r="G20" i="10"/>
  <c r="H21" i="10"/>
  <c r="J21" i="10"/>
  <c r="K21" i="10" s="1"/>
  <c r="H22" i="10"/>
  <c r="J22" i="10"/>
  <c r="K22" i="10" s="1"/>
  <c r="H23" i="10"/>
  <c r="J23" i="10"/>
  <c r="K23" i="10" s="1"/>
  <c r="C24" i="10"/>
  <c r="D24" i="10"/>
  <c r="F24" i="10"/>
  <c r="G24" i="10"/>
  <c r="H25" i="10"/>
  <c r="J25" i="10"/>
  <c r="K25" i="10" s="1"/>
  <c r="H26" i="10"/>
  <c r="J26" i="10"/>
  <c r="K26" i="10" s="1"/>
  <c r="G27" i="10"/>
  <c r="H28" i="10"/>
  <c r="K28" i="10"/>
  <c r="H30" i="10"/>
  <c r="K30" i="10"/>
  <c r="H32" i="10"/>
  <c r="K32" i="10"/>
  <c r="H33" i="10"/>
  <c r="K33" i="10"/>
  <c r="H34" i="10"/>
  <c r="K34" i="10"/>
  <c r="D27" i="10"/>
  <c r="H36" i="10"/>
  <c r="K36" i="10"/>
  <c r="H37" i="10"/>
  <c r="J37" i="10"/>
  <c r="K37" i="10" s="1"/>
  <c r="H38" i="10"/>
  <c r="J38" i="10"/>
  <c r="K38" i="10" s="1"/>
  <c r="H40" i="10"/>
  <c r="K40" i="10"/>
  <c r="H41" i="10"/>
  <c r="K41" i="10"/>
  <c r="H42" i="10"/>
  <c r="K42" i="10"/>
  <c r="H43" i="10"/>
  <c r="K43" i="10"/>
  <c r="H44" i="10"/>
  <c r="J44" i="10"/>
  <c r="K44" i="10" s="1"/>
  <c r="H45" i="10"/>
  <c r="J45" i="10"/>
  <c r="K45" i="10" s="1"/>
  <c r="H46" i="10"/>
  <c r="J46" i="10"/>
  <c r="K46" i="10" s="1"/>
  <c r="Z81" i="1"/>
  <c r="AA81" i="1"/>
  <c r="AB81" i="1"/>
  <c r="AE81" i="1"/>
  <c r="Z82" i="1"/>
  <c r="AA82" i="1"/>
  <c r="AB82" i="1"/>
  <c r="AE82" i="1"/>
  <c r="Z83" i="1"/>
  <c r="AA83" i="1"/>
  <c r="AB83" i="1"/>
  <c r="AE83" i="1"/>
  <c r="Z84" i="1"/>
  <c r="AA84" i="1"/>
  <c r="AB84" i="1"/>
  <c r="AE84" i="1"/>
  <c r="Z85" i="1"/>
  <c r="AA85" i="1"/>
  <c r="AB85" i="1"/>
  <c r="AE85" i="1"/>
  <c r="Z86" i="1"/>
  <c r="AA86" i="1"/>
  <c r="AB86" i="1"/>
  <c r="AE86" i="1"/>
  <c r="Z87" i="1"/>
  <c r="AA87" i="1"/>
  <c r="AB87" i="1"/>
  <c r="AE87" i="1"/>
  <c r="Z88" i="1"/>
  <c r="AA88" i="1"/>
  <c r="AB88" i="1"/>
  <c r="AE88" i="1"/>
  <c r="Z89" i="1"/>
  <c r="AA89" i="1"/>
  <c r="AB89" i="1"/>
  <c r="AE89" i="1"/>
  <c r="Z90" i="1"/>
  <c r="AA90" i="1"/>
  <c r="AB90" i="1"/>
  <c r="AE90" i="1"/>
  <c r="Z92" i="1"/>
  <c r="AA92" i="1"/>
  <c r="AB92" i="1"/>
  <c r="AE92" i="1"/>
  <c r="Z93" i="1"/>
  <c r="AA93" i="1"/>
  <c r="AB93" i="1"/>
  <c r="AE93" i="1"/>
  <c r="Z94" i="1"/>
  <c r="AA94" i="1"/>
  <c r="AB94" i="1"/>
  <c r="AE94" i="1"/>
  <c r="Z95" i="1"/>
  <c r="AA95" i="1"/>
  <c r="AB95" i="1"/>
  <c r="AE95" i="1"/>
  <c r="Z96" i="1"/>
  <c r="AA96" i="1"/>
  <c r="AB96" i="1"/>
  <c r="Z97" i="1"/>
  <c r="AA97" i="1"/>
  <c r="AB97" i="1"/>
  <c r="Z98" i="1"/>
  <c r="AA98" i="1"/>
  <c r="AB98" i="1"/>
  <c r="AE98" i="1"/>
  <c r="Z101" i="1"/>
  <c r="AA101" i="1"/>
  <c r="AB101" i="1"/>
  <c r="AE101" i="1"/>
  <c r="Z103" i="1"/>
  <c r="AA103" i="1"/>
  <c r="AB103" i="1"/>
  <c r="AE103" i="1"/>
  <c r="Z104" i="1"/>
  <c r="AA104" i="1"/>
  <c r="AB104" i="1"/>
  <c r="AE104" i="1"/>
  <c r="AE80" i="1"/>
  <c r="AB80" i="1"/>
  <c r="AA80" i="1"/>
  <c r="Z80" i="1"/>
  <c r="Z79" i="1" s="1"/>
  <c r="Z148" i="1"/>
  <c r="AA148" i="1"/>
  <c r="AB148" i="1"/>
  <c r="Z133" i="1"/>
  <c r="AA133" i="1"/>
  <c r="AB133" i="1"/>
  <c r="Z134" i="1"/>
  <c r="AA134" i="1"/>
  <c r="AB134" i="1"/>
  <c r="AE134" i="1"/>
  <c r="Z135" i="1"/>
  <c r="AA135" i="1"/>
  <c r="AB135" i="1"/>
  <c r="Z136" i="1"/>
  <c r="AA136" i="1"/>
  <c r="AB136" i="1"/>
  <c r="AE136" i="1"/>
  <c r="Z137" i="1"/>
  <c r="AA137" i="1"/>
  <c r="AB137" i="1"/>
  <c r="AE137" i="1"/>
  <c r="Z138" i="1"/>
  <c r="AA138" i="1"/>
  <c r="AB138" i="1"/>
  <c r="AE138" i="1"/>
  <c r="Z139" i="1"/>
  <c r="AA139" i="1"/>
  <c r="AB139" i="1"/>
  <c r="AE139" i="1"/>
  <c r="Z140" i="1"/>
  <c r="AA140" i="1"/>
  <c r="AB140" i="1"/>
  <c r="AE140" i="1"/>
  <c r="Z141" i="1"/>
  <c r="AA141" i="1"/>
  <c r="AB141" i="1"/>
  <c r="AE141" i="1"/>
  <c r="Z142" i="1"/>
  <c r="AA142" i="1"/>
  <c r="AB142" i="1"/>
  <c r="AE142" i="1"/>
  <c r="Z143" i="1"/>
  <c r="AA143" i="1"/>
  <c r="AB143" i="1"/>
  <c r="AE143" i="1"/>
  <c r="Z144" i="1"/>
  <c r="AA144" i="1"/>
  <c r="AB144" i="1"/>
  <c r="AE144" i="1"/>
  <c r="Z145" i="1"/>
  <c r="AA145" i="1"/>
  <c r="AB145" i="1"/>
  <c r="Z146" i="1"/>
  <c r="AA146" i="1"/>
  <c r="AB146" i="1"/>
  <c r="AE146" i="1"/>
  <c r="Z147" i="1"/>
  <c r="AA147" i="1"/>
  <c r="AB147" i="1"/>
  <c r="Z149" i="1"/>
  <c r="AA149" i="1"/>
  <c r="AB149" i="1"/>
  <c r="Z150" i="1"/>
  <c r="AA150" i="1"/>
  <c r="AB150" i="1"/>
  <c r="Z151" i="1"/>
  <c r="AA151" i="1"/>
  <c r="AB151" i="1"/>
  <c r="AE151" i="1"/>
  <c r="Z152" i="1"/>
  <c r="AA152" i="1"/>
  <c r="AB152" i="1"/>
  <c r="AE152" i="1"/>
  <c r="Z153" i="1"/>
  <c r="AA153" i="1"/>
  <c r="AB153" i="1"/>
  <c r="AE153" i="1"/>
  <c r="AE132" i="1"/>
  <c r="AB132" i="1"/>
  <c r="AA132" i="1"/>
  <c r="Z132" i="1"/>
  <c r="Z125" i="1"/>
  <c r="AA125" i="1"/>
  <c r="AB125" i="1"/>
  <c r="Z127" i="1"/>
  <c r="AA127" i="1"/>
  <c r="AB127" i="1"/>
  <c r="Z108" i="1"/>
  <c r="AA108" i="1"/>
  <c r="AB108" i="1"/>
  <c r="AE108" i="1"/>
  <c r="Z110" i="1"/>
  <c r="AA110" i="1"/>
  <c r="AB110" i="1"/>
  <c r="AE110" i="1"/>
  <c r="Z111" i="1"/>
  <c r="AA111" i="1"/>
  <c r="AB111" i="1"/>
  <c r="AE111" i="1"/>
  <c r="Z112" i="1"/>
  <c r="AA112" i="1"/>
  <c r="AB112" i="1"/>
  <c r="Z114" i="1"/>
  <c r="AA114" i="1"/>
  <c r="AB114" i="1"/>
  <c r="AE114" i="1"/>
  <c r="Z115" i="1"/>
  <c r="AA115" i="1"/>
  <c r="AB115" i="1"/>
  <c r="AE115" i="1"/>
  <c r="Z117" i="1"/>
  <c r="AA117" i="1"/>
  <c r="AB117" i="1"/>
  <c r="Z118" i="1"/>
  <c r="AA118" i="1"/>
  <c r="AB118" i="1"/>
  <c r="AE118" i="1"/>
  <c r="Z119" i="1"/>
  <c r="AA119" i="1"/>
  <c r="AB119" i="1"/>
  <c r="AE119" i="1"/>
  <c r="Z122" i="1"/>
  <c r="AA122" i="1"/>
  <c r="AB122" i="1"/>
  <c r="AE122" i="1"/>
  <c r="Z123" i="1"/>
  <c r="AA123" i="1"/>
  <c r="Z128" i="1"/>
  <c r="AA128" i="1"/>
  <c r="AB128" i="1"/>
  <c r="AE128" i="1"/>
  <c r="Z129" i="1"/>
  <c r="AA129" i="1"/>
  <c r="AB129" i="1"/>
  <c r="AE107" i="1"/>
  <c r="AB107" i="1"/>
  <c r="AA107" i="1"/>
  <c r="Z107" i="1"/>
  <c r="Z72" i="1"/>
  <c r="AA72" i="1"/>
  <c r="AB72" i="1"/>
  <c r="Z73" i="1"/>
  <c r="AA73" i="1"/>
  <c r="AB73" i="1"/>
  <c r="AE73" i="1"/>
  <c r="Z74" i="1"/>
  <c r="AA74" i="1"/>
  <c r="AB74" i="1"/>
  <c r="Z75" i="1"/>
  <c r="AA75" i="1"/>
  <c r="AB75" i="1"/>
  <c r="Z76" i="1"/>
  <c r="AA76" i="1"/>
  <c r="AB76" i="1"/>
  <c r="Z77" i="1"/>
  <c r="AA77" i="1"/>
  <c r="AB77" i="1"/>
  <c r="AE71" i="1"/>
  <c r="Z42" i="1"/>
  <c r="AA42" i="1"/>
  <c r="AB42" i="1"/>
  <c r="AE42" i="1"/>
  <c r="Z43" i="1"/>
  <c r="AA43" i="1"/>
  <c r="AB43" i="1"/>
  <c r="AE43" i="1"/>
  <c r="Z45" i="1"/>
  <c r="AA45" i="1"/>
  <c r="AB45" i="1"/>
  <c r="AE45" i="1"/>
  <c r="Z46" i="1"/>
  <c r="AA46" i="1"/>
  <c r="AB46" i="1"/>
  <c r="AE46" i="1"/>
  <c r="Z47" i="1"/>
  <c r="AA47" i="1"/>
  <c r="AB47" i="1"/>
  <c r="AE47" i="1"/>
  <c r="Z48" i="1"/>
  <c r="AA48" i="1"/>
  <c r="AB48" i="1"/>
  <c r="AE48" i="1"/>
  <c r="Z49" i="1"/>
  <c r="AA49" i="1"/>
  <c r="AB49" i="1"/>
  <c r="AE49" i="1"/>
  <c r="Z51" i="1"/>
  <c r="AA51" i="1"/>
  <c r="AB51" i="1"/>
  <c r="AE51" i="1"/>
  <c r="Z52" i="1"/>
  <c r="AA52" i="1"/>
  <c r="AB52" i="1"/>
  <c r="AE52" i="1"/>
  <c r="AB71" i="1"/>
  <c r="AA71" i="1"/>
  <c r="AA70" i="1" s="1"/>
  <c r="Z71" i="1"/>
  <c r="Z55" i="1"/>
  <c r="Z54" i="1" s="1"/>
  <c r="AB55" i="1"/>
  <c r="AB54" i="1" s="1"/>
  <c r="AA55" i="1"/>
  <c r="AA54" i="1" s="1"/>
  <c r="AE13" i="1"/>
  <c r="AE14" i="1"/>
  <c r="AE17" i="1"/>
  <c r="AE18" i="1"/>
  <c r="AE19" i="1"/>
  <c r="AE22" i="1"/>
  <c r="AE23" i="1"/>
  <c r="AE24" i="1"/>
  <c r="AE26" i="1"/>
  <c r="AE28" i="1"/>
  <c r="AE29" i="1"/>
  <c r="AE32" i="1"/>
  <c r="AE33" i="1"/>
  <c r="AE34" i="1"/>
  <c r="AE36" i="1"/>
  <c r="AE37" i="1"/>
  <c r="AE38" i="1"/>
  <c r="AE39" i="1"/>
  <c r="Z13" i="1"/>
  <c r="AA13" i="1"/>
  <c r="AB13" i="1"/>
  <c r="Z14" i="1"/>
  <c r="AA14" i="1"/>
  <c r="AB14" i="1"/>
  <c r="Z17" i="1"/>
  <c r="AA17" i="1"/>
  <c r="AB17" i="1"/>
  <c r="Z18" i="1"/>
  <c r="AA18" i="1"/>
  <c r="AB18" i="1"/>
  <c r="Z19" i="1"/>
  <c r="AA19" i="1"/>
  <c r="AB19" i="1"/>
  <c r="Z22" i="1"/>
  <c r="AA22" i="1"/>
  <c r="AB22" i="1"/>
  <c r="Z23" i="1"/>
  <c r="AA23" i="1"/>
  <c r="AB23" i="1"/>
  <c r="Z24" i="1"/>
  <c r="AA24" i="1"/>
  <c r="AB24" i="1"/>
  <c r="Z26" i="1"/>
  <c r="AA26" i="1"/>
  <c r="AB26" i="1"/>
  <c r="Z28" i="1"/>
  <c r="AA28" i="1"/>
  <c r="AB28" i="1"/>
  <c r="Z29" i="1"/>
  <c r="AA29" i="1"/>
  <c r="AB29" i="1"/>
  <c r="Z32" i="1"/>
  <c r="AA32" i="1"/>
  <c r="AB32" i="1"/>
  <c r="Z33" i="1"/>
  <c r="AA33" i="1"/>
  <c r="AB33" i="1"/>
  <c r="Z34" i="1"/>
  <c r="AA34" i="1"/>
  <c r="AB34" i="1"/>
  <c r="Z36" i="1"/>
  <c r="AA36" i="1"/>
  <c r="AB36" i="1"/>
  <c r="Z37" i="1"/>
  <c r="AA37" i="1"/>
  <c r="AB37" i="1"/>
  <c r="Z38" i="1"/>
  <c r="AA38" i="1"/>
  <c r="AB38" i="1"/>
  <c r="Z39" i="1"/>
  <c r="AA39" i="1"/>
  <c r="AB39" i="1"/>
  <c r="Z40" i="1"/>
  <c r="AA40" i="1"/>
  <c r="AB40" i="1"/>
  <c r="AB12" i="1"/>
  <c r="AA12" i="1"/>
  <c r="Z12" i="1"/>
  <c r="G19" i="9"/>
  <c r="J19" i="9"/>
  <c r="G20" i="9"/>
  <c r="J20" i="9"/>
  <c r="G25" i="9"/>
  <c r="J25" i="9"/>
  <c r="G26" i="9"/>
  <c r="J26" i="9"/>
  <c r="G27" i="9"/>
  <c r="J27" i="9"/>
  <c r="G28" i="9"/>
  <c r="J28" i="9"/>
  <c r="G29" i="9"/>
  <c r="J29" i="9"/>
  <c r="G39" i="9"/>
  <c r="J39" i="9"/>
  <c r="G40" i="9"/>
  <c r="J40" i="9"/>
  <c r="M40" i="9" s="1"/>
  <c r="O40" i="9" s="1"/>
  <c r="F41" i="9"/>
  <c r="G41" i="9" s="1"/>
  <c r="J41" i="9"/>
  <c r="G42" i="9"/>
  <c r="J42" i="9"/>
  <c r="B45" i="9"/>
  <c r="C45" i="9"/>
  <c r="E45" i="9"/>
  <c r="K45" i="9"/>
  <c r="G48" i="9"/>
  <c r="J48" i="9"/>
  <c r="G49" i="9"/>
  <c r="J49" i="9"/>
  <c r="G50" i="9"/>
  <c r="J50" i="9"/>
  <c r="F51" i="9"/>
  <c r="F55" i="9" s="1"/>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AM10" i="1" l="1"/>
  <c r="AL10" i="1"/>
  <c r="AT54" i="1"/>
  <c r="Z106" i="1"/>
  <c r="AH70" i="1"/>
  <c r="AH131" i="1"/>
  <c r="AL79" i="1"/>
  <c r="AL106" i="1"/>
  <c r="AO147" i="1"/>
  <c r="AO139" i="1"/>
  <c r="AR106" i="1"/>
  <c r="AR131" i="1"/>
  <c r="AA10" i="1"/>
  <c r="AB70" i="1"/>
  <c r="AG131" i="1"/>
  <c r="AO141" i="1"/>
  <c r="AO133" i="1"/>
  <c r="BA132" i="1"/>
  <c r="AY131" i="1"/>
  <c r="AA106" i="1"/>
  <c r="Z131" i="1"/>
  <c r="AG70" i="1"/>
  <c r="AM79" i="1"/>
  <c r="AM106" i="1"/>
  <c r="AO120" i="1"/>
  <c r="AT10" i="1"/>
  <c r="AS131" i="1"/>
  <c r="AS54" i="1"/>
  <c r="AB106" i="1"/>
  <c r="AF106" i="1"/>
  <c r="AB131" i="1"/>
  <c r="AA79" i="1"/>
  <c r="AG106" i="1"/>
  <c r="AL131" i="1"/>
  <c r="AR10" i="1"/>
  <c r="AS79" i="1"/>
  <c r="AN79" i="1"/>
  <c r="AS10" i="1"/>
  <c r="AT106" i="1"/>
  <c r="AB79" i="1"/>
  <c r="AF79" i="1"/>
  <c r="AH106" i="1"/>
  <c r="AM131" i="1"/>
  <c r="AN151" i="1"/>
  <c r="AO151" i="1" s="1"/>
  <c r="AR70" i="1"/>
  <c r="AT79" i="1"/>
  <c r="Z10" i="1"/>
  <c r="AA131" i="1"/>
  <c r="AN106" i="1"/>
  <c r="AR79" i="1"/>
  <c r="AB10" i="1"/>
  <c r="Z70" i="1"/>
  <c r="AF70" i="1"/>
  <c r="AG79" i="1"/>
  <c r="AN10" i="1"/>
  <c r="AL70" i="1"/>
  <c r="AR54" i="1"/>
  <c r="AS70" i="1"/>
  <c r="AU153" i="1"/>
  <c r="AU151" i="1"/>
  <c r="AU137" i="1"/>
  <c r="AU59" i="1"/>
  <c r="AU72" i="1"/>
  <c r="AU148" i="1"/>
  <c r="AU146" i="1"/>
  <c r="AU140" i="1"/>
  <c r="AU138" i="1"/>
  <c r="AU134" i="1"/>
  <c r="BA140" i="1"/>
  <c r="BA142" i="1"/>
  <c r="BA146" i="1"/>
  <c r="AU145" i="1"/>
  <c r="AU74" i="1"/>
  <c r="BA133" i="1"/>
  <c r="BA135" i="1"/>
  <c r="BA137" i="1"/>
  <c r="BA139" i="1"/>
  <c r="BA147" i="1"/>
  <c r="BA149" i="1"/>
  <c r="BA151" i="1"/>
  <c r="BA153" i="1"/>
  <c r="AU141" i="1"/>
  <c r="AO119" i="1"/>
  <c r="AU64" i="1"/>
  <c r="AU77" i="1"/>
  <c r="AU152" i="1"/>
  <c r="AU63" i="1"/>
  <c r="AU144" i="1"/>
  <c r="BA107" i="1"/>
  <c r="BA106" i="1" s="1"/>
  <c r="BA152" i="1"/>
  <c r="AU57" i="1"/>
  <c r="AU149" i="1"/>
  <c r="AU133" i="1"/>
  <c r="AU143" i="1"/>
  <c r="AU150" i="1"/>
  <c r="AU139" i="1"/>
  <c r="AU135" i="1"/>
  <c r="BA141" i="1"/>
  <c r="BA143" i="1"/>
  <c r="BA145" i="1"/>
  <c r="AO39" i="1"/>
  <c r="AU142" i="1"/>
  <c r="BA134" i="1"/>
  <c r="BA138" i="1"/>
  <c r="AU136" i="1"/>
  <c r="BA136" i="1"/>
  <c r="AO136" i="1"/>
  <c r="AU147" i="1"/>
  <c r="BA144" i="1"/>
  <c r="BA148" i="1"/>
  <c r="BA150" i="1"/>
  <c r="AU132" i="1"/>
  <c r="AU113" i="1"/>
  <c r="AU108" i="1"/>
  <c r="AU35" i="1"/>
  <c r="AU94" i="1"/>
  <c r="AU86" i="1"/>
  <c r="AU61" i="1"/>
  <c r="AU56" i="1"/>
  <c r="AU30" i="1"/>
  <c r="AU76" i="1"/>
  <c r="AU118" i="1"/>
  <c r="AU129" i="1"/>
  <c r="AU124" i="1"/>
  <c r="AU123" i="1"/>
  <c r="AU127" i="1"/>
  <c r="AU120" i="1"/>
  <c r="AU112" i="1"/>
  <c r="AU114" i="1"/>
  <c r="AU116" i="1"/>
  <c r="AU128" i="1"/>
  <c r="AU121" i="1"/>
  <c r="AU107" i="1"/>
  <c r="AU115" i="1"/>
  <c r="AU126" i="1"/>
  <c r="AU125" i="1"/>
  <c r="AU31" i="1"/>
  <c r="AU67" i="1"/>
  <c r="AU65" i="1"/>
  <c r="AU73" i="1"/>
  <c r="AU111" i="1"/>
  <c r="AU109" i="1"/>
  <c r="AU75" i="1"/>
  <c r="AU68" i="1"/>
  <c r="AU66" i="1"/>
  <c r="AU119" i="1"/>
  <c r="AU110" i="1"/>
  <c r="AS117" i="1"/>
  <c r="AU117" i="1" s="1"/>
  <c r="AU62" i="1"/>
  <c r="AU60" i="1"/>
  <c r="AU58" i="1"/>
  <c r="AU122" i="1"/>
  <c r="AU84" i="1"/>
  <c r="AU82" i="1"/>
  <c r="AU104" i="1"/>
  <c r="AU95" i="1"/>
  <c r="AU87" i="1"/>
  <c r="AU103" i="1"/>
  <c r="AU101" i="1"/>
  <c r="AU98" i="1"/>
  <c r="AU96" i="1"/>
  <c r="AU92" i="1"/>
  <c r="AU90" i="1"/>
  <c r="AU88" i="1"/>
  <c r="AU102" i="1"/>
  <c r="AU99" i="1"/>
  <c r="AU97" i="1"/>
  <c r="AU93" i="1"/>
  <c r="AU91" i="1"/>
  <c r="AU89" i="1"/>
  <c r="AU85" i="1"/>
  <c r="AU81" i="1"/>
  <c r="AU80" i="1"/>
  <c r="AU83" i="1"/>
  <c r="AU71" i="1"/>
  <c r="AU55" i="1"/>
  <c r="AU44" i="1"/>
  <c r="AO127" i="1"/>
  <c r="AO152" i="1"/>
  <c r="AO144" i="1"/>
  <c r="AU50" i="1"/>
  <c r="AO118" i="1"/>
  <c r="AO149" i="1"/>
  <c r="AU42" i="1"/>
  <c r="AO121" i="1"/>
  <c r="AU34" i="1"/>
  <c r="AO111" i="1"/>
  <c r="AO124" i="1"/>
  <c r="AU33" i="1"/>
  <c r="AU38" i="1"/>
  <c r="AU51" i="1"/>
  <c r="AU13" i="1"/>
  <c r="AU47" i="1"/>
  <c r="AU16" i="1"/>
  <c r="AU27" i="1"/>
  <c r="AU19" i="1"/>
  <c r="AU45" i="1"/>
  <c r="AU41" i="1"/>
  <c r="AU14" i="1"/>
  <c r="AU39" i="1"/>
  <c r="AU28" i="1"/>
  <c r="AO128" i="1"/>
  <c r="AO125" i="1"/>
  <c r="AU52" i="1"/>
  <c r="AU17" i="1"/>
  <c r="AO123" i="1"/>
  <c r="AO150" i="1"/>
  <c r="AO142" i="1"/>
  <c r="AO134" i="1"/>
  <c r="AU23" i="1"/>
  <c r="AU15" i="1"/>
  <c r="AO126" i="1"/>
  <c r="AO143" i="1"/>
  <c r="AO135" i="1"/>
  <c r="AU24" i="1"/>
  <c r="AU40" i="1"/>
  <c r="AU37" i="1"/>
  <c r="AU20" i="1"/>
  <c r="AU48" i="1"/>
  <c r="AU29" i="1"/>
  <c r="AU26" i="1"/>
  <c r="AU21" i="1"/>
  <c r="AU18" i="1"/>
  <c r="AU36" i="1"/>
  <c r="AU32" i="1"/>
  <c r="AU49" i="1"/>
  <c r="AU46" i="1"/>
  <c r="AU43" i="1"/>
  <c r="AU25" i="1"/>
  <c r="AU22" i="1"/>
  <c r="M20" i="12"/>
  <c r="Q20" i="12" s="1"/>
  <c r="AW15" i="1" s="1"/>
  <c r="M35" i="12"/>
  <c r="Q35" i="12" s="1"/>
  <c r="AW32" i="1" s="1"/>
  <c r="M102" i="12"/>
  <c r="Q102" i="12" s="1"/>
  <c r="AW99" i="1" s="1"/>
  <c r="Q158" i="12"/>
  <c r="AW112" i="1"/>
  <c r="M47" i="12"/>
  <c r="Q47" i="12" s="1"/>
  <c r="AW24" i="1" s="1"/>
  <c r="M112" i="12"/>
  <c r="Q112" i="12" s="1"/>
  <c r="AW90" i="1" s="1"/>
  <c r="M109" i="12"/>
  <c r="Q109" i="12" s="1"/>
  <c r="AW86" i="1" s="1"/>
  <c r="M136" i="12"/>
  <c r="Q136" i="12" s="1"/>
  <c r="AW122" i="1" s="1"/>
  <c r="M117" i="12"/>
  <c r="Q117" i="12" s="1"/>
  <c r="AW98" i="1" s="1"/>
  <c r="M51" i="12"/>
  <c r="Q51" i="12" s="1"/>
  <c r="AW39" i="1" s="1"/>
  <c r="M66" i="12"/>
  <c r="Q66" i="12" s="1"/>
  <c r="AW73" i="1" s="1"/>
  <c r="M165" i="12"/>
  <c r="Q165" i="12" s="1"/>
  <c r="AW139" i="1" s="1"/>
  <c r="M169" i="12"/>
  <c r="Q169" i="12" s="1"/>
  <c r="AW146" i="1" s="1"/>
  <c r="N82" i="12"/>
  <c r="N73" i="12" s="1"/>
  <c r="Q78" i="12"/>
  <c r="M69" i="12"/>
  <c r="Q69" i="12" s="1"/>
  <c r="AW76" i="1" s="1"/>
  <c r="M104" i="12"/>
  <c r="Q104" i="12" s="1"/>
  <c r="AW101" i="1" s="1"/>
  <c r="M76" i="12"/>
  <c r="Q76" i="12" s="1"/>
  <c r="AW57" i="1" s="1"/>
  <c r="M140" i="12"/>
  <c r="Q140" i="12" s="1"/>
  <c r="AW128" i="1" s="1"/>
  <c r="Q168" i="12"/>
  <c r="Q161" i="12"/>
  <c r="AW150" i="1" s="1"/>
  <c r="M144" i="12"/>
  <c r="Q144" i="12" s="1"/>
  <c r="AW127" i="1" s="1"/>
  <c r="Q120" i="12"/>
  <c r="Q107" i="12"/>
  <c r="Q88" i="12"/>
  <c r="Q40" i="12"/>
  <c r="AW51" i="1" s="1"/>
  <c r="Q131" i="12"/>
  <c r="AW115" i="1" s="1"/>
  <c r="Q126" i="12"/>
  <c r="AW111" i="1" s="1"/>
  <c r="M123" i="12"/>
  <c r="Q123" i="12" s="1"/>
  <c r="AW107" i="1" s="1"/>
  <c r="Q116" i="12"/>
  <c r="AW96" i="1" s="1"/>
  <c r="Q84" i="12"/>
  <c r="AW62" i="1" s="1"/>
  <c r="M43" i="12"/>
  <c r="Q43" i="12" s="1"/>
  <c r="AW44" i="1" s="1"/>
  <c r="M19" i="12"/>
  <c r="Q19" i="12" s="1"/>
  <c r="AW12" i="1" s="1"/>
  <c r="M137" i="12"/>
  <c r="Q137" i="12" s="1"/>
  <c r="AW121" i="1" s="1"/>
  <c r="Q134" i="12"/>
  <c r="AW118" i="1" s="1"/>
  <c r="Q156" i="12"/>
  <c r="AW148" i="1" s="1"/>
  <c r="Q130" i="12"/>
  <c r="AW114" i="1" s="1"/>
  <c r="Q141" i="12"/>
  <c r="AW124" i="1" s="1"/>
  <c r="M105" i="12"/>
  <c r="Q105" i="12" s="1"/>
  <c r="AW80" i="1" s="1"/>
  <c r="M129" i="12"/>
  <c r="Q129" i="12" s="1"/>
  <c r="M114" i="12"/>
  <c r="Q114" i="12" s="1"/>
  <c r="AW93" i="1" s="1"/>
  <c r="Q125" i="12"/>
  <c r="AW110" i="1" s="1"/>
  <c r="M167" i="12"/>
  <c r="Q167" i="12" s="1"/>
  <c r="AW144" i="1" s="1"/>
  <c r="Q164" i="12"/>
  <c r="AW142" i="1" s="1"/>
  <c r="Q91" i="12"/>
  <c r="Q81" i="12"/>
  <c r="AW59" i="1" s="1"/>
  <c r="Q71" i="12"/>
  <c r="Q34" i="12"/>
  <c r="AW28" i="1" s="1"/>
  <c r="M29" i="12"/>
  <c r="Q29" i="12" s="1"/>
  <c r="AW21" i="1" s="1"/>
  <c r="M22" i="12"/>
  <c r="Q22" i="12" s="1"/>
  <c r="AW45" i="1" s="1"/>
  <c r="Q98" i="12"/>
  <c r="AW88" i="1" s="1"/>
  <c r="Q80" i="12"/>
  <c r="Q163" i="12"/>
  <c r="AW138" i="1" s="1"/>
  <c r="F147" i="12"/>
  <c r="Q152" i="12"/>
  <c r="M143" i="12"/>
  <c r="Q143" i="12" s="1"/>
  <c r="AW125" i="1" s="1"/>
  <c r="G94" i="12"/>
  <c r="M90" i="12"/>
  <c r="Q90" i="12" s="1"/>
  <c r="AW66" i="1" s="1"/>
  <c r="M36" i="12"/>
  <c r="Q36" i="12" s="1"/>
  <c r="AW34" i="1" s="1"/>
  <c r="C147" i="12"/>
  <c r="M42" i="12"/>
  <c r="Q42" i="12" s="1"/>
  <c r="AW33" i="1" s="1"/>
  <c r="M60" i="12"/>
  <c r="Q60" i="12" s="1"/>
  <c r="AW35" i="1" s="1"/>
  <c r="Q41" i="12"/>
  <c r="AW20" i="1" s="1"/>
  <c r="M25" i="12"/>
  <c r="Q25" i="12" s="1"/>
  <c r="AW49" i="1" s="1"/>
  <c r="Q110" i="12"/>
  <c r="AW87" i="1" s="1"/>
  <c r="M82" i="12"/>
  <c r="M68" i="12"/>
  <c r="Q68" i="12" s="1"/>
  <c r="AW75" i="1" s="1"/>
  <c r="M67" i="12"/>
  <c r="Q67" i="12" s="1"/>
  <c r="AW74" i="1" s="1"/>
  <c r="M26" i="12"/>
  <c r="Q26" i="12" s="1"/>
  <c r="AW50" i="1" s="1"/>
  <c r="Q119" i="12"/>
  <c r="M59" i="12"/>
  <c r="Q59" i="12" s="1"/>
  <c r="AW27" i="1" s="1"/>
  <c r="Q166" i="12"/>
  <c r="AW140" i="1" s="1"/>
  <c r="Q160" i="12"/>
  <c r="AW147" i="1" s="1"/>
  <c r="M155" i="12"/>
  <c r="Q155" i="12" s="1"/>
  <c r="AW145" i="1" s="1"/>
  <c r="Q151" i="12"/>
  <c r="N147" i="12"/>
  <c r="M145" i="12"/>
  <c r="Q145" i="12" s="1"/>
  <c r="AW129" i="1" s="1"/>
  <c r="Q115" i="12"/>
  <c r="AW95" i="1" s="1"/>
  <c r="Q106" i="12"/>
  <c r="AW81" i="1" s="1"/>
  <c r="Q87" i="12"/>
  <c r="AW64" i="1" s="1"/>
  <c r="H63" i="12"/>
  <c r="Q61" i="12"/>
  <c r="Q54" i="12"/>
  <c r="M44" i="12"/>
  <c r="Q44" i="12" s="1"/>
  <c r="AW46" i="1" s="1"/>
  <c r="M38" i="12"/>
  <c r="Q38" i="12" s="1"/>
  <c r="AW42" i="1" s="1"/>
  <c r="Q33" i="12"/>
  <c r="AW26" i="1" s="1"/>
  <c r="M31" i="12"/>
  <c r="Q31" i="12" s="1"/>
  <c r="AW22" i="1" s="1"/>
  <c r="Q171" i="12"/>
  <c r="Q157" i="12"/>
  <c r="AW149" i="1" s="1"/>
  <c r="L147" i="12"/>
  <c r="L94" i="12"/>
  <c r="Q118" i="12"/>
  <c r="F94" i="12"/>
  <c r="Q56" i="12"/>
  <c r="AW25" i="1" s="1"/>
  <c r="Q154" i="12"/>
  <c r="Q150" i="12"/>
  <c r="G147" i="12"/>
  <c r="Q138" i="12"/>
  <c r="AW120" i="1" s="1"/>
  <c r="M124" i="12"/>
  <c r="Q124" i="12" s="1"/>
  <c r="AW109" i="1" s="1"/>
  <c r="C94" i="12"/>
  <c r="Q86" i="12"/>
  <c r="Q83" i="12"/>
  <c r="AW61" i="1" s="1"/>
  <c r="Q75" i="12"/>
  <c r="Q50" i="12"/>
  <c r="AW38" i="1" s="1"/>
  <c r="M21" i="12"/>
  <c r="Q21" i="12" s="1"/>
  <c r="AW40" i="1" s="1"/>
  <c r="M159" i="12"/>
  <c r="Q159" i="12" s="1"/>
  <c r="AW153" i="1" s="1"/>
  <c r="Q135" i="12"/>
  <c r="AW119" i="1" s="1"/>
  <c r="Q132" i="12"/>
  <c r="AW116" i="1" s="1"/>
  <c r="M127" i="12"/>
  <c r="Q127" i="12" s="1"/>
  <c r="AW108" i="1" s="1"/>
  <c r="P122" i="12"/>
  <c r="Q108" i="12"/>
  <c r="AW84" i="1" s="1"/>
  <c r="M101" i="12"/>
  <c r="Q101" i="12" s="1"/>
  <c r="AW97" i="1" s="1"/>
  <c r="M99" i="12"/>
  <c r="Q99" i="12" s="1"/>
  <c r="AW91" i="1" s="1"/>
  <c r="Q89" i="12"/>
  <c r="Q77" i="12"/>
  <c r="M52" i="12"/>
  <c r="Q52" i="12" s="1"/>
  <c r="AW41" i="1" s="1"/>
  <c r="M46" i="12"/>
  <c r="Q46" i="12" s="1"/>
  <c r="AW13" i="1" s="1"/>
  <c r="M30" i="12"/>
  <c r="Q30" i="12" s="1"/>
  <c r="AW19" i="1" s="1"/>
  <c r="Q170" i="12"/>
  <c r="Q153" i="12"/>
  <c r="Q149" i="12"/>
  <c r="M111" i="12"/>
  <c r="Q111" i="12" s="1"/>
  <c r="AW89" i="1" s="1"/>
  <c r="Q103" i="12"/>
  <c r="AW102" i="1" s="1"/>
  <c r="Q92" i="12"/>
  <c r="H73" i="12"/>
  <c r="M37" i="12"/>
  <c r="Q37" i="12" s="1"/>
  <c r="AW37" i="1" s="1"/>
  <c r="M113" i="12"/>
  <c r="Q113" i="12" s="1"/>
  <c r="AW92" i="1" s="1"/>
  <c r="Q85" i="12"/>
  <c r="AW63" i="1" s="1"/>
  <c r="Q79" i="12"/>
  <c r="AW58" i="1" s="1"/>
  <c r="M65" i="12"/>
  <c r="Q65" i="12" s="1"/>
  <c r="AW72" i="1" s="1"/>
  <c r="M49" i="12"/>
  <c r="Q49" i="12" s="1"/>
  <c r="AW36" i="1" s="1"/>
  <c r="M45" i="12"/>
  <c r="Q45" i="12" s="1"/>
  <c r="AW52" i="1" s="1"/>
  <c r="M39" i="12"/>
  <c r="Q39" i="12" s="1"/>
  <c r="AW47" i="1" s="1"/>
  <c r="M24" i="12"/>
  <c r="Q24" i="12" s="1"/>
  <c r="AW48" i="1" s="1"/>
  <c r="AO55" i="1"/>
  <c r="AO117" i="1"/>
  <c r="AO153" i="1"/>
  <c r="AO148" i="1"/>
  <c r="AO145" i="1"/>
  <c r="AO140" i="1"/>
  <c r="AO137" i="1"/>
  <c r="AU12" i="1"/>
  <c r="AO122" i="1"/>
  <c r="AO146" i="1"/>
  <c r="AO138" i="1"/>
  <c r="G17" i="12"/>
  <c r="F17" i="12"/>
  <c r="L17" i="12"/>
  <c r="N18" i="12"/>
  <c r="N17" i="12" s="1"/>
  <c r="C17" i="12"/>
  <c r="H133" i="12"/>
  <c r="M133" i="12" s="1"/>
  <c r="Q133" i="12" s="1"/>
  <c r="AW117" i="1" s="1"/>
  <c r="M95" i="12"/>
  <c r="M53" i="12"/>
  <c r="M148" i="12"/>
  <c r="M74" i="12"/>
  <c r="M64" i="12"/>
  <c r="M162" i="12"/>
  <c r="M27" i="12"/>
  <c r="AO132" i="1"/>
  <c r="AO116" i="1"/>
  <c r="AO129" i="1"/>
  <c r="AO74" i="1"/>
  <c r="AO109" i="1"/>
  <c r="AO23" i="1"/>
  <c r="AO15" i="1"/>
  <c r="AO29" i="1"/>
  <c r="AO13" i="1"/>
  <c r="AO73" i="1"/>
  <c r="AO113" i="1"/>
  <c r="AO110" i="1"/>
  <c r="AO72" i="1"/>
  <c r="AO87" i="1"/>
  <c r="AO108" i="1"/>
  <c r="AO112" i="1"/>
  <c r="AO114" i="1"/>
  <c r="AO43" i="1"/>
  <c r="AO24" i="1"/>
  <c r="AO16" i="1"/>
  <c r="AO102" i="1"/>
  <c r="AO27" i="1"/>
  <c r="AO28" i="1"/>
  <c r="AO99" i="1"/>
  <c r="AO52" i="1"/>
  <c r="AO42" i="1"/>
  <c r="AO22" i="1"/>
  <c r="AO46" i="1"/>
  <c r="AO33" i="1"/>
  <c r="AO115" i="1"/>
  <c r="AO47" i="1"/>
  <c r="AO107" i="1"/>
  <c r="AC148" i="1"/>
  <c r="AI71" i="1"/>
  <c r="AO51" i="1"/>
  <c r="AO75" i="1"/>
  <c r="AO91" i="1"/>
  <c r="AO48" i="1"/>
  <c r="AO19" i="1"/>
  <c r="AO71" i="1"/>
  <c r="AO70" i="1" s="1"/>
  <c r="AO17" i="1"/>
  <c r="AO76" i="1"/>
  <c r="AO20" i="1"/>
  <c r="AO96" i="1"/>
  <c r="AO34" i="1"/>
  <c r="AO41" i="1"/>
  <c r="AO38" i="1"/>
  <c r="AC86" i="1"/>
  <c r="AO49" i="1"/>
  <c r="AO77" i="1"/>
  <c r="AO37" i="1"/>
  <c r="AO26" i="1"/>
  <c r="AO36" i="1"/>
  <c r="AO32" i="1"/>
  <c r="AO14" i="1"/>
  <c r="AC88" i="1"/>
  <c r="AI117" i="1"/>
  <c r="AO40" i="1"/>
  <c r="AO21" i="1"/>
  <c r="AO18" i="1"/>
  <c r="AI129" i="1"/>
  <c r="AO45" i="1"/>
  <c r="AO25" i="1"/>
  <c r="AI97" i="1"/>
  <c r="AI84" i="1"/>
  <c r="AO92" i="1"/>
  <c r="AO83" i="1"/>
  <c r="AO81" i="1"/>
  <c r="AO97" i="1"/>
  <c r="AO88" i="1"/>
  <c r="AO104" i="1"/>
  <c r="AO93" i="1"/>
  <c r="AO90" i="1"/>
  <c r="AO95" i="1"/>
  <c r="AO84" i="1"/>
  <c r="AO98" i="1"/>
  <c r="AO103" i="1"/>
  <c r="AO94" i="1"/>
  <c r="AO101" i="1"/>
  <c r="AO89" i="1"/>
  <c r="AO82" i="1"/>
  <c r="AO86" i="1"/>
  <c r="AO85" i="1"/>
  <c r="AO80" i="1"/>
  <c r="AC82" i="1"/>
  <c r="AI72" i="1"/>
  <c r="AI110" i="1"/>
  <c r="AI144" i="1"/>
  <c r="AC83" i="1"/>
  <c r="AC81" i="1"/>
  <c r="AI77" i="1"/>
  <c r="AI95" i="1"/>
  <c r="AI136" i="1"/>
  <c r="AC94" i="1"/>
  <c r="AI148" i="1"/>
  <c r="AI82" i="1"/>
  <c r="AC103" i="1"/>
  <c r="AC92" i="1"/>
  <c r="AC89" i="1"/>
  <c r="AI115" i="1"/>
  <c r="AC101" i="1"/>
  <c r="AC97" i="1"/>
  <c r="AC95" i="1"/>
  <c r="AI140" i="1"/>
  <c r="AI137" i="1"/>
  <c r="AI135" i="1"/>
  <c r="AC85" i="1"/>
  <c r="AI112" i="1"/>
  <c r="AO12" i="1"/>
  <c r="M108" i="11"/>
  <c r="M40" i="11"/>
  <c r="M105" i="11"/>
  <c r="M101" i="11"/>
  <c r="M97" i="11"/>
  <c r="N84" i="11"/>
  <c r="N80" i="11"/>
  <c r="F16" i="11"/>
  <c r="M59" i="11"/>
  <c r="M111" i="11"/>
  <c r="N83" i="11"/>
  <c r="M76" i="11"/>
  <c r="M62" i="11"/>
  <c r="N36" i="11"/>
  <c r="M22" i="11"/>
  <c r="M31" i="11"/>
  <c r="M72" i="11"/>
  <c r="M66" i="11"/>
  <c r="N113" i="11"/>
  <c r="M103" i="11"/>
  <c r="M99" i="11"/>
  <c r="N90" i="11"/>
  <c r="M80" i="11"/>
  <c r="M20" i="11"/>
  <c r="M104" i="11"/>
  <c r="M29" i="11"/>
  <c r="N87" i="11"/>
  <c r="N48" i="11"/>
  <c r="M34" i="11"/>
  <c r="M89" i="11"/>
  <c r="N20" i="11"/>
  <c r="M86" i="11"/>
  <c r="M70" i="11"/>
  <c r="N63" i="11"/>
  <c r="M57" i="11"/>
  <c r="M47" i="11"/>
  <c r="M41" i="11"/>
  <c r="N60" i="11"/>
  <c r="M60" i="11"/>
  <c r="M90" i="11"/>
  <c r="N77" i="11"/>
  <c r="N38" i="11"/>
  <c r="N93" i="11"/>
  <c r="M63" i="11"/>
  <c r="M50" i="11"/>
  <c r="N28" i="11"/>
  <c r="N82" i="11"/>
  <c r="D16" i="11"/>
  <c r="M87" i="11"/>
  <c r="M46" i="11"/>
  <c r="C16" i="11"/>
  <c r="N34" i="11"/>
  <c r="N89" i="11"/>
  <c r="N62" i="11"/>
  <c r="M48" i="11"/>
  <c r="N40" i="11"/>
  <c r="M38" i="11"/>
  <c r="M35" i="11"/>
  <c r="M113" i="11"/>
  <c r="M83" i="11"/>
  <c r="N31" i="11"/>
  <c r="M28" i="11"/>
  <c r="N86" i="11"/>
  <c r="M82" i="11"/>
  <c r="M18" i="11"/>
  <c r="AC90" i="1"/>
  <c r="AI73" i="1"/>
  <c r="AI76" i="1"/>
  <c r="AI90" i="1"/>
  <c r="AI128" i="1"/>
  <c r="AI138" i="1"/>
  <c r="AI134" i="1"/>
  <c r="AC98" i="1"/>
  <c r="AC143" i="1"/>
  <c r="AI139" i="1"/>
  <c r="AC104" i="1"/>
  <c r="AI107" i="1"/>
  <c r="AI123" i="1"/>
  <c r="AI152" i="1"/>
  <c r="M110" i="11"/>
  <c r="N110" i="11"/>
  <c r="N85" i="11"/>
  <c r="M77" i="11"/>
  <c r="M71" i="11"/>
  <c r="M23" i="11"/>
  <c r="N23" i="11"/>
  <c r="M109" i="11"/>
  <c r="N109" i="11"/>
  <c r="M100" i="11"/>
  <c r="M93" i="11"/>
  <c r="N37" i="11"/>
  <c r="M106" i="11"/>
  <c r="N106" i="11"/>
  <c r="N103" i="11"/>
  <c r="M96" i="11"/>
  <c r="M84" i="11"/>
  <c r="M73" i="11"/>
  <c r="N73" i="11"/>
  <c r="N70" i="11"/>
  <c r="M65" i="11"/>
  <c r="N49" i="11"/>
  <c r="N27" i="11"/>
  <c r="M102" i="11"/>
  <c r="N102" i="11"/>
  <c r="P102" i="11" s="1"/>
  <c r="N99" i="11"/>
  <c r="N81" i="11"/>
  <c r="N57" i="11"/>
  <c r="M36" i="11"/>
  <c r="M98" i="11"/>
  <c r="N98" i="11"/>
  <c r="M67" i="11"/>
  <c r="N67" i="11"/>
  <c r="M56" i="11"/>
  <c r="N56" i="11"/>
  <c r="N33" i="11"/>
  <c r="N78" i="11"/>
  <c r="N108" i="11"/>
  <c r="N105" i="11"/>
  <c r="N101" i="11"/>
  <c r="N97" i="11"/>
  <c r="M85" i="11"/>
  <c r="M81" i="11"/>
  <c r="M78" i="11"/>
  <c r="N72" i="11"/>
  <c r="N66" i="11"/>
  <c r="M49" i="11"/>
  <c r="H42" i="11"/>
  <c r="M37" i="11"/>
  <c r="M33" i="11"/>
  <c r="M27" i="11"/>
  <c r="N22" i="11"/>
  <c r="P22" i="11" s="1"/>
  <c r="N50" i="11"/>
  <c r="N46" i="11"/>
  <c r="N76" i="11"/>
  <c r="AP109" i="1" s="1"/>
  <c r="N47" i="11"/>
  <c r="N41" i="11"/>
  <c r="N35" i="11"/>
  <c r="N29" i="11"/>
  <c r="N18" i="11"/>
  <c r="AP12" i="1" s="1"/>
  <c r="N111" i="11"/>
  <c r="N104" i="11"/>
  <c r="P104" i="11" s="1"/>
  <c r="N100" i="11"/>
  <c r="N96" i="11"/>
  <c r="N71" i="11"/>
  <c r="N65" i="11"/>
  <c r="N59" i="11"/>
  <c r="AI93" i="1"/>
  <c r="AI150" i="1"/>
  <c r="AI143" i="1"/>
  <c r="AI80" i="1"/>
  <c r="AI98" i="1"/>
  <c r="AI88" i="1"/>
  <c r="AI125" i="1"/>
  <c r="AI147" i="1"/>
  <c r="AI151" i="1"/>
  <c r="AI75" i="1"/>
  <c r="AI101" i="1"/>
  <c r="AI86" i="1"/>
  <c r="AI122" i="1"/>
  <c r="AI111" i="1"/>
  <c r="AI146" i="1"/>
  <c r="AI142" i="1"/>
  <c r="AI96" i="1"/>
  <c r="AI87" i="1"/>
  <c r="AI153" i="1"/>
  <c r="AI94" i="1"/>
  <c r="AI85" i="1"/>
  <c r="AI127" i="1"/>
  <c r="AI118" i="1"/>
  <c r="AI114" i="1"/>
  <c r="AI141" i="1"/>
  <c r="AI103" i="1"/>
  <c r="AI92" i="1"/>
  <c r="AI83" i="1"/>
  <c r="AI145" i="1"/>
  <c r="AI89" i="1"/>
  <c r="AI81" i="1"/>
  <c r="AI119" i="1"/>
  <c r="AI108" i="1"/>
  <c r="AI149" i="1"/>
  <c r="AI133" i="1"/>
  <c r="AI74" i="1"/>
  <c r="AI132" i="1"/>
  <c r="M25" i="10"/>
  <c r="M33" i="10"/>
  <c r="M32" i="10"/>
  <c r="N40" i="10"/>
  <c r="P40" i="10" s="1"/>
  <c r="N23" i="10"/>
  <c r="N46" i="10"/>
  <c r="N37" i="10"/>
  <c r="M37" i="10"/>
  <c r="M43" i="10"/>
  <c r="M45" i="10"/>
  <c r="N30" i="10"/>
  <c r="M18" i="10"/>
  <c r="M34" i="10"/>
  <c r="M40" i="10"/>
  <c r="D16" i="10"/>
  <c r="N43" i="10"/>
  <c r="P43" i="10" s="1"/>
  <c r="M46" i="10"/>
  <c r="N25" i="10"/>
  <c r="M19" i="10"/>
  <c r="G16" i="10"/>
  <c r="M36" i="10"/>
  <c r="N28" i="10"/>
  <c r="M23" i="10"/>
  <c r="N18" i="10"/>
  <c r="N45" i="10"/>
  <c r="M38" i="10"/>
  <c r="C16" i="10"/>
  <c r="M42" i="10"/>
  <c r="N34" i="10"/>
  <c r="M22" i="10"/>
  <c r="N19" i="10"/>
  <c r="M41" i="10"/>
  <c r="M30" i="10"/>
  <c r="M44" i="10"/>
  <c r="N33" i="10"/>
  <c r="H24" i="10"/>
  <c r="N36" i="10"/>
  <c r="M28" i="10"/>
  <c r="M21" i="10"/>
  <c r="AC55" i="1"/>
  <c r="AC87" i="1"/>
  <c r="AC93" i="1"/>
  <c r="AC96" i="1"/>
  <c r="AC84" i="1"/>
  <c r="N38" i="10"/>
  <c r="N26" i="10"/>
  <c r="AJ107" i="1" s="1"/>
  <c r="N21" i="10"/>
  <c r="AJ97" i="1" s="1"/>
  <c r="H20" i="10"/>
  <c r="M26" i="10"/>
  <c r="N44" i="10"/>
  <c r="N41" i="10"/>
  <c r="H27" i="10"/>
  <c r="N22" i="10"/>
  <c r="H17" i="10"/>
  <c r="F27" i="10"/>
  <c r="N42" i="10"/>
  <c r="N32" i="10"/>
  <c r="AC80" i="1"/>
  <c r="L49" i="9"/>
  <c r="AE117" i="1" s="1"/>
  <c r="M60" i="9"/>
  <c r="O60" i="9" s="1"/>
  <c r="L40" i="9"/>
  <c r="AC135" i="1"/>
  <c r="L71" i="9"/>
  <c r="AE148" i="1" s="1"/>
  <c r="L29" i="9"/>
  <c r="AE77" i="1" s="1"/>
  <c r="L25" i="9"/>
  <c r="AE72" i="1" s="1"/>
  <c r="AE70" i="1" s="1"/>
  <c r="M52" i="9"/>
  <c r="O52" i="9" s="1"/>
  <c r="L19" i="9"/>
  <c r="AE12" i="1" s="1"/>
  <c r="AE10" i="1" s="1"/>
  <c r="M71" i="9"/>
  <c r="O71" i="9" s="1"/>
  <c r="L52" i="9"/>
  <c r="AE127" i="1" s="1"/>
  <c r="M49" i="9"/>
  <c r="O49" i="9" s="1"/>
  <c r="L26" i="9"/>
  <c r="AE76" i="1" s="1"/>
  <c r="L48" i="9"/>
  <c r="AE112" i="1" s="1"/>
  <c r="AE106" i="1" s="1"/>
  <c r="L60" i="9"/>
  <c r="AE135" i="1" s="1"/>
  <c r="L50" i="9"/>
  <c r="AE125" i="1" s="1"/>
  <c r="L28" i="9"/>
  <c r="AE75" i="1" s="1"/>
  <c r="E16" i="9"/>
  <c r="C16" i="9"/>
  <c r="L72" i="9"/>
  <c r="AE149" i="1" s="1"/>
  <c r="L42" i="9"/>
  <c r="L39" i="9"/>
  <c r="AC73" i="1"/>
  <c r="M70" i="9"/>
  <c r="O70" i="9" s="1"/>
  <c r="AC75" i="1"/>
  <c r="L59" i="9"/>
  <c r="AE133" i="1" s="1"/>
  <c r="G51" i="9"/>
  <c r="L51" i="9" s="1"/>
  <c r="AE123" i="1" s="1"/>
  <c r="L68" i="9"/>
  <c r="AE145" i="1" s="1"/>
  <c r="M27" i="9"/>
  <c r="O27" i="9" s="1"/>
  <c r="L20" i="9"/>
  <c r="AE40" i="1" s="1"/>
  <c r="AC51" i="1"/>
  <c r="AB123" i="1"/>
  <c r="AC123" i="1" s="1"/>
  <c r="M72" i="9"/>
  <c r="O72" i="9" s="1"/>
  <c r="M28" i="9"/>
  <c r="O28" i="9" s="1"/>
  <c r="M19" i="9"/>
  <c r="O19" i="9" s="1"/>
  <c r="AC129" i="1"/>
  <c r="L53" i="9"/>
  <c r="AE129" i="1" s="1"/>
  <c r="M25" i="9"/>
  <c r="O25" i="9" s="1"/>
  <c r="L73" i="9"/>
  <c r="AE150" i="1" s="1"/>
  <c r="K16" i="9"/>
  <c r="F45" i="9"/>
  <c r="F16" i="9" s="1"/>
  <c r="L27" i="9"/>
  <c r="AE74" i="1" s="1"/>
  <c r="AC49" i="1"/>
  <c r="AC45" i="1"/>
  <c r="AC47" i="1"/>
  <c r="AC127" i="1"/>
  <c r="AC125" i="1"/>
  <c r="AC133" i="1"/>
  <c r="AC138" i="1"/>
  <c r="AC134" i="1"/>
  <c r="AC136" i="1"/>
  <c r="AC146" i="1"/>
  <c r="AC145" i="1"/>
  <c r="AC141" i="1"/>
  <c r="AC150" i="1"/>
  <c r="AC152" i="1"/>
  <c r="AC147" i="1"/>
  <c r="B16" i="9"/>
  <c r="L70" i="9"/>
  <c r="AE147" i="1" s="1"/>
  <c r="AE131" i="1" s="1"/>
  <c r="AC151" i="1"/>
  <c r="AC149" i="1"/>
  <c r="AC139" i="1"/>
  <c r="AC153" i="1"/>
  <c r="AC137" i="1"/>
  <c r="AC144" i="1"/>
  <c r="AC142" i="1"/>
  <c r="AC140" i="1"/>
  <c r="AC132" i="1"/>
  <c r="AC76" i="1"/>
  <c r="AC74" i="1"/>
  <c r="AC72" i="1"/>
  <c r="AC48" i="1"/>
  <c r="AC46" i="1"/>
  <c r="AC43" i="1"/>
  <c r="AC52" i="1"/>
  <c r="AC77" i="1"/>
  <c r="AC42" i="1"/>
  <c r="AC115" i="1"/>
  <c r="AC117" i="1"/>
  <c r="AC108" i="1"/>
  <c r="AC128" i="1"/>
  <c r="AC122" i="1"/>
  <c r="AC118" i="1"/>
  <c r="AC114" i="1"/>
  <c r="AC112" i="1"/>
  <c r="AC110" i="1"/>
  <c r="AC119" i="1"/>
  <c r="AC111" i="1"/>
  <c r="AC107" i="1"/>
  <c r="AC71" i="1"/>
  <c r="L41" i="9"/>
  <c r="M41" i="9"/>
  <c r="O41" i="9" s="1"/>
  <c r="AE97" i="1" s="1"/>
  <c r="G76" i="9"/>
  <c r="M68" i="9"/>
  <c r="O68" i="9" s="1"/>
  <c r="M53" i="9"/>
  <c r="O53" i="9" s="1"/>
  <c r="M50" i="9"/>
  <c r="O50" i="9" s="1"/>
  <c r="M26" i="9"/>
  <c r="O26" i="9" s="1"/>
  <c r="M73" i="9"/>
  <c r="O73" i="9" s="1"/>
  <c r="M42" i="9"/>
  <c r="O42" i="9" s="1"/>
  <c r="AE96" i="1" s="1"/>
  <c r="AE79" i="1" s="1"/>
  <c r="M39" i="9"/>
  <c r="O39" i="9" s="1"/>
  <c r="M29" i="9"/>
  <c r="O29" i="9" s="1"/>
  <c r="M59" i="9"/>
  <c r="M48" i="9"/>
  <c r="M20" i="9"/>
  <c r="O20" i="9" s="1"/>
  <c r="P100" i="11" l="1"/>
  <c r="AQ142" i="1" s="1"/>
  <c r="AP142" i="1"/>
  <c r="P27" i="11"/>
  <c r="AQ45" i="1" s="1"/>
  <c r="AP45" i="1"/>
  <c r="P36" i="11"/>
  <c r="AQ46" i="1" s="1"/>
  <c r="AP46" i="1"/>
  <c r="AC131" i="1"/>
  <c r="P46" i="11"/>
  <c r="AQ74" i="1" s="1"/>
  <c r="AP74" i="1"/>
  <c r="P66" i="11"/>
  <c r="AQ97" i="1" s="1"/>
  <c r="AP97" i="1"/>
  <c r="P108" i="11"/>
  <c r="AQ149" i="1" s="1"/>
  <c r="AP149" i="1"/>
  <c r="P49" i="11"/>
  <c r="AQ72" i="1" s="1"/>
  <c r="AP72" i="1"/>
  <c r="P106" i="11"/>
  <c r="AQ147" i="1" s="1"/>
  <c r="AP147" i="1"/>
  <c r="AI106" i="1"/>
  <c r="P31" i="11"/>
  <c r="AQ23" i="1" s="1"/>
  <c r="AP23" i="1"/>
  <c r="P89" i="11"/>
  <c r="AQ123" i="1" s="1"/>
  <c r="AP123" i="1"/>
  <c r="AI70" i="1"/>
  <c r="AU10" i="1"/>
  <c r="AU54" i="1"/>
  <c r="AU131" i="1"/>
  <c r="AN131" i="1"/>
  <c r="BA131" i="1"/>
  <c r="P103" i="11"/>
  <c r="AQ145" i="1" s="1"/>
  <c r="AP145" i="1"/>
  <c r="P50" i="11"/>
  <c r="AQ76" i="1" s="1"/>
  <c r="AP76" i="1"/>
  <c r="P34" i="11"/>
  <c r="AQ34" i="1" s="1"/>
  <c r="AP34" i="1"/>
  <c r="P48" i="11"/>
  <c r="AQ71" i="1" s="1"/>
  <c r="AP71" i="1"/>
  <c r="AP70" i="1" s="1"/>
  <c r="AO131" i="1"/>
  <c r="AU70" i="1"/>
  <c r="P37" i="11"/>
  <c r="AQ36" i="1" s="1"/>
  <c r="AP36" i="1"/>
  <c r="AO106" i="1"/>
  <c r="P98" i="11"/>
  <c r="AQ136" i="1" s="1"/>
  <c r="AP136" i="1"/>
  <c r="P60" i="11"/>
  <c r="AQ88" i="1" s="1"/>
  <c r="AP88" i="1"/>
  <c r="P78" i="11"/>
  <c r="AQ111" i="1" s="1"/>
  <c r="AP111" i="1"/>
  <c r="P70" i="11"/>
  <c r="AQ102" i="1" s="1"/>
  <c r="AP102" i="1"/>
  <c r="P93" i="11"/>
  <c r="AQ129" i="1" s="1"/>
  <c r="AP129" i="1"/>
  <c r="P83" i="11"/>
  <c r="AQ115" i="1" s="1"/>
  <c r="AP115" i="1"/>
  <c r="AC106" i="1"/>
  <c r="P59" i="11"/>
  <c r="AQ87" i="1" s="1"/>
  <c r="AP87" i="1"/>
  <c r="P29" i="11"/>
  <c r="AQ48" i="1" s="1"/>
  <c r="AP48" i="1"/>
  <c r="P56" i="11"/>
  <c r="AQ81" i="1" s="1"/>
  <c r="AP81" i="1"/>
  <c r="P81" i="11"/>
  <c r="AQ113" i="1" s="1"/>
  <c r="AP113" i="1"/>
  <c r="P73" i="11"/>
  <c r="AQ104" i="1" s="1"/>
  <c r="AP104" i="1"/>
  <c r="P85" i="11"/>
  <c r="AQ118" i="1" s="1"/>
  <c r="AP118" i="1"/>
  <c r="P38" i="11"/>
  <c r="AQ38" i="1" s="1"/>
  <c r="AP38" i="1"/>
  <c r="P63" i="11"/>
  <c r="AQ92" i="1" s="1"/>
  <c r="AP92" i="1"/>
  <c r="AW106" i="1"/>
  <c r="AU79" i="1"/>
  <c r="AU106" i="1"/>
  <c r="P28" i="11"/>
  <c r="AQ49" i="1" s="1"/>
  <c r="AP49" i="1"/>
  <c r="AW79" i="1"/>
  <c r="AC70" i="1"/>
  <c r="P87" i="11"/>
  <c r="AQ121" i="1" s="1"/>
  <c r="AP121" i="1"/>
  <c r="P35" i="11"/>
  <c r="AQ20" i="1" s="1"/>
  <c r="AP20" i="1"/>
  <c r="P99" i="11"/>
  <c r="AQ135" i="1" s="1"/>
  <c r="AP135" i="1"/>
  <c r="P77" i="11"/>
  <c r="AQ110" i="1" s="1"/>
  <c r="AP110" i="1"/>
  <c r="AP106" i="1" s="1"/>
  <c r="AS106" i="1"/>
  <c r="P90" i="11"/>
  <c r="AQ124" i="1" s="1"/>
  <c r="AP124" i="1"/>
  <c r="AO10" i="1"/>
  <c r="P33" i="11"/>
  <c r="AQ47" i="1" s="1"/>
  <c r="AP47" i="1"/>
  <c r="P65" i="11"/>
  <c r="AQ95" i="1" s="1"/>
  <c r="AP95" i="1"/>
  <c r="P71" i="11"/>
  <c r="AQ101" i="1" s="1"/>
  <c r="AP101" i="1"/>
  <c r="P41" i="11"/>
  <c r="AQ25" i="1" s="1"/>
  <c r="AP25" i="1"/>
  <c r="P97" i="11"/>
  <c r="AQ133" i="1" s="1"/>
  <c r="AP133" i="1"/>
  <c r="P67" i="11"/>
  <c r="AQ99" i="1" s="1"/>
  <c r="AP99" i="1"/>
  <c r="P109" i="11"/>
  <c r="AQ150" i="1" s="1"/>
  <c r="AP150" i="1"/>
  <c r="P40" i="11"/>
  <c r="AQ41" i="1" s="1"/>
  <c r="AP41" i="1"/>
  <c r="P105" i="11"/>
  <c r="AQ146" i="1" s="1"/>
  <c r="AP146" i="1"/>
  <c r="P23" i="11"/>
  <c r="AQ19" i="1" s="1"/>
  <c r="AP19" i="1"/>
  <c r="P62" i="11"/>
  <c r="AQ91" i="1" s="1"/>
  <c r="AP91" i="1"/>
  <c r="P84" i="11"/>
  <c r="AQ116" i="1" s="1"/>
  <c r="AP116" i="1"/>
  <c r="P111" i="11"/>
  <c r="AQ153" i="1" s="1"/>
  <c r="AP153" i="1"/>
  <c r="P72" i="11"/>
  <c r="AQ103" i="1" s="1"/>
  <c r="AP103" i="1"/>
  <c r="P57" i="11"/>
  <c r="AQ83" i="1" s="1"/>
  <c r="AP83" i="1"/>
  <c r="P113" i="11"/>
  <c r="AQ139" i="1" s="1"/>
  <c r="AP139" i="1"/>
  <c r="AC79" i="1"/>
  <c r="P110" i="11"/>
  <c r="AQ151" i="1" s="1"/>
  <c r="AP151" i="1"/>
  <c r="AI131" i="1"/>
  <c r="P96" i="11"/>
  <c r="AQ134" i="1" s="1"/>
  <c r="AP134" i="1"/>
  <c r="P47" i="11"/>
  <c r="AQ75" i="1" s="1"/>
  <c r="AP75" i="1"/>
  <c r="P101" i="11"/>
  <c r="AQ140" i="1" s="1"/>
  <c r="AP140" i="1"/>
  <c r="P86" i="11"/>
  <c r="AQ120" i="1" s="1"/>
  <c r="AP120" i="1"/>
  <c r="P82" i="11"/>
  <c r="AQ114" i="1" s="1"/>
  <c r="AP114" i="1"/>
  <c r="P20" i="11"/>
  <c r="AP16" i="1"/>
  <c r="AP14" i="1"/>
  <c r="P80" i="11"/>
  <c r="AQ112" i="1" s="1"/>
  <c r="AP112" i="1"/>
  <c r="AO79" i="1"/>
  <c r="P147" i="12"/>
  <c r="P82" i="12"/>
  <c r="P73" i="12" s="1"/>
  <c r="P94" i="12"/>
  <c r="P63" i="12"/>
  <c r="N63" i="12"/>
  <c r="N94" i="12"/>
  <c r="H147" i="12"/>
  <c r="H94" i="12"/>
  <c r="Q95" i="12"/>
  <c r="Q27" i="12"/>
  <c r="M122" i="12"/>
  <c r="Q162" i="12"/>
  <c r="AW137" i="1" s="1"/>
  <c r="AW131" i="1" s="1"/>
  <c r="M63" i="12"/>
  <c r="Q64" i="12"/>
  <c r="AW71" i="1" s="1"/>
  <c r="AW70" i="1" s="1"/>
  <c r="H18" i="12"/>
  <c r="H17" i="12" s="1"/>
  <c r="M73" i="12"/>
  <c r="Q74" i="12"/>
  <c r="Q53" i="12"/>
  <c r="H122" i="12"/>
  <c r="M18" i="12"/>
  <c r="Q148" i="12"/>
  <c r="H16" i="11"/>
  <c r="G16" i="11"/>
  <c r="M42" i="11"/>
  <c r="N42" i="11"/>
  <c r="P18" i="11"/>
  <c r="AQ12" i="1" s="1"/>
  <c r="P76" i="11"/>
  <c r="AQ109" i="1" s="1"/>
  <c r="AQ106" i="1" s="1"/>
  <c r="P37" i="10"/>
  <c r="AK147" i="1" s="1"/>
  <c r="AJ147" i="1"/>
  <c r="P41" i="10"/>
  <c r="AK144" i="1" s="1"/>
  <c r="AJ144" i="1"/>
  <c r="P33" i="10"/>
  <c r="AK150" i="1" s="1"/>
  <c r="AJ150" i="1"/>
  <c r="P46" i="10"/>
  <c r="AK146" i="1" s="1"/>
  <c r="AJ146" i="1"/>
  <c r="P44" i="10"/>
  <c r="AK138" i="1" s="1"/>
  <c r="AJ138" i="1"/>
  <c r="P32" i="10"/>
  <c r="AK148" i="1" s="1"/>
  <c r="AJ148" i="1"/>
  <c r="P45" i="10"/>
  <c r="AK139" i="1" s="1"/>
  <c r="AJ139" i="1"/>
  <c r="P25" i="10"/>
  <c r="AK117" i="1" s="1"/>
  <c r="AJ117" i="1"/>
  <c r="AJ106" i="1" s="1"/>
  <c r="P23" i="10"/>
  <c r="AK94" i="1" s="1"/>
  <c r="AJ94" i="1"/>
  <c r="P42" i="10"/>
  <c r="AK140" i="1" s="1"/>
  <c r="AJ140" i="1"/>
  <c r="P18" i="10"/>
  <c r="AK76" i="1" s="1"/>
  <c r="AJ76" i="1"/>
  <c r="P30" i="10"/>
  <c r="AK133" i="1" s="1"/>
  <c r="AJ133" i="1"/>
  <c r="P19" i="10"/>
  <c r="AK75" i="1" s="1"/>
  <c r="AJ75" i="1"/>
  <c r="P28" i="10"/>
  <c r="AK136" i="1" s="1"/>
  <c r="AJ136" i="1"/>
  <c r="P22" i="10"/>
  <c r="AK85" i="1" s="1"/>
  <c r="AJ85" i="1"/>
  <c r="AJ79" i="1" s="1"/>
  <c r="P38" i="10"/>
  <c r="AK137" i="1" s="1"/>
  <c r="AJ137" i="1"/>
  <c r="P36" i="10"/>
  <c r="AK145" i="1" s="1"/>
  <c r="AJ145" i="1"/>
  <c r="P34" i="10"/>
  <c r="AK141" i="1" s="1"/>
  <c r="AJ141" i="1"/>
  <c r="M24" i="10"/>
  <c r="M17" i="10"/>
  <c r="P17" i="10"/>
  <c r="M27" i="10"/>
  <c r="M20" i="10"/>
  <c r="N17" i="10"/>
  <c r="H16" i="10"/>
  <c r="P21" i="10"/>
  <c r="N20" i="10"/>
  <c r="P26" i="10"/>
  <c r="N24" i="10"/>
  <c r="F16" i="10"/>
  <c r="N27" i="10"/>
  <c r="L76" i="9"/>
  <c r="O45" i="9"/>
  <c r="L45" i="9"/>
  <c r="G45" i="9"/>
  <c r="M51" i="9"/>
  <c r="O51" i="9" s="1"/>
  <c r="G55" i="9"/>
  <c r="G16" i="9" s="1"/>
  <c r="L55" i="9"/>
  <c r="M45" i="9"/>
  <c r="O48" i="9"/>
  <c r="M76" i="9"/>
  <c r="O59" i="9"/>
  <c r="O76" i="9" s="1"/>
  <c r="AJ131" i="1" l="1"/>
  <c r="AQ14" i="1"/>
  <c r="AQ10" i="1" s="1"/>
  <c r="AQ16" i="1"/>
  <c r="AQ70" i="1"/>
  <c r="AJ70" i="1"/>
  <c r="AP131" i="1"/>
  <c r="AP79" i="1"/>
  <c r="AK131" i="1"/>
  <c r="P42" i="11"/>
  <c r="AQ27" i="1" s="1"/>
  <c r="AP27" i="1"/>
  <c r="AP10" i="1" s="1"/>
  <c r="AK70" i="1"/>
  <c r="AQ131" i="1"/>
  <c r="AQ79" i="1"/>
  <c r="AW16" i="1"/>
  <c r="AW14" i="1"/>
  <c r="Q82" i="12"/>
  <c r="AW60" i="1" s="1"/>
  <c r="AW54" i="1" s="1"/>
  <c r="Q63" i="12"/>
  <c r="Q73" i="12"/>
  <c r="M147" i="12"/>
  <c r="Q147" i="12" s="1"/>
  <c r="P18" i="12"/>
  <c r="Q122" i="12"/>
  <c r="P20" i="10"/>
  <c r="AK97" i="1"/>
  <c r="AK79" i="1" s="1"/>
  <c r="P27" i="10"/>
  <c r="P24" i="10"/>
  <c r="AK107" i="1"/>
  <c r="AK106" i="1" s="1"/>
  <c r="M16" i="10"/>
  <c r="N16" i="10"/>
  <c r="L16" i="9"/>
  <c r="O55" i="9"/>
  <c r="O16" i="9" s="1"/>
  <c r="M55" i="9"/>
  <c r="M16" i="9" s="1"/>
  <c r="AW10" i="1" l="1"/>
  <c r="P17" i="12"/>
  <c r="Q18" i="12"/>
  <c r="M94" i="12"/>
  <c r="N16" i="11"/>
  <c r="P16" i="11"/>
  <c r="P16" i="10"/>
  <c r="Q94" i="12" l="1"/>
  <c r="M17" i="12"/>
  <c r="Q17" i="12" l="1"/>
  <c r="T133" i="1" l="1"/>
  <c r="U133" i="1"/>
  <c r="V133" i="1"/>
  <c r="Y133" i="1"/>
  <c r="T134" i="1"/>
  <c r="U134" i="1"/>
  <c r="V134" i="1"/>
  <c r="Y134" i="1"/>
  <c r="T135" i="1"/>
  <c r="U135" i="1"/>
  <c r="V135" i="1"/>
  <c r="Y135" i="1"/>
  <c r="T136" i="1"/>
  <c r="U136" i="1"/>
  <c r="V136" i="1"/>
  <c r="Y136" i="1"/>
  <c r="T137" i="1"/>
  <c r="U137" i="1"/>
  <c r="V137" i="1"/>
  <c r="Y137" i="1"/>
  <c r="T138" i="1"/>
  <c r="U138" i="1"/>
  <c r="V138" i="1"/>
  <c r="Y138" i="1"/>
  <c r="T139" i="1"/>
  <c r="U139" i="1"/>
  <c r="V139" i="1"/>
  <c r="Y139" i="1"/>
  <c r="T140" i="1"/>
  <c r="U140" i="1"/>
  <c r="V140" i="1"/>
  <c r="Y140" i="1"/>
  <c r="T141" i="1"/>
  <c r="U141" i="1"/>
  <c r="V141" i="1"/>
  <c r="Y141" i="1"/>
  <c r="T142" i="1"/>
  <c r="U142" i="1"/>
  <c r="V142" i="1"/>
  <c r="Y142" i="1"/>
  <c r="T143" i="1"/>
  <c r="U143" i="1"/>
  <c r="V143" i="1"/>
  <c r="Y143" i="1"/>
  <c r="T144" i="1"/>
  <c r="U144" i="1"/>
  <c r="V144" i="1"/>
  <c r="Y144" i="1"/>
  <c r="T145" i="1"/>
  <c r="U145" i="1"/>
  <c r="V145" i="1"/>
  <c r="Y145" i="1"/>
  <c r="T146" i="1"/>
  <c r="U146" i="1"/>
  <c r="V146" i="1"/>
  <c r="Y146" i="1"/>
  <c r="T147" i="1"/>
  <c r="U147" i="1"/>
  <c r="V147" i="1"/>
  <c r="Y147" i="1"/>
  <c r="T149" i="1"/>
  <c r="U149" i="1"/>
  <c r="V149" i="1"/>
  <c r="Y149" i="1"/>
  <c r="T150" i="1"/>
  <c r="U150" i="1"/>
  <c r="V150" i="1"/>
  <c r="Y150" i="1"/>
  <c r="T151" i="1"/>
  <c r="U151" i="1"/>
  <c r="V151" i="1"/>
  <c r="Y151" i="1"/>
  <c r="T152" i="1"/>
  <c r="U152" i="1"/>
  <c r="V152" i="1"/>
  <c r="Y152" i="1"/>
  <c r="T153" i="1"/>
  <c r="U153" i="1"/>
  <c r="V153" i="1"/>
  <c r="Y153" i="1"/>
  <c r="Y132" i="1"/>
  <c r="V132" i="1"/>
  <c r="U132" i="1"/>
  <c r="U131" i="1" s="1"/>
  <c r="T132" i="1"/>
  <c r="T131" i="1" s="1"/>
  <c r="M82" i="8"/>
  <c r="M74" i="8"/>
  <c r="Y110" i="1"/>
  <c r="Y111" i="1"/>
  <c r="Y112" i="1"/>
  <c r="Y114" i="1"/>
  <c r="Y118" i="1"/>
  <c r="Y119" i="1"/>
  <c r="Y122" i="1"/>
  <c r="Y128" i="1"/>
  <c r="T108" i="1"/>
  <c r="U108" i="1"/>
  <c r="V108" i="1"/>
  <c r="T110" i="1"/>
  <c r="U110" i="1"/>
  <c r="V110" i="1"/>
  <c r="T111" i="1"/>
  <c r="U111" i="1"/>
  <c r="V111" i="1"/>
  <c r="T112" i="1"/>
  <c r="U112" i="1"/>
  <c r="V112" i="1"/>
  <c r="T114" i="1"/>
  <c r="U114" i="1"/>
  <c r="V114" i="1"/>
  <c r="T115" i="1"/>
  <c r="U115" i="1"/>
  <c r="V115" i="1"/>
  <c r="T117" i="1"/>
  <c r="U117" i="1"/>
  <c r="V117" i="1"/>
  <c r="T118" i="1"/>
  <c r="U118" i="1"/>
  <c r="V118" i="1"/>
  <c r="T119" i="1"/>
  <c r="U119" i="1"/>
  <c r="V119" i="1"/>
  <c r="T122" i="1"/>
  <c r="U122" i="1"/>
  <c r="V122" i="1"/>
  <c r="T123" i="1"/>
  <c r="U123" i="1"/>
  <c r="V123" i="1"/>
  <c r="T128" i="1"/>
  <c r="U128" i="1"/>
  <c r="V128" i="1"/>
  <c r="T129" i="1"/>
  <c r="U129" i="1"/>
  <c r="V129" i="1"/>
  <c r="V107" i="1"/>
  <c r="U107" i="1"/>
  <c r="T107" i="1"/>
  <c r="Y81" i="1"/>
  <c r="Y82" i="1"/>
  <c r="Y83" i="1"/>
  <c r="Y84" i="1"/>
  <c r="Y85" i="1"/>
  <c r="Y86" i="1"/>
  <c r="Y87" i="1"/>
  <c r="Y88" i="1"/>
  <c r="Y89" i="1"/>
  <c r="Y90" i="1"/>
  <c r="Y92" i="1"/>
  <c r="Y93" i="1"/>
  <c r="Y94" i="1"/>
  <c r="Y95" i="1"/>
  <c r="Y96" i="1"/>
  <c r="Y97" i="1"/>
  <c r="Y98" i="1"/>
  <c r="Y101" i="1"/>
  <c r="Y103" i="1"/>
  <c r="Y104" i="1"/>
  <c r="X81" i="1"/>
  <c r="X82" i="1"/>
  <c r="X83" i="1"/>
  <c r="X84" i="1"/>
  <c r="X85" i="1"/>
  <c r="X86" i="1"/>
  <c r="X87" i="1"/>
  <c r="X88" i="1"/>
  <c r="X89" i="1"/>
  <c r="X90" i="1"/>
  <c r="X92" i="1"/>
  <c r="X93" i="1"/>
  <c r="X94" i="1"/>
  <c r="X95" i="1"/>
  <c r="X96" i="1"/>
  <c r="X97" i="1"/>
  <c r="X98" i="1"/>
  <c r="X101" i="1"/>
  <c r="X103" i="1"/>
  <c r="X104" i="1"/>
  <c r="V81" i="1"/>
  <c r="V82" i="1"/>
  <c r="V83" i="1"/>
  <c r="V84" i="1"/>
  <c r="V85" i="1"/>
  <c r="V86" i="1"/>
  <c r="V87" i="1"/>
  <c r="V88" i="1"/>
  <c r="V89" i="1"/>
  <c r="V90" i="1"/>
  <c r="V92" i="1"/>
  <c r="V93" i="1"/>
  <c r="V94" i="1"/>
  <c r="V95" i="1"/>
  <c r="V96" i="1"/>
  <c r="V97" i="1"/>
  <c r="V98" i="1"/>
  <c r="V101" i="1"/>
  <c r="V103" i="1"/>
  <c r="V104" i="1"/>
  <c r="U81" i="1"/>
  <c r="U82" i="1"/>
  <c r="U83" i="1"/>
  <c r="U84" i="1"/>
  <c r="U85" i="1"/>
  <c r="U86" i="1"/>
  <c r="U87" i="1"/>
  <c r="U88" i="1"/>
  <c r="U89" i="1"/>
  <c r="U90" i="1"/>
  <c r="U92" i="1"/>
  <c r="U93" i="1"/>
  <c r="U94" i="1"/>
  <c r="U95" i="1"/>
  <c r="U96" i="1"/>
  <c r="U97" i="1"/>
  <c r="U98" i="1"/>
  <c r="U101" i="1"/>
  <c r="U103" i="1"/>
  <c r="U104" i="1"/>
  <c r="T81" i="1"/>
  <c r="T82" i="1"/>
  <c r="T83" i="1"/>
  <c r="T84" i="1"/>
  <c r="T85" i="1"/>
  <c r="T86" i="1"/>
  <c r="T87" i="1"/>
  <c r="T88" i="1"/>
  <c r="T89" i="1"/>
  <c r="T90" i="1"/>
  <c r="T92" i="1"/>
  <c r="T93" i="1"/>
  <c r="T94" i="1"/>
  <c r="T95" i="1"/>
  <c r="T96" i="1"/>
  <c r="T97" i="1"/>
  <c r="T98" i="1"/>
  <c r="T101" i="1"/>
  <c r="T103" i="1"/>
  <c r="T104" i="1"/>
  <c r="Y80" i="1"/>
  <c r="X80" i="1"/>
  <c r="V80" i="1"/>
  <c r="U80" i="1"/>
  <c r="T80" i="1"/>
  <c r="X72" i="1"/>
  <c r="X77" i="1"/>
  <c r="T72" i="1"/>
  <c r="U72" i="1"/>
  <c r="V72" i="1"/>
  <c r="T74" i="1"/>
  <c r="U74" i="1"/>
  <c r="V74" i="1"/>
  <c r="T75" i="1"/>
  <c r="U75" i="1"/>
  <c r="V75" i="1"/>
  <c r="T76" i="1"/>
  <c r="U76" i="1"/>
  <c r="V76" i="1"/>
  <c r="T77" i="1"/>
  <c r="U77" i="1"/>
  <c r="V77" i="1"/>
  <c r="V71" i="1"/>
  <c r="U71" i="1"/>
  <c r="T71" i="1"/>
  <c r="C19" i="8"/>
  <c r="D19" i="8"/>
  <c r="F19" i="8"/>
  <c r="G19" i="8"/>
  <c r="H20" i="8"/>
  <c r="K20" i="8"/>
  <c r="N20" i="8"/>
  <c r="P20" i="8" s="1"/>
  <c r="Y71" i="1" s="1"/>
  <c r="H21" i="8"/>
  <c r="K21" i="8"/>
  <c r="N21" i="8"/>
  <c r="P21" i="8" s="1"/>
  <c r="Y72" i="1" s="1"/>
  <c r="H22" i="8"/>
  <c r="K22" i="8"/>
  <c r="N22" i="8" s="1"/>
  <c r="H23" i="8"/>
  <c r="K23" i="8"/>
  <c r="N23" i="8" s="1"/>
  <c r="H24" i="8"/>
  <c r="K24" i="8"/>
  <c r="N24" i="8"/>
  <c r="P24" i="8" s="1"/>
  <c r="Y76" i="1" s="1"/>
  <c r="H25" i="8"/>
  <c r="K25" i="8"/>
  <c r="N25" i="8"/>
  <c r="P25" i="8"/>
  <c r="Y77" i="1" s="1"/>
  <c r="C38" i="8"/>
  <c r="F38" i="8"/>
  <c r="G38" i="8"/>
  <c r="O38" i="8"/>
  <c r="H39" i="8"/>
  <c r="J39" i="8"/>
  <c r="K39" i="8" s="1"/>
  <c r="M39" i="8" s="1"/>
  <c r="Q39" i="8"/>
  <c r="H40" i="8"/>
  <c r="K40" i="8"/>
  <c r="N40" i="8" s="1"/>
  <c r="P40" i="8" s="1"/>
  <c r="Q40" i="8"/>
  <c r="H41" i="8"/>
  <c r="K41" i="8"/>
  <c r="N41" i="8" s="1"/>
  <c r="P41" i="8" s="1"/>
  <c r="Q41" i="8"/>
  <c r="D42" i="8"/>
  <c r="D27" i="8" s="1"/>
  <c r="H43" i="8"/>
  <c r="K43" i="8"/>
  <c r="N43" i="8"/>
  <c r="P43" i="8" s="1"/>
  <c r="Q43" i="8"/>
  <c r="H44" i="8"/>
  <c r="K44" i="8"/>
  <c r="N44" i="8"/>
  <c r="P44" i="8" s="1"/>
  <c r="Q44" i="8"/>
  <c r="C45" i="8"/>
  <c r="C42" i="8" s="1"/>
  <c r="C27" i="8" s="1"/>
  <c r="C15" i="8" s="1"/>
  <c r="F45" i="8"/>
  <c r="F42" i="8" s="1"/>
  <c r="F27" i="8" s="1"/>
  <c r="F15" i="8" s="1"/>
  <c r="G45" i="8"/>
  <c r="G42" i="8" s="1"/>
  <c r="O45" i="8"/>
  <c r="O42" i="8" s="1"/>
  <c r="H46" i="8"/>
  <c r="H45" i="8" s="1"/>
  <c r="K46" i="8"/>
  <c r="M46" i="8" s="1"/>
  <c r="Q46" i="8"/>
  <c r="H47" i="8"/>
  <c r="K47" i="8"/>
  <c r="N47" i="8"/>
  <c r="Q47" i="8"/>
  <c r="H48" i="8"/>
  <c r="K48" i="8"/>
  <c r="N48" i="8" s="1"/>
  <c r="P48" i="8" s="1"/>
  <c r="Q48" i="8"/>
  <c r="H49" i="8"/>
  <c r="K49" i="8"/>
  <c r="M49" i="8" s="1"/>
  <c r="Q49" i="8"/>
  <c r="H50" i="8"/>
  <c r="K50" i="8"/>
  <c r="N50" i="8" s="1"/>
  <c r="P50" i="8" s="1"/>
  <c r="Q50" i="8"/>
  <c r="C51" i="8"/>
  <c r="G51" i="8"/>
  <c r="H51" i="8"/>
  <c r="O51" i="8"/>
  <c r="H52" i="8"/>
  <c r="K52" i="8"/>
  <c r="N52" i="8"/>
  <c r="P52" i="8" s="1"/>
  <c r="Q52" i="8"/>
  <c r="H53" i="8"/>
  <c r="K53" i="8"/>
  <c r="N53" i="8" s="1"/>
  <c r="P53" i="8" s="1"/>
  <c r="Q53" i="8"/>
  <c r="H54" i="8"/>
  <c r="J54" i="8"/>
  <c r="K54" i="8"/>
  <c r="N54" i="8" s="1"/>
  <c r="P54" i="8" s="1"/>
  <c r="Q54" i="8"/>
  <c r="H55" i="8"/>
  <c r="K55" i="8"/>
  <c r="N55" i="8"/>
  <c r="P55" i="8" s="1"/>
  <c r="Q55" i="8"/>
  <c r="G56" i="8"/>
  <c r="H57" i="8"/>
  <c r="J57" i="8"/>
  <c r="K57" i="8" s="1"/>
  <c r="M57" i="8" s="1"/>
  <c r="Q57" i="8"/>
  <c r="H58" i="8"/>
  <c r="K58" i="8"/>
  <c r="N58" i="8"/>
  <c r="P58" i="8" s="1"/>
  <c r="Q58" i="8"/>
  <c r="C60" i="8"/>
  <c r="D60" i="8"/>
  <c r="F60" i="8"/>
  <c r="G60" i="8"/>
  <c r="N60" i="8"/>
  <c r="P60" i="8"/>
  <c r="H61" i="8"/>
  <c r="K61" i="8"/>
  <c r="M61" i="8" s="1"/>
  <c r="Y107" i="1" s="1"/>
  <c r="Y106" i="1" s="1"/>
  <c r="Q61" i="8"/>
  <c r="H62" i="8"/>
  <c r="J62" i="8"/>
  <c r="K62" i="8" s="1"/>
  <c r="M62" i="8" s="1"/>
  <c r="Y108" i="1" s="1"/>
  <c r="Q62" i="8"/>
  <c r="H63" i="8"/>
  <c r="K63" i="8"/>
  <c r="M63" i="8"/>
  <c r="Y115" i="1" s="1"/>
  <c r="Q63" i="8"/>
  <c r="H64" i="8"/>
  <c r="K64" i="8"/>
  <c r="M64" i="8" s="1"/>
  <c r="Y117" i="1" s="1"/>
  <c r="Q64" i="8"/>
  <c r="H65" i="8"/>
  <c r="K65" i="8"/>
  <c r="M65" i="8"/>
  <c r="Y123" i="1" s="1"/>
  <c r="Q65" i="8"/>
  <c r="H66" i="8"/>
  <c r="K66" i="8"/>
  <c r="M66" i="8" s="1"/>
  <c r="Q66" i="8"/>
  <c r="H67" i="8"/>
  <c r="K67" i="8"/>
  <c r="M67" i="8"/>
  <c r="Y129" i="1" s="1"/>
  <c r="Q67" i="8"/>
  <c r="C69" i="8"/>
  <c r="D69" i="8"/>
  <c r="F69" i="8"/>
  <c r="G69" i="8"/>
  <c r="N69" i="8"/>
  <c r="P69" i="8"/>
  <c r="H70" i="8"/>
  <c r="K70" i="8"/>
  <c r="M70" i="8" s="1"/>
  <c r="Q70" i="8"/>
  <c r="H71" i="8"/>
  <c r="K71" i="8"/>
  <c r="M71" i="8"/>
  <c r="Q71" i="8"/>
  <c r="P23" i="8" l="1"/>
  <c r="Y75" i="1" s="1"/>
  <c r="X75" i="1"/>
  <c r="P22" i="8"/>
  <c r="Y74" i="1" s="1"/>
  <c r="Y70" i="1" s="1"/>
  <c r="X74" i="1"/>
  <c r="T79" i="1"/>
  <c r="X76" i="1"/>
  <c r="U79" i="1"/>
  <c r="T106" i="1"/>
  <c r="H69" i="8"/>
  <c r="T70" i="1"/>
  <c r="V79" i="1"/>
  <c r="U106" i="1"/>
  <c r="N45" i="8"/>
  <c r="N42" i="8" s="1"/>
  <c r="N27" i="8" s="1"/>
  <c r="D15" i="8"/>
  <c r="U70" i="1"/>
  <c r="V70" i="1"/>
  <c r="Y79" i="1"/>
  <c r="H60" i="8"/>
  <c r="M27" i="8"/>
  <c r="X71" i="1"/>
  <c r="X70" i="1" s="1"/>
  <c r="V131" i="1"/>
  <c r="X79" i="1"/>
  <c r="V106" i="1"/>
  <c r="M69" i="8"/>
  <c r="H56" i="8"/>
  <c r="P47" i="8"/>
  <c r="P45" i="8" s="1"/>
  <c r="P42" i="8" s="1"/>
  <c r="P27" i="8" s="1"/>
  <c r="P15" i="8" s="1"/>
  <c r="G27" i="8"/>
  <c r="G15" i="8" s="1"/>
  <c r="H38" i="8"/>
  <c r="Y131" i="1"/>
  <c r="W140" i="1"/>
  <c r="W137" i="1"/>
  <c r="W135" i="1"/>
  <c r="W133" i="1"/>
  <c r="W145" i="1"/>
  <c r="W143" i="1"/>
  <c r="W149" i="1"/>
  <c r="W146" i="1"/>
  <c r="W144" i="1"/>
  <c r="W142" i="1"/>
  <c r="W138" i="1"/>
  <c r="W152" i="1"/>
  <c r="W150" i="1"/>
  <c r="W134" i="1"/>
  <c r="W147" i="1"/>
  <c r="W136" i="1"/>
  <c r="W153" i="1"/>
  <c r="W151" i="1"/>
  <c r="W141" i="1"/>
  <c r="W139" i="1"/>
  <c r="W132" i="1"/>
  <c r="P19" i="8"/>
  <c r="H19" i="8"/>
  <c r="N19" i="8"/>
  <c r="P38" i="8"/>
  <c r="H42" i="8"/>
  <c r="H27" i="8" s="1"/>
  <c r="M60" i="8"/>
  <c r="P51" i="8"/>
  <c r="N51" i="8"/>
  <c r="N38" i="8"/>
  <c r="W131" i="1" l="1"/>
  <c r="M15" i="8"/>
  <c r="H15" i="8"/>
  <c r="N15" i="8"/>
  <c r="K36" i="1"/>
  <c r="AO130" i="1"/>
  <c r="AO105" i="1"/>
  <c r="AO78" i="1"/>
  <c r="AO69" i="1"/>
  <c r="AO68" i="1"/>
  <c r="AO67" i="1"/>
  <c r="AO66" i="1"/>
  <c r="AO65" i="1"/>
  <c r="AO64" i="1"/>
  <c r="AO63" i="1"/>
  <c r="AO62" i="1"/>
  <c r="AO61" i="1"/>
  <c r="AO60" i="1"/>
  <c r="AO59" i="1"/>
  <c r="AO58" i="1"/>
  <c r="AO57" i="1"/>
  <c r="AO56" i="1"/>
  <c r="AO53" i="1"/>
  <c r="AI130" i="1"/>
  <c r="AI105" i="1"/>
  <c r="AI104" i="1"/>
  <c r="AI79" i="1" s="1"/>
  <c r="AI78" i="1"/>
  <c r="AI69" i="1"/>
  <c r="AI68" i="1"/>
  <c r="AI67" i="1"/>
  <c r="AI66" i="1"/>
  <c r="AI65" i="1"/>
  <c r="AI64" i="1"/>
  <c r="AI63" i="1"/>
  <c r="AI62" i="1"/>
  <c r="AI61" i="1"/>
  <c r="AI60" i="1"/>
  <c r="AI59" i="1"/>
  <c r="AI58" i="1"/>
  <c r="AI57" i="1"/>
  <c r="AI56" i="1"/>
  <c r="AI55" i="1"/>
  <c r="AI53" i="1"/>
  <c r="AI52" i="1"/>
  <c r="AI51" i="1"/>
  <c r="AI49" i="1"/>
  <c r="AI48" i="1"/>
  <c r="AI47" i="1"/>
  <c r="AI46" i="1"/>
  <c r="AI45" i="1"/>
  <c r="AI43" i="1"/>
  <c r="AI42" i="1"/>
  <c r="AI40" i="1"/>
  <c r="AI39" i="1"/>
  <c r="AI38" i="1"/>
  <c r="AI37" i="1"/>
  <c r="AI34" i="1"/>
  <c r="AI33" i="1"/>
  <c r="AI32" i="1"/>
  <c r="AI29" i="1"/>
  <c r="AI28" i="1"/>
  <c r="AI26" i="1"/>
  <c r="AI24" i="1"/>
  <c r="AI23" i="1"/>
  <c r="AI22" i="1"/>
  <c r="AI19" i="1"/>
  <c r="AI18" i="1"/>
  <c r="AI17" i="1"/>
  <c r="AI14" i="1"/>
  <c r="AI13" i="1"/>
  <c r="AC130" i="1"/>
  <c r="AC105" i="1"/>
  <c r="AC78" i="1"/>
  <c r="AC69" i="1"/>
  <c r="AC68" i="1"/>
  <c r="AC67" i="1"/>
  <c r="AC66" i="1"/>
  <c r="AC65" i="1"/>
  <c r="AC64" i="1"/>
  <c r="AC63" i="1"/>
  <c r="AC62" i="1"/>
  <c r="AC61" i="1"/>
  <c r="AC60" i="1"/>
  <c r="AC59" i="1"/>
  <c r="AC58" i="1"/>
  <c r="AC57" i="1"/>
  <c r="AC56" i="1"/>
  <c r="AC53" i="1"/>
  <c r="AC40" i="1"/>
  <c r="AC39" i="1"/>
  <c r="AC38" i="1"/>
  <c r="AC37" i="1"/>
  <c r="AC34" i="1"/>
  <c r="AC33" i="1"/>
  <c r="AC32" i="1"/>
  <c r="AC29" i="1"/>
  <c r="AC28" i="1"/>
  <c r="AC26" i="1"/>
  <c r="AC24" i="1"/>
  <c r="AC23" i="1"/>
  <c r="AC22" i="1"/>
  <c r="AC19" i="1"/>
  <c r="AC18" i="1"/>
  <c r="AC17" i="1"/>
  <c r="AC14" i="1"/>
  <c r="AC13" i="1"/>
  <c r="AC12" i="1"/>
  <c r="W130" i="1"/>
  <c r="W129" i="1"/>
  <c r="W128" i="1"/>
  <c r="W123" i="1"/>
  <c r="W122" i="1"/>
  <c r="W119" i="1"/>
  <c r="W118" i="1"/>
  <c r="W115" i="1"/>
  <c r="W114" i="1"/>
  <c r="W112" i="1"/>
  <c r="W111" i="1"/>
  <c r="W110" i="1"/>
  <c r="W105" i="1"/>
  <c r="W104" i="1"/>
  <c r="W103" i="1"/>
  <c r="W101" i="1"/>
  <c r="W98" i="1"/>
  <c r="W96" i="1"/>
  <c r="W95" i="1"/>
  <c r="W92" i="1"/>
  <c r="W90" i="1"/>
  <c r="W89" i="1"/>
  <c r="W87" i="1"/>
  <c r="W86" i="1"/>
  <c r="W85" i="1"/>
  <c r="W84" i="1"/>
  <c r="W83" i="1"/>
  <c r="W81" i="1"/>
  <c r="W80" i="1"/>
  <c r="W79" i="1" s="1"/>
  <c r="W78" i="1"/>
  <c r="W77" i="1"/>
  <c r="W76" i="1"/>
  <c r="W75" i="1"/>
  <c r="W74" i="1"/>
  <c r="W72" i="1"/>
  <c r="W71" i="1"/>
  <c r="W70" i="1" s="1"/>
  <c r="W69" i="1"/>
  <c r="W68" i="1"/>
  <c r="W67" i="1"/>
  <c r="W66" i="1"/>
  <c r="W65" i="1"/>
  <c r="W64" i="1"/>
  <c r="W63" i="1"/>
  <c r="W62" i="1"/>
  <c r="W61" i="1"/>
  <c r="W60" i="1"/>
  <c r="W59" i="1"/>
  <c r="W58" i="1"/>
  <c r="W57" i="1"/>
  <c r="W56" i="1"/>
  <c r="W55" i="1"/>
  <c r="W53" i="1"/>
  <c r="W52" i="1"/>
  <c r="W51" i="1"/>
  <c r="W49" i="1"/>
  <c r="W48" i="1"/>
  <c r="W47" i="1"/>
  <c r="W46" i="1"/>
  <c r="W45" i="1"/>
  <c r="W43" i="1"/>
  <c r="W42" i="1"/>
  <c r="W40" i="1"/>
  <c r="W39" i="1"/>
  <c r="W38" i="1"/>
  <c r="W37" i="1"/>
  <c r="W34" i="1"/>
  <c r="W33" i="1"/>
  <c r="W32" i="1"/>
  <c r="W29" i="1"/>
  <c r="W28" i="1"/>
  <c r="W26" i="1"/>
  <c r="W24" i="1"/>
  <c r="W23" i="1"/>
  <c r="W22" i="1"/>
  <c r="W19" i="1"/>
  <c r="W18" i="1"/>
  <c r="W17" i="1"/>
  <c r="W14" i="1"/>
  <c r="W13" i="1"/>
  <c r="W12" i="1"/>
  <c r="Q153" i="1"/>
  <c r="Q152" i="1"/>
  <c r="Q150" i="1"/>
  <c r="Q149" i="1"/>
  <c r="Q146" i="1"/>
  <c r="Q144" i="1"/>
  <c r="Q143" i="1"/>
  <c r="Q137" i="1"/>
  <c r="Q136" i="1"/>
  <c r="Q135" i="1"/>
  <c r="Q134" i="1"/>
  <c r="Q132" i="1"/>
  <c r="Q130" i="1"/>
  <c r="Q129" i="1"/>
  <c r="Q128" i="1"/>
  <c r="Q123" i="1"/>
  <c r="Q122" i="1"/>
  <c r="Q119" i="1"/>
  <c r="Q118" i="1"/>
  <c r="Q115" i="1"/>
  <c r="Q114" i="1"/>
  <c r="Q112" i="1"/>
  <c r="Q111" i="1"/>
  <c r="Q110" i="1"/>
  <c r="Q105" i="1"/>
  <c r="Q104" i="1"/>
  <c r="Q103" i="1"/>
  <c r="Q101" i="1"/>
  <c r="Q98" i="1"/>
  <c r="Q96" i="1"/>
  <c r="Q95" i="1"/>
  <c r="S95" i="1" s="1"/>
  <c r="S79" i="1" s="1"/>
  <c r="Q92" i="1"/>
  <c r="Q90" i="1"/>
  <c r="Q89" i="1"/>
  <c r="Q87" i="1"/>
  <c r="Q86" i="1"/>
  <c r="Q85" i="1"/>
  <c r="Q84" i="1"/>
  <c r="Q83" i="1"/>
  <c r="Q81" i="1"/>
  <c r="Q80" i="1"/>
  <c r="Q78" i="1"/>
  <c r="Q77" i="1"/>
  <c r="Q76" i="1"/>
  <c r="Q75" i="1"/>
  <c r="Q74" i="1"/>
  <c r="Q73" i="1"/>
  <c r="Q72" i="1"/>
  <c r="Q71" i="1"/>
  <c r="Q69" i="1"/>
  <c r="Q68" i="1"/>
  <c r="Q67" i="1"/>
  <c r="Q66" i="1"/>
  <c r="Q65" i="1"/>
  <c r="Q64" i="1"/>
  <c r="Q63" i="1"/>
  <c r="Q62" i="1"/>
  <c r="Q61" i="1"/>
  <c r="Q60" i="1"/>
  <c r="Q59" i="1"/>
  <c r="Q58" i="1"/>
  <c r="Q57" i="1"/>
  <c r="Q56" i="1"/>
  <c r="Q55" i="1"/>
  <c r="Q53" i="1"/>
  <c r="Q52" i="1"/>
  <c r="Q51" i="1"/>
  <c r="Q49" i="1"/>
  <c r="Q48" i="1"/>
  <c r="Q47" i="1"/>
  <c r="Q46" i="1"/>
  <c r="Q45" i="1"/>
  <c r="Q43" i="1"/>
  <c r="Q42" i="1"/>
  <c r="Q40" i="1"/>
  <c r="Q39" i="1"/>
  <c r="Q38" i="1"/>
  <c r="Q37" i="1"/>
  <c r="Q34" i="1"/>
  <c r="Q33" i="1"/>
  <c r="Q32" i="1"/>
  <c r="Q29" i="1"/>
  <c r="Q28" i="1"/>
  <c r="Q26" i="1"/>
  <c r="Q24" i="1"/>
  <c r="Q23" i="1"/>
  <c r="Q22" i="1"/>
  <c r="Q19" i="1"/>
  <c r="Q18" i="1"/>
  <c r="Q17" i="1"/>
  <c r="Q14" i="1"/>
  <c r="Q13" i="1"/>
  <c r="Q12" i="1"/>
  <c r="Q10" i="1" s="1"/>
  <c r="K153" i="1"/>
  <c r="K152" i="1"/>
  <c r="K150" i="1"/>
  <c r="K149" i="1"/>
  <c r="K146" i="1"/>
  <c r="K144" i="1"/>
  <c r="K143" i="1"/>
  <c r="K137" i="1"/>
  <c r="K136" i="1"/>
  <c r="K135" i="1"/>
  <c r="K134" i="1"/>
  <c r="K132" i="1"/>
  <c r="K130" i="1"/>
  <c r="K129" i="1"/>
  <c r="K128" i="1"/>
  <c r="K123" i="1"/>
  <c r="K122" i="1"/>
  <c r="K119" i="1"/>
  <c r="K118" i="1"/>
  <c r="K115" i="1"/>
  <c r="K114" i="1"/>
  <c r="K112" i="1"/>
  <c r="K111" i="1"/>
  <c r="K110" i="1"/>
  <c r="K106" i="1" s="1"/>
  <c r="K105" i="1"/>
  <c r="K104" i="1"/>
  <c r="K103" i="1"/>
  <c r="K101" i="1"/>
  <c r="K98" i="1"/>
  <c r="K96" i="1"/>
  <c r="K95" i="1"/>
  <c r="K92" i="1"/>
  <c r="K90" i="1"/>
  <c r="K89" i="1"/>
  <c r="K87" i="1"/>
  <c r="K86" i="1"/>
  <c r="K85" i="1"/>
  <c r="K84" i="1"/>
  <c r="K83" i="1"/>
  <c r="K81" i="1"/>
  <c r="K80" i="1"/>
  <c r="K78" i="1"/>
  <c r="K77" i="1"/>
  <c r="K76" i="1"/>
  <c r="K75" i="1"/>
  <c r="M75" i="1" s="1"/>
  <c r="K74" i="1"/>
  <c r="M74" i="1" s="1"/>
  <c r="M70" i="1" s="1"/>
  <c r="K73" i="1"/>
  <c r="K72" i="1"/>
  <c r="K71" i="1"/>
  <c r="K69" i="1"/>
  <c r="K68" i="1"/>
  <c r="K67" i="1"/>
  <c r="K66" i="1"/>
  <c r="K65" i="1"/>
  <c r="K64" i="1"/>
  <c r="K63" i="1"/>
  <c r="K62" i="1"/>
  <c r="K61" i="1"/>
  <c r="K60" i="1"/>
  <c r="K59" i="1"/>
  <c r="K58" i="1"/>
  <c r="K57" i="1"/>
  <c r="K56" i="1"/>
  <c r="K55" i="1"/>
  <c r="K53" i="1"/>
  <c r="K52" i="1"/>
  <c r="K51" i="1"/>
  <c r="K49" i="1"/>
  <c r="K48" i="1"/>
  <c r="K47" i="1"/>
  <c r="K46" i="1"/>
  <c r="K45" i="1"/>
  <c r="K43" i="1"/>
  <c r="K42" i="1"/>
  <c r="K40" i="1"/>
  <c r="K39" i="1"/>
  <c r="K38" i="1"/>
  <c r="K37" i="1"/>
  <c r="K34" i="1"/>
  <c r="K33" i="1"/>
  <c r="K32" i="1"/>
  <c r="K29" i="1"/>
  <c r="K28" i="1"/>
  <c r="K26" i="1"/>
  <c r="K24" i="1"/>
  <c r="K23" i="1"/>
  <c r="K22" i="1"/>
  <c r="K19" i="1"/>
  <c r="K18" i="1"/>
  <c r="K17" i="1"/>
  <c r="K14" i="1"/>
  <c r="K13" i="1"/>
  <c r="K12" i="1"/>
  <c r="E53" i="1"/>
  <c r="E55" i="1"/>
  <c r="E56" i="1"/>
  <c r="E57" i="1"/>
  <c r="E58" i="1"/>
  <c r="E59" i="1"/>
  <c r="E60" i="1"/>
  <c r="E61" i="1"/>
  <c r="E62" i="1"/>
  <c r="E63" i="1"/>
  <c r="E64" i="1"/>
  <c r="E65" i="1"/>
  <c r="E66" i="1"/>
  <c r="E67" i="1"/>
  <c r="E68" i="1"/>
  <c r="E69" i="1"/>
  <c r="E71" i="1"/>
  <c r="E72" i="1"/>
  <c r="E73" i="1"/>
  <c r="E74" i="1"/>
  <c r="E75" i="1"/>
  <c r="E76" i="1"/>
  <c r="E77" i="1"/>
  <c r="E78" i="1"/>
  <c r="E80" i="1"/>
  <c r="E81" i="1"/>
  <c r="E83" i="1"/>
  <c r="E84" i="1"/>
  <c r="E85" i="1"/>
  <c r="E86" i="1"/>
  <c r="E87" i="1"/>
  <c r="E89" i="1"/>
  <c r="E90" i="1"/>
  <c r="E92" i="1"/>
  <c r="E95" i="1"/>
  <c r="E96" i="1"/>
  <c r="E98" i="1"/>
  <c r="E101" i="1"/>
  <c r="E103" i="1"/>
  <c r="E104" i="1"/>
  <c r="E105" i="1"/>
  <c r="E110" i="1"/>
  <c r="E111" i="1"/>
  <c r="E112" i="1"/>
  <c r="E114" i="1"/>
  <c r="E115" i="1"/>
  <c r="E118" i="1"/>
  <c r="E119" i="1"/>
  <c r="E122" i="1"/>
  <c r="E123" i="1"/>
  <c r="E128" i="1"/>
  <c r="E129" i="1"/>
  <c r="E130" i="1"/>
  <c r="E132" i="1"/>
  <c r="E134" i="1"/>
  <c r="E135" i="1"/>
  <c r="E136" i="1"/>
  <c r="E137" i="1"/>
  <c r="E143" i="1"/>
  <c r="E144" i="1"/>
  <c r="E146" i="1"/>
  <c r="E149" i="1"/>
  <c r="E150" i="1"/>
  <c r="E152" i="1"/>
  <c r="E153" i="1"/>
  <c r="E12" i="1"/>
  <c r="E13" i="1"/>
  <c r="E14" i="1"/>
  <c r="E17" i="1"/>
  <c r="E18" i="1"/>
  <c r="E19" i="1"/>
  <c r="E22" i="1"/>
  <c r="E23" i="1"/>
  <c r="E24" i="1"/>
  <c r="E26" i="1"/>
  <c r="E28" i="1"/>
  <c r="E29" i="1"/>
  <c r="E32" i="1"/>
  <c r="E33" i="1"/>
  <c r="E34" i="1"/>
  <c r="E37" i="1"/>
  <c r="E38" i="1"/>
  <c r="E39" i="1"/>
  <c r="E40" i="1"/>
  <c r="E42" i="1"/>
  <c r="E43" i="1"/>
  <c r="E45" i="1"/>
  <c r="E46" i="1"/>
  <c r="E47" i="1"/>
  <c r="E48" i="1"/>
  <c r="E49" i="1"/>
  <c r="E51" i="1"/>
  <c r="E52" i="1"/>
  <c r="B56" i="1"/>
  <c r="B55" i="1"/>
  <c r="B54" i="1" s="1"/>
  <c r="E79" i="1" l="1"/>
  <c r="E70" i="1"/>
  <c r="W54" i="1"/>
  <c r="AI10" i="1"/>
  <c r="AO54" i="1"/>
  <c r="E106" i="1"/>
  <c r="W106" i="1"/>
  <c r="K10" i="1"/>
  <c r="K54" i="1"/>
  <c r="AC54" i="1"/>
  <c r="K131" i="1"/>
  <c r="Q70" i="1"/>
  <c r="Q79" i="1"/>
  <c r="E10" i="1"/>
  <c r="Q131" i="1"/>
  <c r="E131" i="1"/>
  <c r="Q54" i="1"/>
  <c r="Q106" i="1"/>
  <c r="W10" i="1"/>
  <c r="E54" i="1"/>
  <c r="AC10" i="1"/>
  <c r="AI54" i="1"/>
  <c r="K70" i="1"/>
  <c r="K79" i="1"/>
</calcChain>
</file>

<file path=xl/sharedStrings.xml><?xml version="1.0" encoding="utf-8"?>
<sst xmlns="http://schemas.openxmlformats.org/spreadsheetml/2006/main" count="1345" uniqueCount="339">
  <si>
    <t>San Vicente</t>
  </si>
  <si>
    <t>Bato</t>
  </si>
  <si>
    <t>Mercedes</t>
  </si>
  <si>
    <t>San Jose</t>
  </si>
  <si>
    <t>San Miguel</t>
  </si>
  <si>
    <t>Rice</t>
  </si>
  <si>
    <t>No. of Farmers Affected</t>
  </si>
  <si>
    <t>LEYTE PROVINCE</t>
  </si>
  <si>
    <t>Alang-alang</t>
  </si>
  <si>
    <t>Albuera</t>
  </si>
  <si>
    <t>Barugo</t>
  </si>
  <si>
    <t>Baybay City</t>
  </si>
  <si>
    <t>Burauen</t>
  </si>
  <si>
    <t>Carigara</t>
  </si>
  <si>
    <t>Dagami</t>
  </si>
  <si>
    <t>Dulag</t>
  </si>
  <si>
    <t>Jaro</t>
  </si>
  <si>
    <t>Julita</t>
  </si>
  <si>
    <t>Kananga</t>
  </si>
  <si>
    <t>La Paz</t>
  </si>
  <si>
    <t>Leyte-leyte</t>
  </si>
  <si>
    <t>Mac Arthur</t>
  </si>
  <si>
    <t>Mayorga</t>
  </si>
  <si>
    <t>Merida</t>
  </si>
  <si>
    <t>Ormoc City</t>
  </si>
  <si>
    <t>Palo</t>
  </si>
  <si>
    <t>Pastrana</t>
  </si>
  <si>
    <t>Sta. Fe</t>
  </si>
  <si>
    <t>Tabango</t>
  </si>
  <si>
    <t>Tabon-tabon</t>
  </si>
  <si>
    <t>Tacloban City</t>
  </si>
  <si>
    <t>Tanauan</t>
  </si>
  <si>
    <t>Tunga</t>
  </si>
  <si>
    <t>Villaba</t>
  </si>
  <si>
    <t>SOUTHERN LEYTE</t>
  </si>
  <si>
    <t>Anahawan</t>
  </si>
  <si>
    <t>Bontoc</t>
  </si>
  <si>
    <t>Hinunangan</t>
  </si>
  <si>
    <t>Liloan</t>
  </si>
  <si>
    <t>Maasin City</t>
  </si>
  <si>
    <t>Macrohon</t>
  </si>
  <si>
    <t>Malitbog</t>
  </si>
  <si>
    <t>Padre Burgos</t>
  </si>
  <si>
    <t>Pintuyan</t>
  </si>
  <si>
    <t>San Francisco</t>
  </si>
  <si>
    <t>San Juan</t>
  </si>
  <si>
    <t>Silago</t>
  </si>
  <si>
    <t>Sogod</t>
  </si>
  <si>
    <t>St. Bernard</t>
  </si>
  <si>
    <t>BILIRAN</t>
  </si>
  <si>
    <t>Almeria</t>
  </si>
  <si>
    <t>Biliran</t>
  </si>
  <si>
    <t>Cabucgayan</t>
  </si>
  <si>
    <t>Caibiran</t>
  </si>
  <si>
    <t>Culaba</t>
  </si>
  <si>
    <t>Kawayan</t>
  </si>
  <si>
    <t>Naval</t>
  </si>
  <si>
    <t>SAMAR</t>
  </si>
  <si>
    <t>Basey</t>
  </si>
  <si>
    <t>Calbiga</t>
  </si>
  <si>
    <t>Catbalogan City</t>
  </si>
  <si>
    <t>Daram</t>
  </si>
  <si>
    <t>Gandara</t>
  </si>
  <si>
    <t>Hinabangan</t>
  </si>
  <si>
    <t>Jiabong</t>
  </si>
  <si>
    <t>Marabut</t>
  </si>
  <si>
    <t>Motiong</t>
  </si>
  <si>
    <t>Paranas</t>
  </si>
  <si>
    <t>San Jose de Buan</t>
  </si>
  <si>
    <t>San Sebastian</t>
  </si>
  <si>
    <t>Sta. Rita</t>
  </si>
  <si>
    <t>Tarangnan</t>
  </si>
  <si>
    <t>Villareal</t>
  </si>
  <si>
    <t>Zumarraga</t>
  </si>
  <si>
    <t>EASTERN SAMAR</t>
  </si>
  <si>
    <t>Balangkayan</t>
  </si>
  <si>
    <t>Borongan</t>
  </si>
  <si>
    <t>Dolores</t>
  </si>
  <si>
    <t>Giporlos</t>
  </si>
  <si>
    <t>Guiuan</t>
  </si>
  <si>
    <t>Lawaan</t>
  </si>
  <si>
    <t>Llorente</t>
  </si>
  <si>
    <t>Maslog</t>
  </si>
  <si>
    <t>Oras</t>
  </si>
  <si>
    <t>Quinapondan</t>
  </si>
  <si>
    <t>Taft</t>
  </si>
  <si>
    <t>NORTHERN SAMAR</t>
  </si>
  <si>
    <t>Allen</t>
  </si>
  <si>
    <t>Biri</t>
  </si>
  <si>
    <t>Capul</t>
  </si>
  <si>
    <t>Catarman</t>
  </si>
  <si>
    <t>Catubig</t>
  </si>
  <si>
    <t>Lope de Vega</t>
  </si>
  <si>
    <t>Mapanas</t>
  </si>
  <si>
    <t>Pambujan</t>
  </si>
  <si>
    <t>San Isidro</t>
  </si>
  <si>
    <t>Silvino Lobos</t>
  </si>
  <si>
    <t>Victoria</t>
  </si>
  <si>
    <t>Production Loss (M.T.)</t>
  </si>
  <si>
    <t>Cost of Prod'n. Loss (P)</t>
  </si>
  <si>
    <t>Area w/ No Chance of Recovery (ha)</t>
  </si>
  <si>
    <t>Area w/ Chance of Recovery (HA)</t>
  </si>
  <si>
    <t>Total Area Affected (has.)</t>
  </si>
  <si>
    <t>TYPHOON QUINTA</t>
  </si>
  <si>
    <t>SUPER TYPHOON YOLANDA</t>
  </si>
  <si>
    <t>Matag-ob</t>
  </si>
  <si>
    <t>Laoang</t>
  </si>
  <si>
    <t>Calbayog</t>
  </si>
  <si>
    <t>AMBO</t>
  </si>
  <si>
    <t>Can-avid</t>
  </si>
  <si>
    <t>Jipapad</t>
  </si>
  <si>
    <t>Arteche</t>
  </si>
  <si>
    <t>Mondragon</t>
  </si>
  <si>
    <t>TYPHOON TISOY</t>
  </si>
  <si>
    <t>Ripening/Maturity</t>
  </si>
  <si>
    <t>Seedling/Sowing</t>
  </si>
  <si>
    <t>San Roque</t>
  </si>
  <si>
    <t>Rosario</t>
  </si>
  <si>
    <t>Lavezares</t>
  </si>
  <si>
    <t>Las Navas</t>
  </si>
  <si>
    <t>Lapinig</t>
  </si>
  <si>
    <t>Gamay</t>
  </si>
  <si>
    <t>Northern Samar</t>
  </si>
  <si>
    <t>Sulat</t>
  </si>
  <si>
    <t>Seedling stage</t>
  </si>
  <si>
    <t>seedling stage</t>
  </si>
  <si>
    <t>Seedling Stage</t>
  </si>
  <si>
    <t>vegetative</t>
  </si>
  <si>
    <t>Eastern Samar</t>
  </si>
  <si>
    <t>Reproductive</t>
  </si>
  <si>
    <t>Seedling</t>
  </si>
  <si>
    <t>Catbalogan</t>
  </si>
  <si>
    <t>Maturity</t>
  </si>
  <si>
    <t>Pinabacdao</t>
  </si>
  <si>
    <t>San Jorge</t>
  </si>
  <si>
    <t>Matuguinao</t>
  </si>
  <si>
    <t>Sta. Margarita</t>
  </si>
  <si>
    <t>Newly sown/Seedling</t>
  </si>
  <si>
    <t>Western Samar</t>
  </si>
  <si>
    <t>Maturing</t>
  </si>
  <si>
    <t>Harvesting</t>
  </si>
  <si>
    <t>Leyte</t>
  </si>
  <si>
    <t>REGION 8</t>
  </si>
  <si>
    <t>(R)</t>
  </si>
  <si>
    <t xml:space="preserve">(M) + (P) </t>
  </si>
  <si>
    <t>(P)</t>
  </si>
  <si>
    <t>(O)</t>
  </si>
  <si>
    <t>(N)</t>
  </si>
  <si>
    <t>(M)</t>
  </si>
  <si>
    <t>(L)</t>
  </si>
  <si>
    <t>(K)</t>
  </si>
  <si>
    <t>(J)</t>
  </si>
  <si>
    <t>(I)</t>
  </si>
  <si>
    <t>(H)</t>
  </si>
  <si>
    <t>(G)</t>
  </si>
  <si>
    <t>(F)</t>
  </si>
  <si>
    <t>(E)</t>
  </si>
  <si>
    <t>(C)</t>
  </si>
  <si>
    <t>(A)</t>
  </si>
  <si>
    <t>Total Value
(P)</t>
  </si>
  <si>
    <t>Price/kg
(P)</t>
  </si>
  <si>
    <t>Volume
(mt)</t>
  </si>
  <si>
    <t>Value
 (P)</t>
  </si>
  <si>
    <t>Cost of Prod'nt/Ha.
(P)**</t>
  </si>
  <si>
    <t>After
Calamity</t>
  </si>
  <si>
    <t>Before
Calamity</t>
  </si>
  <si>
    <t>TOTAL</t>
  </si>
  <si>
    <t>Partially Damaged</t>
  </si>
  <si>
    <t>Totally Damaged</t>
  </si>
  <si>
    <t xml:space="preserve">Based on Farm Gate </t>
  </si>
  <si>
    <t>Based on Cost of Prod'n.</t>
  </si>
  <si>
    <t>REMARKS / ANALYSIS</t>
  </si>
  <si>
    <t>TOTAL LOSSES</t>
  </si>
  <si>
    <t>YIELD
LOSS
(%)</t>
  </si>
  <si>
    <t>YIELD PER HECTARE (MT)</t>
  </si>
  <si>
    <t>AREA AFFECTED 
(HA)</t>
  </si>
  <si>
    <t>STAGE OF CROP DEVELOPMENT</t>
  </si>
  <si>
    <t>AREA OF
STANDING CROPS
(ha)</t>
  </si>
  <si>
    <t>NUMBER OF
FARMERS
AFFECTED</t>
  </si>
  <si>
    <t>ECOSYSTEM/
VARIETY</t>
  </si>
  <si>
    <t>PROVINCE/
MUNICIPALITY</t>
  </si>
  <si>
    <t>RICE</t>
  </si>
  <si>
    <t>Regional</t>
  </si>
  <si>
    <t>Final</t>
  </si>
  <si>
    <t>Provincial</t>
  </si>
  <si>
    <t>Progress</t>
  </si>
  <si>
    <t>Municipal</t>
  </si>
  <si>
    <t>Initial</t>
  </si>
  <si>
    <t>2. Level</t>
  </si>
  <si>
    <t>1. Type</t>
  </si>
  <si>
    <t>B. Type and Level of Report: (Pls. Check)</t>
  </si>
  <si>
    <t>A. Geographic Information: 
REGION 8</t>
  </si>
  <si>
    <t>Date of Occurrence : December 1-2, 2019</t>
  </si>
  <si>
    <t>Cause of Damage : Heavy Rainfall and Flooding caused by Typhoon Tisoy</t>
  </si>
  <si>
    <t>FINAL DAMAGE ASSESSMENT REPORT for RICE*</t>
  </si>
  <si>
    <t>Bobon</t>
  </si>
  <si>
    <t>Regional Executive Director</t>
  </si>
  <si>
    <t>ARD for Operations and Extension</t>
  </si>
  <si>
    <t>BERNADETTE F. SAN JUAN, CESO IV</t>
  </si>
  <si>
    <t>WILSON A. CERBITO, DVM, CESE</t>
  </si>
  <si>
    <t>DA RFO 8 COMMAND CENTER</t>
  </si>
  <si>
    <t>Noted by:</t>
  </si>
  <si>
    <t>Prepared by:</t>
  </si>
  <si>
    <t>Weeding = P5,000</t>
  </si>
  <si>
    <t>Pest Control = P1,949</t>
  </si>
  <si>
    <t>Labor = P1,500</t>
  </si>
  <si>
    <t>Fertilizer = P1,850</t>
  </si>
  <si>
    <t>*For reproductive stage, the following costs were added:</t>
  </si>
  <si>
    <t>Labor = @ 250/2pax @ 3-days</t>
  </si>
  <si>
    <t>Fertilizer  (UREA P1350/bag, Complete P1,200/bag = P8,550</t>
  </si>
  <si>
    <t>Weeding  @ 5pax @ 200 @ 4 man-days</t>
  </si>
  <si>
    <t>Replanting  @ 2pax @ 150</t>
  </si>
  <si>
    <t>Transplanting  @ 15 person @ 250</t>
  </si>
  <si>
    <t xml:space="preserve">Levelling @ 350/man-day </t>
  </si>
  <si>
    <t>Land Preperation = P4,570</t>
  </si>
  <si>
    <t>*For vegetative stage, the following costs were added:</t>
  </si>
  <si>
    <t>Seeds=P1,280</t>
  </si>
  <si>
    <t>Maintenance (@1 pax for 18 days) = P2,700</t>
  </si>
  <si>
    <t>Pest Control = P3,490</t>
  </si>
  <si>
    <t>Fertilizer = P40</t>
  </si>
  <si>
    <t>Pulling of seedlings(5 pax/ha@P350) = P350</t>
  </si>
  <si>
    <t>Seed bed prep/sowing = P350/man-day</t>
  </si>
  <si>
    <t>*For seedling stage, the following items with corresponding costs were considered:</t>
  </si>
  <si>
    <t>*In arriving at the production cost, the prevailing prices of goods and services in the region were considered</t>
  </si>
  <si>
    <t>* for further validation</t>
  </si>
  <si>
    <t>Sub-total</t>
  </si>
  <si>
    <t>Vegetative</t>
  </si>
  <si>
    <t>San Antonio</t>
  </si>
  <si>
    <t>Lao-ang</t>
  </si>
  <si>
    <t>San Policarpo</t>
  </si>
  <si>
    <t>Pagsanghan</t>
  </si>
  <si>
    <t>Babatgon</t>
  </si>
  <si>
    <t>seedling</t>
  </si>
  <si>
    <t>District I</t>
  </si>
  <si>
    <t>LEYTE</t>
  </si>
  <si>
    <t>17.00</t>
  </si>
  <si>
    <t>(Q)</t>
  </si>
  <si>
    <t>(D)</t>
  </si>
  <si>
    <t>Based on Farmgate Price</t>
  </si>
  <si>
    <t>A. Geographic Information: REGION 8</t>
  </si>
  <si>
    <t>Report as of: 5:00 pm, July 22, 2014</t>
  </si>
  <si>
    <t>Date of Occurrence :  July 15 to 16, 2014</t>
  </si>
  <si>
    <r>
      <t>Cause of Damage :</t>
    </r>
    <r>
      <rPr>
        <b/>
        <u/>
        <sz val="12"/>
        <rFont val="Arial"/>
        <family val="2"/>
      </rPr>
      <t xml:space="preserve"> Typhoon 'GLENDA</t>
    </r>
    <r>
      <rPr>
        <b/>
        <i/>
        <u/>
        <sz val="12"/>
        <rFont val="Arial"/>
        <family val="2"/>
      </rPr>
      <t>'</t>
    </r>
  </si>
  <si>
    <t>DAMAGE ASSESSMENT REPORT for RICE *</t>
  </si>
  <si>
    <t>Typhoon Glenda</t>
  </si>
  <si>
    <t>Typhoon Nona</t>
  </si>
  <si>
    <t>LEO P. CAÑEDA, CESO III</t>
  </si>
  <si>
    <t>DA-RFO 8 Command Center</t>
  </si>
  <si>
    <t>Noted by :</t>
  </si>
  <si>
    <t>Palapag</t>
  </si>
  <si>
    <t>Flowering Stage</t>
  </si>
  <si>
    <t>Samar</t>
  </si>
  <si>
    <t>(B)</t>
  </si>
  <si>
    <t>Report as of: December 28, 2015</t>
  </si>
  <si>
    <t>Date of Occurrence :  December 14, 2015</t>
  </si>
  <si>
    <r>
      <t>Cause of Damage :</t>
    </r>
    <r>
      <rPr>
        <b/>
        <u/>
        <sz val="12"/>
        <color indexed="8"/>
        <rFont val="Arial"/>
        <family val="2"/>
      </rPr>
      <t xml:space="preserve"> Typhoon 'NONA</t>
    </r>
    <r>
      <rPr>
        <b/>
        <i/>
        <u/>
        <sz val="12"/>
        <color indexed="8"/>
        <rFont val="Arial"/>
        <family val="2"/>
      </rPr>
      <t>'</t>
    </r>
  </si>
  <si>
    <t xml:space="preserve">PARTIAL DAMAGE ASSESSMENT REPORT for RICE </t>
  </si>
  <si>
    <t>Lvezares</t>
  </si>
  <si>
    <t>N. Samar</t>
  </si>
  <si>
    <t>San Julian</t>
  </si>
  <si>
    <t>Salcedo</t>
  </si>
  <si>
    <t>Maydolong</t>
  </si>
  <si>
    <t>Hernani</t>
  </si>
  <si>
    <t>Gen. MacArthur</t>
  </si>
  <si>
    <t>Balangiga</t>
  </si>
  <si>
    <t>E. Samar</t>
  </si>
  <si>
    <t>Tagapul-an</t>
  </si>
  <si>
    <r>
      <t>Sto. Ni</t>
    </r>
    <r>
      <rPr>
        <sz val="12"/>
        <rFont val="Calibri"/>
        <family val="2"/>
      </rPr>
      <t>ño</t>
    </r>
  </si>
  <si>
    <t>Javier</t>
  </si>
  <si>
    <t>Inopacan</t>
  </si>
  <si>
    <t>Palompon</t>
  </si>
  <si>
    <t>Calubian</t>
  </si>
  <si>
    <t>Capoocan</t>
  </si>
  <si>
    <t>Babatngon</t>
  </si>
  <si>
    <t>Report as of: December 11, 2014</t>
  </si>
  <si>
    <t>Date of Occurrence :  December 6-7, 2014</t>
  </si>
  <si>
    <r>
      <t>Cause of Damage :</t>
    </r>
    <r>
      <rPr>
        <b/>
        <u/>
        <sz val="12"/>
        <rFont val="Arial"/>
        <family val="2"/>
      </rPr>
      <t xml:space="preserve"> Typhoon 'RUBY</t>
    </r>
    <r>
      <rPr>
        <b/>
        <i/>
        <u/>
        <sz val="12"/>
        <rFont val="Arial"/>
        <family val="2"/>
      </rPr>
      <t>'</t>
    </r>
  </si>
  <si>
    <t xml:space="preserve">FINAL DAMAGE ASSESSMENT REPORT for RICE </t>
  </si>
  <si>
    <t>barugo</t>
  </si>
  <si>
    <t>Copocan</t>
  </si>
  <si>
    <t>Typhoon Ruby</t>
  </si>
  <si>
    <t>Sto. Niño</t>
  </si>
  <si>
    <t>Typhoon Urduja</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</si>
  <si>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</si>
  <si>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San Roqu</t>
  </si>
  <si>
    <t>seedlling</t>
  </si>
  <si>
    <t>General Macarthur</t>
  </si>
  <si>
    <t>Talalora</t>
  </si>
  <si>
    <t>seedlings</t>
  </si>
  <si>
    <t>maturity</t>
  </si>
  <si>
    <t>Almagro</t>
  </si>
  <si>
    <t>Tomas Oppus</t>
  </si>
  <si>
    <t>San Ricardo</t>
  </si>
  <si>
    <t>San Juan (Cabalian)</t>
  </si>
  <si>
    <t>Saint Bernard</t>
  </si>
  <si>
    <t>Limasawa</t>
  </si>
  <si>
    <t>Libagon</t>
  </si>
  <si>
    <t>Hinundayan</t>
  </si>
  <si>
    <t>Maripipi</t>
  </si>
  <si>
    <t>At least 15 percent of total affacted area is reportedly covered with mud, silt, and boulders.</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</si>
  <si>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</si>
  <si>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 xml:space="preserve">Around 30 hectares are covered with mud an silt. As such, desilting, removal of boulders and logs and, reconstruction of dikes are among the actions to be taken. </t>
  </si>
  <si>
    <t>Matalom</t>
  </si>
  <si>
    <t>Mahaplag</t>
  </si>
  <si>
    <t>Hindang</t>
  </si>
  <si>
    <t>Hilongos</t>
  </si>
  <si>
    <t>Abuyog</t>
  </si>
  <si>
    <t>Isabel</t>
  </si>
  <si>
    <t>Tolosa</t>
  </si>
  <si>
    <t>TOTAL VALUE (P)</t>
  </si>
  <si>
    <t xml:space="preserve">            Final</t>
  </si>
  <si>
    <t xml:space="preserve">           Progress</t>
  </si>
  <si>
    <t>Report as of: December 26, 2017</t>
  </si>
  <si>
    <t>Date of Occurrence : December 14-16, 2017</t>
  </si>
  <si>
    <r>
      <t>Cause of Damage : Heavy</t>
    </r>
    <r>
      <rPr>
        <b/>
        <u/>
        <sz val="12"/>
        <rFont val="Arial"/>
        <family val="2"/>
      </rPr>
      <t xml:space="preserve"> Rains/Flooding due to Typhoon Urduja</t>
    </r>
  </si>
  <si>
    <t>DAMAGE ASSESSMENT REPORT for RICE*</t>
  </si>
  <si>
    <t>1</t>
  </si>
  <si>
    <t>2</t>
  </si>
  <si>
    <t>3</t>
  </si>
  <si>
    <t>4</t>
  </si>
  <si>
    <t>5</t>
  </si>
  <si>
    <t>6</t>
  </si>
  <si>
    <t>7</t>
  </si>
  <si>
    <t>8</t>
  </si>
  <si>
    <t>9</t>
  </si>
  <si>
    <t>10</t>
  </si>
  <si>
    <t>11</t>
  </si>
  <si>
    <t>12</t>
  </si>
  <si>
    <t>13</t>
  </si>
  <si>
    <t>14</t>
  </si>
  <si>
    <t>15</t>
  </si>
  <si>
    <t>16</t>
  </si>
  <si>
    <t>17</t>
  </si>
  <si>
    <t>Typhoon Ursula</t>
  </si>
  <si>
    <t>validated</t>
  </si>
  <si>
    <t>Date of Occurrence: December 24-25, 2019</t>
  </si>
  <si>
    <t>Cause of Damage: Heavy Rainfall and Flooding caused by Typhoon Ursula</t>
  </si>
  <si>
    <t>18</t>
  </si>
  <si>
    <t>Gen. Macarthur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</si>
</sst>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58"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b/>
      <sz val="11"/>
      <name val="Arial Narrow"/>
      <family val="2"/>
    </font>
    <font>
      <sz val="11"/>
      <name val="Arial Narrow"/>
      <family val="2"/>
    </font>
    <font>
      <i/>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sz val="11"/>
      <color rgb="FF000000"/>
      <name val="Calibri"/>
      <family val="2"/>
      <scheme val="minor"/>
    </font>
    <font>
      <b/>
      <sz val="13"/>
      <name val="Arial"/>
      <family val="2"/>
    </font>
    <font>
      <sz val="13"/>
      <name val="Arial"/>
      <family val="2"/>
    </font>
    <font>
      <sz val="8"/>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auto="1"/>
      </bottom>
      <diagonal/>
    </border>
  </borders>
  <cellStyleXfs count="12">
    <xf numFmtId="0" fontId="0" fillId="0" borderId="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3"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9" fontId="4" fillId="0" borderId="0" applyFont="0" applyFill="0" applyBorder="0" applyAlignment="0" applyProtection="0"/>
    <xf numFmtId="0" fontId="3" fillId="0" borderId="0"/>
  </cellStyleXfs>
  <cellXfs count="835">
    <xf numFmtId="0" fontId="0" fillId="0" borderId="0" xfId="0"/>
    <xf numFmtId="0" fontId="0" fillId="0" borderId="0" xfId="0" applyAlignment="1">
      <alignment horizontal="left"/>
    </xf>
    <xf numFmtId="0" fontId="0" fillId="0" borderId="0" xfId="0" applyAlignment="1">
      <alignment wrapText="1"/>
    </xf>
    <xf numFmtId="164" fontId="9" fillId="0" borderId="0" xfId="8" applyFont="1" applyBorder="1" applyAlignment="1">
      <alignment horizontal="center" vertical="center"/>
    </xf>
    <xf numFmtId="164" fontId="9" fillId="0" borderId="0" xfId="8" applyFont="1" applyBorder="1"/>
    <xf numFmtId="164" fontId="4" fillId="0" borderId="0" xfId="8" applyFont="1" applyBorder="1" applyAlignment="1">
      <alignment horizontal="left"/>
    </xf>
    <xf numFmtId="164" fontId="10" fillId="0" borderId="0" xfId="8" applyFont="1" applyBorder="1"/>
    <xf numFmtId="164" fontId="10" fillId="0" borderId="13" xfId="8" applyFont="1" applyBorder="1" applyAlignment="1">
      <alignment horizontal="center" vertical="center"/>
    </xf>
    <xf numFmtId="164" fontId="4" fillId="0" borderId="14" xfId="8" applyFont="1" applyBorder="1" applyAlignment="1">
      <alignment horizontal="left"/>
    </xf>
    <xf numFmtId="164" fontId="9" fillId="0" borderId="13" xfId="8" applyFont="1" applyBorder="1" applyAlignment="1">
      <alignment horizontal="center" vertical="center"/>
    </xf>
    <xf numFmtId="164" fontId="11" fillId="3" borderId="1" xfId="8" applyFont="1" applyFill="1" applyBorder="1" applyAlignment="1">
      <alignment vertical="center"/>
    </xf>
    <xf numFmtId="165" fontId="11" fillId="0" borderId="1" xfId="8" applyNumberFormat="1" applyFont="1" applyFill="1" applyBorder="1" applyAlignment="1">
      <alignment horizontal="center" vertical="center" wrapText="1"/>
    </xf>
    <xf numFmtId="3" fontId="14" fillId="3" borderId="1" xfId="11" applyNumberFormat="1" applyFont="1" applyFill="1" applyBorder="1" applyAlignment="1" applyProtection="1">
      <alignment horizontal="center" vertical="center" wrapText="1"/>
      <protection locked="0"/>
    </xf>
    <xf numFmtId="49" fontId="11" fillId="0" borderId="1" xfId="11" applyNumberFormat="1" applyFont="1" applyBorder="1" applyAlignment="1">
      <alignment horizontal="left" vertical="center" wrapText="1"/>
    </xf>
    <xf numFmtId="164" fontId="11" fillId="3" borderId="1" xfId="8" applyFont="1" applyFill="1" applyBorder="1" applyAlignment="1">
      <alignment horizontal="center" vertical="center" wrapText="1"/>
    </xf>
    <xf numFmtId="0" fontId="15" fillId="0" borderId="0" xfId="11" applyFont="1" applyAlignment="1">
      <alignment vertical="center"/>
    </xf>
    <xf numFmtId="0" fontId="15" fillId="0" borderId="0" xfId="11" applyFont="1" applyAlignment="1">
      <alignment horizontal="left" vertical="center"/>
    </xf>
    <xf numFmtId="164" fontId="15" fillId="0" borderId="0" xfId="8" applyFont="1" applyAlignment="1">
      <alignment vertical="center"/>
    </xf>
    <xf numFmtId="166" fontId="15" fillId="0" borderId="0" xfId="1" applyNumberFormat="1" applyFont="1" applyAlignment="1">
      <alignment horizontal="center" vertical="center"/>
    </xf>
    <xf numFmtId="164" fontId="15" fillId="0" borderId="0" xfId="8" applyFont="1" applyAlignment="1">
      <alignment horizontal="center" vertical="center"/>
    </xf>
    <xf numFmtId="166" fontId="15" fillId="0" borderId="0" xfId="1" applyNumberFormat="1" applyFont="1" applyAlignment="1">
      <alignment vertical="center"/>
    </xf>
    <xf numFmtId="0" fontId="15" fillId="0" borderId="0" xfId="11" applyFont="1" applyAlignment="1">
      <alignment horizontal="center" vertical="center"/>
    </xf>
    <xf numFmtId="167" fontId="15" fillId="0" borderId="0" xfId="8" applyNumberFormat="1" applyFont="1" applyAlignment="1">
      <alignment horizontal="center" vertical="center"/>
    </xf>
    <xf numFmtId="165" fontId="15" fillId="0" borderId="0" xfId="8" applyNumberFormat="1" applyFont="1" applyAlignment="1">
      <alignment horizontal="center" vertical="center"/>
    </xf>
    <xf numFmtId="49" fontId="11" fillId="3" borderId="1" xfId="11" applyNumberFormat="1" applyFont="1" applyFill="1" applyBorder="1" applyAlignment="1">
      <alignment vertical="center" wrapText="1"/>
    </xf>
    <xf numFmtId="0" fontId="11" fillId="3" borderId="1" xfId="11" applyFont="1" applyFill="1" applyBorder="1" applyAlignment="1">
      <alignment horizontal="center" vertical="center" wrapText="1"/>
    </xf>
    <xf numFmtId="164" fontId="11" fillId="3" borderId="1" xfId="8" applyFont="1" applyFill="1" applyBorder="1" applyAlignment="1">
      <alignment horizontal="right" vertical="center"/>
    </xf>
    <xf numFmtId="39" fontId="11" fillId="0" borderId="1" xfId="8" applyNumberFormat="1" applyFont="1" applyFill="1" applyBorder="1" applyAlignment="1">
      <alignment horizontal="right" vertical="center"/>
    </xf>
    <xf numFmtId="9" fontId="11" fillId="0" borderId="1" xfId="11" applyNumberFormat="1" applyFont="1" applyBorder="1" applyAlignment="1">
      <alignment horizontal="center" vertical="center" wrapText="1"/>
    </xf>
    <xf numFmtId="167" fontId="11" fillId="3" borderId="1" xfId="8" applyNumberFormat="1" applyFont="1" applyFill="1" applyBorder="1" applyAlignment="1">
      <alignment horizontal="center" vertical="center" wrapText="1"/>
    </xf>
    <xf numFmtId="164" fontId="11" fillId="0" borderId="1" xfId="8" applyFont="1" applyFill="1" applyBorder="1" applyAlignment="1" applyProtection="1">
      <alignment horizontal="center" vertical="center"/>
    </xf>
    <xf numFmtId="164" fontId="11" fillId="3" borderId="1" xfId="8" applyFont="1" applyFill="1" applyBorder="1" applyAlignment="1">
      <alignment horizontal="center" vertical="center"/>
    </xf>
    <xf numFmtId="49" fontId="11" fillId="0" borderId="1" xfId="11" applyNumberFormat="1" applyFont="1" applyBorder="1" applyAlignment="1">
      <alignment vertical="center" wrapText="1"/>
    </xf>
    <xf numFmtId="49" fontId="11" fillId="0" borderId="1" xfId="11" applyNumberFormat="1" applyFont="1" applyBorder="1" applyAlignment="1">
      <alignment horizontal="center" vertical="center" wrapText="1"/>
    </xf>
    <xf numFmtId="49" fontId="11" fillId="3" borderId="1" xfId="11" applyNumberFormat="1" applyFont="1" applyFill="1" applyBorder="1" applyAlignment="1">
      <alignment horizontal="left" vertical="center" wrapText="1"/>
    </xf>
    <xf numFmtId="0" fontId="16" fillId="0" borderId="0" xfId="11" applyFont="1" applyAlignment="1">
      <alignment vertical="center"/>
    </xf>
    <xf numFmtId="0" fontId="16" fillId="0" borderId="0" xfId="11" applyFont="1" applyAlignment="1">
      <alignment horizontal="left" vertical="center"/>
    </xf>
    <xf numFmtId="167" fontId="11" fillId="0" borderId="1" xfId="8" applyNumberFormat="1" applyFont="1" applyFill="1" applyBorder="1" applyAlignment="1">
      <alignment horizontal="center" vertical="center" wrapText="1"/>
    </xf>
    <xf numFmtId="164" fontId="11" fillId="0" borderId="1" xfId="8" applyFont="1" applyFill="1" applyBorder="1" applyAlignment="1">
      <alignment horizontal="center" vertical="center"/>
    </xf>
    <xf numFmtId="164" fontId="11" fillId="0" borderId="1" xfId="8" applyFont="1" applyFill="1" applyBorder="1" applyAlignment="1">
      <alignment horizontal="center" vertical="center" wrapText="1"/>
    </xf>
    <xf numFmtId="164" fontId="11" fillId="0" borderId="1" xfId="8" applyFont="1" applyFill="1" applyBorder="1" applyAlignment="1">
      <alignment vertical="center" wrapText="1"/>
    </xf>
    <xf numFmtId="3" fontId="14" fillId="0" borderId="1" xfId="11" applyNumberFormat="1" applyFont="1" applyBorder="1" applyAlignment="1">
      <alignment horizontal="center" vertical="center" wrapText="1"/>
    </xf>
    <xf numFmtId="49" fontId="11" fillId="0" borderId="18" xfId="11" applyNumberFormat="1" applyFont="1" applyBorder="1" applyAlignment="1">
      <alignment horizontal="left" vertical="center" wrapText="1"/>
    </xf>
    <xf numFmtId="3" fontId="14" fillId="3" borderId="1" xfId="11"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xf>
    <xf numFmtId="49" fontId="16" fillId="0" borderId="0" xfId="11" applyNumberFormat="1" applyFont="1" applyAlignment="1">
      <alignment horizontal="center" vertical="center"/>
    </xf>
    <xf numFmtId="49" fontId="17" fillId="0" borderId="0" xfId="11" applyNumberFormat="1" applyFont="1" applyAlignment="1">
      <alignment horizontal="center" vertical="center"/>
    </xf>
    <xf numFmtId="0" fontId="16" fillId="0" borderId="0" xfId="11" applyFont="1" applyAlignment="1">
      <alignment horizontal="center" vertical="center"/>
    </xf>
    <xf numFmtId="49" fontId="18" fillId="3" borderId="1" xfId="11" applyNumberFormat="1" applyFont="1" applyFill="1" applyBorder="1" applyAlignment="1">
      <alignment vertical="center" wrapText="1"/>
    </xf>
    <xf numFmtId="164" fontId="18" fillId="3" borderId="1" xfId="8" applyFont="1" applyFill="1" applyBorder="1" applyAlignment="1">
      <alignment vertical="center"/>
    </xf>
    <xf numFmtId="0" fontId="18" fillId="3" borderId="1" xfId="11" applyFont="1" applyFill="1" applyBorder="1" applyAlignment="1">
      <alignment horizontal="center" vertical="center" wrapText="1"/>
    </xf>
    <xf numFmtId="164" fontId="18" fillId="3" borderId="1" xfId="8" applyFont="1" applyFill="1" applyBorder="1" applyAlignment="1">
      <alignment horizontal="right" vertical="center"/>
    </xf>
    <xf numFmtId="39" fontId="18" fillId="0" borderId="1" xfId="8" applyNumberFormat="1" applyFont="1" applyFill="1" applyBorder="1" applyAlignment="1">
      <alignment horizontal="right" vertical="center"/>
    </xf>
    <xf numFmtId="9" fontId="18" fillId="0" borderId="1" xfId="10" applyFont="1" applyFill="1" applyBorder="1" applyAlignment="1">
      <alignment horizontal="center" vertical="center" wrapText="1"/>
    </xf>
    <xf numFmtId="167" fontId="18" fillId="3" borderId="1" xfId="8" applyNumberFormat="1" applyFont="1" applyFill="1" applyBorder="1" applyAlignment="1">
      <alignment horizontal="center" vertical="center" wrapText="1"/>
    </xf>
    <xf numFmtId="164" fontId="18" fillId="3" borderId="1" xfId="8" applyFont="1" applyFill="1" applyBorder="1" applyAlignment="1" applyProtection="1">
      <alignment vertical="center"/>
    </xf>
    <xf numFmtId="164" fontId="18" fillId="3" borderId="1" xfId="8" applyFont="1" applyFill="1" applyBorder="1" applyAlignment="1">
      <alignment horizontal="center" vertical="center"/>
    </xf>
    <xf numFmtId="164" fontId="18" fillId="3" borderId="1" xfId="8" applyFont="1" applyFill="1" applyBorder="1" applyAlignment="1">
      <alignment horizontal="center" vertical="center" wrapText="1"/>
    </xf>
    <xf numFmtId="49" fontId="18" fillId="0" borderId="1" xfId="11" applyNumberFormat="1" applyFont="1" applyBorder="1" applyAlignment="1">
      <alignment horizontal="left" vertical="center" wrapText="1"/>
    </xf>
    <xf numFmtId="165" fontId="18" fillId="0" borderId="1" xfId="8" applyNumberFormat="1" applyFont="1" applyBorder="1" applyAlignment="1">
      <alignment horizontal="center" vertical="center" wrapText="1"/>
    </xf>
    <xf numFmtId="165" fontId="18" fillId="0" borderId="1" xfId="8" applyNumberFormat="1" applyFont="1" applyFill="1" applyBorder="1" applyAlignment="1">
      <alignment horizontal="center" vertical="center" wrapText="1"/>
    </xf>
    <xf numFmtId="49" fontId="18" fillId="0" borderId="1" xfId="11" applyNumberFormat="1" applyFont="1" applyBorder="1" applyAlignment="1">
      <alignment horizontal="center" vertical="center" wrapText="1"/>
    </xf>
    <xf numFmtId="49" fontId="9" fillId="0" borderId="0" xfId="11" applyNumberFormat="1" applyFont="1" applyAlignment="1">
      <alignment horizontal="center" vertical="center"/>
    </xf>
    <xf numFmtId="49" fontId="20" fillId="0" borderId="0" xfId="11" applyNumberFormat="1" applyFont="1" applyAlignment="1">
      <alignment horizontal="center" vertical="center"/>
    </xf>
    <xf numFmtId="0" fontId="9" fillId="0" borderId="0" xfId="11" applyFont="1" applyAlignment="1">
      <alignment horizontal="center" vertical="center"/>
    </xf>
    <xf numFmtId="49" fontId="15" fillId="0" borderId="0" xfId="11" applyNumberFormat="1" applyFont="1" applyAlignment="1">
      <alignment horizontal="center" vertical="center"/>
    </xf>
    <xf numFmtId="49" fontId="21" fillId="0" borderId="0" xfId="11" applyNumberFormat="1" applyFont="1" applyAlignment="1">
      <alignment horizontal="center" vertical="center"/>
    </xf>
    <xf numFmtId="49" fontId="22" fillId="4" borderId="1" xfId="11" applyNumberFormat="1" applyFont="1" applyFill="1" applyBorder="1" applyAlignment="1">
      <alignment vertical="center" wrapText="1"/>
    </xf>
    <xf numFmtId="164" fontId="22" fillId="4" borderId="1" xfId="8" applyFont="1" applyFill="1" applyBorder="1" applyAlignment="1">
      <alignment vertical="center"/>
    </xf>
    <xf numFmtId="164" fontId="22" fillId="4" borderId="1" xfId="8" applyFont="1" applyFill="1" applyBorder="1" applyAlignment="1">
      <alignment horizontal="center" vertical="center" wrapText="1"/>
    </xf>
    <xf numFmtId="164" fontId="22" fillId="4" borderId="1" xfId="8" applyFont="1" applyFill="1" applyBorder="1" applyAlignment="1">
      <alignment horizontal="right" vertical="center"/>
    </xf>
    <xf numFmtId="164" fontId="22" fillId="4" borderId="1" xfId="8" applyFont="1" applyFill="1" applyBorder="1" applyAlignment="1" applyProtection="1">
      <alignment vertical="center"/>
    </xf>
    <xf numFmtId="49" fontId="22" fillId="4" borderId="1" xfId="11" applyNumberFormat="1" applyFont="1" applyFill="1" applyBorder="1" applyAlignment="1">
      <alignment horizontal="left" vertical="center" wrapText="1"/>
    </xf>
    <xf numFmtId="165" fontId="22" fillId="4" borderId="1" xfId="8" applyNumberFormat="1" applyFont="1" applyFill="1" applyBorder="1" applyAlignment="1">
      <alignment horizontal="center" vertical="center" wrapText="1"/>
    </xf>
    <xf numFmtId="49" fontId="22" fillId="4" borderId="1" xfId="11" applyNumberFormat="1" applyFont="1" applyFill="1" applyBorder="1" applyAlignment="1">
      <alignment horizontal="center" vertical="center" wrapText="1"/>
    </xf>
    <xf numFmtId="49" fontId="13" fillId="3" borderId="1" xfId="11" applyNumberFormat="1" applyFont="1" applyFill="1" applyBorder="1" applyAlignment="1">
      <alignment vertical="center" wrapText="1"/>
    </xf>
    <xf numFmtId="164" fontId="13" fillId="3" borderId="1" xfId="8" applyFont="1" applyFill="1" applyBorder="1" applyAlignment="1">
      <alignment vertical="center"/>
    </xf>
    <xf numFmtId="0" fontId="13" fillId="3" borderId="1" xfId="11" applyFont="1" applyFill="1" applyBorder="1" applyAlignment="1">
      <alignment horizontal="center" vertical="center" wrapText="1"/>
    </xf>
    <xf numFmtId="164" fontId="13" fillId="3" borderId="1" xfId="8" applyFont="1" applyFill="1" applyBorder="1" applyAlignment="1">
      <alignment horizontal="right" vertical="center"/>
    </xf>
    <xf numFmtId="39" fontId="13" fillId="0" borderId="1" xfId="8" applyNumberFormat="1" applyFont="1" applyFill="1" applyBorder="1" applyAlignment="1">
      <alignment horizontal="right" vertical="center"/>
    </xf>
    <xf numFmtId="9" fontId="13" fillId="0" borderId="1" xfId="11" applyNumberFormat="1" applyFont="1" applyBorder="1" applyAlignment="1">
      <alignment horizontal="center" vertical="center" wrapText="1"/>
    </xf>
    <xf numFmtId="167" fontId="13" fillId="0" borderId="1" xfId="8" applyNumberFormat="1" applyFont="1" applyFill="1" applyBorder="1" applyAlignment="1">
      <alignment horizontal="center" vertical="center" wrapText="1"/>
    </xf>
    <xf numFmtId="164" fontId="13" fillId="0" borderId="1" xfId="8" applyFont="1" applyFill="1" applyBorder="1" applyAlignment="1" applyProtection="1">
      <alignment horizontal="center" vertical="center"/>
    </xf>
    <xf numFmtId="164" fontId="13" fillId="0" borderId="1" xfId="8" applyFont="1" applyFill="1" applyBorder="1" applyAlignment="1">
      <alignment horizontal="center" vertical="center"/>
    </xf>
    <xf numFmtId="164" fontId="13" fillId="0" borderId="1" xfId="8" applyFont="1" applyFill="1" applyBorder="1" applyAlignment="1">
      <alignment horizontal="center" vertical="center" wrapText="1"/>
    </xf>
    <xf numFmtId="164" fontId="13" fillId="0" borderId="1" xfId="8" applyFont="1" applyFill="1" applyBorder="1" applyAlignment="1">
      <alignment horizontal="left" vertical="center" wrapText="1"/>
    </xf>
    <xf numFmtId="165" fontId="13" fillId="0" borderId="1" xfId="8" applyNumberFormat="1" applyFont="1" applyFill="1" applyBorder="1" applyAlignment="1">
      <alignment horizontal="center" vertical="center" wrapText="1"/>
    </xf>
    <xf numFmtId="49" fontId="13" fillId="0" borderId="1" xfId="11" applyNumberFormat="1" applyFont="1" applyBorder="1" applyAlignment="1">
      <alignment horizontal="center" vertical="center" wrapText="1"/>
    </xf>
    <xf numFmtId="49" fontId="13" fillId="0" borderId="1" xfId="11" applyNumberFormat="1" applyFont="1" applyBorder="1" applyAlignment="1">
      <alignment horizontal="left" vertical="center" wrapText="1"/>
    </xf>
    <xf numFmtId="164" fontId="11" fillId="0" borderId="1" xfId="8" applyFont="1" applyFill="1" applyBorder="1" applyAlignment="1">
      <alignment horizontal="left" vertical="center" wrapText="1"/>
    </xf>
    <xf numFmtId="164" fontId="23" fillId="3" borderId="1" xfId="8" applyFont="1" applyFill="1" applyBorder="1" applyAlignment="1">
      <alignment vertical="center"/>
    </xf>
    <xf numFmtId="0" fontId="23" fillId="3" borderId="1" xfId="11" applyFont="1" applyFill="1" applyBorder="1" applyAlignment="1">
      <alignment horizontal="center" vertical="center" wrapText="1"/>
    </xf>
    <xf numFmtId="164" fontId="23" fillId="3" borderId="1" xfId="8" applyFont="1" applyFill="1" applyBorder="1" applyAlignment="1">
      <alignment horizontal="right" vertical="center"/>
    </xf>
    <xf numFmtId="39" fontId="23" fillId="0" borderId="1" xfId="8" applyNumberFormat="1" applyFont="1" applyFill="1" applyBorder="1" applyAlignment="1">
      <alignment horizontal="right" vertical="center"/>
    </xf>
    <xf numFmtId="9" fontId="23" fillId="0" borderId="1" xfId="11" applyNumberFormat="1" applyFont="1" applyBorder="1" applyAlignment="1">
      <alignment horizontal="center" vertical="center" wrapText="1"/>
    </xf>
    <xf numFmtId="164" fontId="11" fillId="0" borderId="1" xfId="8" applyFont="1" applyFill="1" applyBorder="1" applyAlignment="1" applyProtection="1">
      <alignment vertical="center"/>
    </xf>
    <xf numFmtId="0" fontId="14" fillId="0" borderId="1" xfId="0" applyFont="1" applyBorder="1" applyAlignment="1">
      <alignment vertical="center"/>
    </xf>
    <xf numFmtId="165" fontId="11" fillId="3" borderId="1" xfId="8" applyNumberFormat="1" applyFont="1" applyFill="1" applyBorder="1" applyAlignment="1">
      <alignment horizontal="center" vertical="center" wrapText="1"/>
    </xf>
    <xf numFmtId="49" fontId="15" fillId="5" borderId="0" xfId="11" applyNumberFormat="1" applyFont="1" applyFill="1" applyAlignment="1">
      <alignment horizontal="center" vertical="center"/>
    </xf>
    <xf numFmtId="49" fontId="21" fillId="5" borderId="0" xfId="11" applyNumberFormat="1" applyFont="1" applyFill="1" applyAlignment="1">
      <alignment horizontal="center" vertical="center"/>
    </xf>
    <xf numFmtId="0" fontId="15" fillId="5" borderId="0" xfId="11" applyFont="1" applyFill="1" applyAlignment="1">
      <alignment horizontal="center" vertical="center"/>
    </xf>
    <xf numFmtId="49" fontId="11" fillId="5" borderId="1" xfId="11" applyNumberFormat="1" applyFont="1" applyFill="1" applyBorder="1" applyAlignment="1">
      <alignment vertical="center" wrapText="1"/>
    </xf>
    <xf numFmtId="164" fontId="11" fillId="5" borderId="1" xfId="8" applyFont="1" applyFill="1" applyBorder="1" applyAlignment="1">
      <alignment vertical="center"/>
    </xf>
    <xf numFmtId="0" fontId="11" fillId="5" borderId="1" xfId="11" applyFont="1" applyFill="1" applyBorder="1" applyAlignment="1">
      <alignment horizontal="center" vertical="center" wrapText="1"/>
    </xf>
    <xf numFmtId="164" fontId="11" fillId="5" borderId="1" xfId="8" applyFont="1" applyFill="1" applyBorder="1" applyAlignment="1">
      <alignment horizontal="right" vertical="center"/>
    </xf>
    <xf numFmtId="39" fontId="11" fillId="5" borderId="1" xfId="8" applyNumberFormat="1" applyFont="1" applyFill="1" applyBorder="1" applyAlignment="1">
      <alignment horizontal="right" vertical="center"/>
    </xf>
    <xf numFmtId="9" fontId="11" fillId="5" borderId="1" xfId="11" applyNumberFormat="1" applyFont="1" applyFill="1" applyBorder="1" applyAlignment="1">
      <alignment horizontal="center" vertical="center" wrapText="1"/>
    </xf>
    <xf numFmtId="167" fontId="11" fillId="5" borderId="1" xfId="8" applyNumberFormat="1" applyFont="1" applyFill="1" applyBorder="1" applyAlignment="1">
      <alignment horizontal="center" vertical="center" wrapText="1"/>
    </xf>
    <xf numFmtId="164" fontId="11" fillId="5" borderId="1" xfId="8" applyFont="1" applyFill="1" applyBorder="1" applyAlignment="1" applyProtection="1">
      <alignment vertical="center"/>
    </xf>
    <xf numFmtId="164" fontId="11" fillId="5" borderId="1" xfId="8" applyFont="1" applyFill="1" applyBorder="1" applyAlignment="1">
      <alignment horizontal="center" vertical="center"/>
    </xf>
    <xf numFmtId="164" fontId="11" fillId="5" borderId="1" xfId="8" applyFont="1" applyFill="1" applyBorder="1" applyAlignment="1">
      <alignment horizontal="center" vertical="center" wrapText="1"/>
    </xf>
    <xf numFmtId="0" fontId="14" fillId="5" borderId="1" xfId="0" applyFont="1" applyFill="1" applyBorder="1" applyAlignment="1">
      <alignment vertical="center"/>
    </xf>
    <xf numFmtId="165" fontId="11" fillId="5" borderId="1" xfId="8" applyNumberFormat="1" applyFont="1" applyFill="1" applyBorder="1" applyAlignment="1">
      <alignment horizontal="center" vertical="center" wrapText="1"/>
    </xf>
    <xf numFmtId="49" fontId="11" fillId="5" borderId="1" xfId="11" applyNumberFormat="1" applyFont="1" applyFill="1" applyBorder="1" applyAlignment="1">
      <alignment horizontal="center" vertical="center" wrapText="1"/>
    </xf>
    <xf numFmtId="49" fontId="11" fillId="5" borderId="1" xfId="11" applyNumberFormat="1" applyFont="1" applyFill="1" applyBorder="1" applyAlignment="1">
      <alignment horizontal="left" vertical="center" wrapText="1"/>
    </xf>
    <xf numFmtId="164" fontId="11" fillId="3" borderId="1" xfId="8" applyFont="1" applyFill="1" applyBorder="1" applyAlignment="1" applyProtection="1">
      <alignment vertical="center"/>
    </xf>
    <xf numFmtId="49" fontId="12" fillId="5" borderId="1" xfId="11" applyNumberFormat="1" applyFont="1" applyFill="1" applyBorder="1" applyAlignment="1">
      <alignment vertical="center" wrapText="1"/>
    </xf>
    <xf numFmtId="164" fontId="12" fillId="5" borderId="1" xfId="8" applyFont="1" applyFill="1" applyBorder="1" applyAlignment="1">
      <alignment vertical="center"/>
    </xf>
    <xf numFmtId="49" fontId="15" fillId="3" borderId="0" xfId="11" applyNumberFormat="1" applyFont="1" applyFill="1" applyAlignment="1">
      <alignment horizontal="center" vertical="center"/>
    </xf>
    <xf numFmtId="49" fontId="21" fillId="3" borderId="0" xfId="11" applyNumberFormat="1" applyFont="1" applyFill="1" applyAlignment="1">
      <alignment horizontal="center" vertical="center"/>
    </xf>
    <xf numFmtId="0" fontId="15" fillId="3" borderId="0" xfId="11" applyFont="1" applyFill="1" applyAlignment="1">
      <alignment horizontal="center" vertical="center"/>
    </xf>
    <xf numFmtId="49" fontId="12" fillId="3" borderId="1" xfId="11" applyNumberFormat="1" applyFont="1" applyFill="1" applyBorder="1" applyAlignment="1">
      <alignment vertical="center" wrapText="1"/>
    </xf>
    <xf numFmtId="164" fontId="12" fillId="3" borderId="1" xfId="8" applyFont="1" applyFill="1" applyBorder="1" applyAlignment="1">
      <alignment vertical="center"/>
    </xf>
    <xf numFmtId="164" fontId="12" fillId="3" borderId="1" xfId="8" applyFont="1" applyFill="1" applyBorder="1" applyAlignment="1">
      <alignment horizontal="center" vertical="center" wrapText="1"/>
    </xf>
    <xf numFmtId="164" fontId="12" fillId="3" borderId="1" xfId="8" applyFont="1" applyFill="1" applyBorder="1" applyAlignment="1">
      <alignment horizontal="right" vertical="center"/>
    </xf>
    <xf numFmtId="164" fontId="12" fillId="3" borderId="1" xfId="8" applyFont="1" applyFill="1" applyBorder="1" applyAlignment="1" applyProtection="1">
      <alignment vertical="center"/>
    </xf>
    <xf numFmtId="49" fontId="12" fillId="3" borderId="1" xfId="11" applyNumberFormat="1" applyFont="1" applyFill="1" applyBorder="1" applyAlignment="1">
      <alignment horizontal="left" vertical="center" wrapText="1"/>
    </xf>
    <xf numFmtId="165" fontId="12" fillId="3" borderId="1" xfId="8" applyNumberFormat="1" applyFont="1" applyFill="1" applyBorder="1" applyAlignment="1">
      <alignment horizontal="center" vertical="center" wrapText="1"/>
    </xf>
    <xf numFmtId="49" fontId="12" fillId="3" borderId="1" xfId="11" applyNumberFormat="1" applyFont="1" applyFill="1" applyBorder="1" applyAlignment="1">
      <alignment horizontal="center" vertical="center" wrapText="1"/>
    </xf>
    <xf numFmtId="49" fontId="12" fillId="4" borderId="1" xfId="11" applyNumberFormat="1" applyFont="1" applyFill="1" applyBorder="1" applyAlignment="1">
      <alignment vertical="center" wrapText="1"/>
    </xf>
    <xf numFmtId="164" fontId="12" fillId="4" borderId="1" xfId="8" applyFont="1" applyFill="1" applyBorder="1" applyAlignment="1">
      <alignment vertical="center"/>
    </xf>
    <xf numFmtId="164" fontId="12" fillId="4" borderId="1" xfId="8" applyFont="1" applyFill="1" applyBorder="1" applyAlignment="1">
      <alignment horizontal="center" vertical="center" wrapText="1"/>
    </xf>
    <xf numFmtId="164" fontId="12" fillId="4" borderId="1" xfId="8" applyFont="1" applyFill="1" applyBorder="1" applyAlignment="1">
      <alignment horizontal="right" vertical="center"/>
    </xf>
    <xf numFmtId="164" fontId="12" fillId="4" borderId="1" xfId="8" applyFont="1" applyFill="1" applyBorder="1" applyAlignment="1" applyProtection="1">
      <alignment vertical="center"/>
    </xf>
    <xf numFmtId="49" fontId="12" fillId="4" borderId="1" xfId="11" applyNumberFormat="1" applyFont="1" applyFill="1" applyBorder="1" applyAlignment="1">
      <alignment horizontal="left" vertical="center" wrapText="1"/>
    </xf>
    <xf numFmtId="165" fontId="12" fillId="4" borderId="1" xfId="8" applyNumberFormat="1" applyFont="1" applyFill="1" applyBorder="1" applyAlignment="1">
      <alignment horizontal="center" vertical="center" wrapText="1"/>
    </xf>
    <xf numFmtId="49" fontId="12" fillId="4" borderId="1" xfId="11" applyNumberFormat="1" applyFont="1" applyFill="1" applyBorder="1" applyAlignment="1">
      <alignment horizontal="center" vertical="center" wrapText="1"/>
    </xf>
    <xf numFmtId="49" fontId="25" fillId="3" borderId="0" xfId="11" applyNumberFormat="1" applyFont="1" applyFill="1" applyAlignment="1">
      <alignment horizontal="center" vertical="center"/>
    </xf>
    <xf numFmtId="49" fontId="26" fillId="3" borderId="0" xfId="11" applyNumberFormat="1" applyFont="1" applyFill="1" applyAlignment="1">
      <alignment horizontal="center" vertical="center"/>
    </xf>
    <xf numFmtId="0" fontId="25" fillId="3" borderId="0" xfId="11" applyFont="1" applyFill="1" applyAlignment="1">
      <alignment horizontal="center" vertical="center"/>
    </xf>
    <xf numFmtId="164" fontId="13" fillId="3" borderId="1" xfId="8" applyFont="1" applyFill="1" applyBorder="1" applyAlignment="1">
      <alignment horizontal="center" vertical="center" wrapText="1"/>
    </xf>
    <xf numFmtId="49" fontId="13" fillId="3" borderId="1" xfId="11" applyNumberFormat="1" applyFont="1" applyFill="1" applyBorder="1" applyAlignment="1">
      <alignment horizontal="left" vertical="center" wrapText="1"/>
    </xf>
    <xf numFmtId="168" fontId="13" fillId="0" borderId="1" xfId="8" applyNumberFormat="1" applyFont="1" applyBorder="1" applyAlignment="1">
      <alignment horizontal="center" vertical="center" wrapText="1"/>
    </xf>
    <xf numFmtId="165" fontId="13" fillId="0" borderId="1" xfId="8" applyNumberFormat="1" applyFont="1" applyBorder="1" applyAlignment="1">
      <alignment horizontal="center" vertical="center" wrapText="1"/>
    </xf>
    <xf numFmtId="168" fontId="13" fillId="0" borderId="1" xfId="8" applyNumberFormat="1" applyFont="1" applyFill="1" applyBorder="1" applyAlignment="1">
      <alignment horizontal="center" vertical="center" wrapText="1"/>
    </xf>
    <xf numFmtId="49" fontId="25" fillId="0" borderId="0" xfId="11" applyNumberFormat="1" applyFont="1" applyAlignment="1">
      <alignment horizontal="center" vertical="center"/>
    </xf>
    <xf numFmtId="49" fontId="26" fillId="0" borderId="0" xfId="11" applyNumberFormat="1" applyFont="1" applyAlignment="1">
      <alignment horizontal="center" vertical="center"/>
    </xf>
    <xf numFmtId="0" fontId="25" fillId="0" borderId="0" xfId="11" applyFont="1" applyAlignment="1">
      <alignment horizontal="center" vertical="center"/>
    </xf>
    <xf numFmtId="49" fontId="12" fillId="2" borderId="1" xfId="11" applyNumberFormat="1" applyFont="1" applyFill="1" applyBorder="1" applyAlignment="1">
      <alignment vertical="center" wrapText="1"/>
    </xf>
    <xf numFmtId="164" fontId="12" fillId="2" borderId="1" xfId="8" applyFont="1" applyFill="1" applyBorder="1" applyAlignment="1">
      <alignment vertical="center"/>
    </xf>
    <xf numFmtId="164" fontId="12" fillId="2" borderId="1" xfId="8" applyFont="1" applyFill="1" applyBorder="1" applyAlignment="1">
      <alignment horizontal="center" vertical="center" wrapText="1"/>
    </xf>
    <xf numFmtId="164" fontId="12" fillId="2" borderId="1" xfId="8" applyFont="1" applyFill="1" applyBorder="1" applyAlignment="1">
      <alignment horizontal="right" vertical="center"/>
    </xf>
    <xf numFmtId="164" fontId="12" fillId="2" borderId="1" xfId="8" applyFont="1" applyFill="1" applyBorder="1" applyAlignment="1" applyProtection="1">
      <alignment vertical="center"/>
    </xf>
    <xf numFmtId="49" fontId="12" fillId="2" borderId="1" xfId="11" applyNumberFormat="1" applyFont="1" applyFill="1" applyBorder="1" applyAlignment="1">
      <alignment horizontal="left" vertical="center" wrapText="1"/>
    </xf>
    <xf numFmtId="165" fontId="12" fillId="2" borderId="1" xfId="8" applyNumberFormat="1" applyFont="1" applyFill="1" applyBorder="1" applyAlignment="1">
      <alignment horizontal="center" vertical="center" wrapText="1"/>
    </xf>
    <xf numFmtId="49" fontId="12" fillId="2" borderId="1" xfId="11" applyNumberFormat="1" applyFont="1" applyFill="1" applyBorder="1" applyAlignment="1">
      <alignment horizontal="center" vertical="center" wrapText="1"/>
    </xf>
    <xf numFmtId="49" fontId="15" fillId="0" borderId="19" xfId="11" applyNumberFormat="1" applyFont="1" applyBorder="1" applyAlignment="1">
      <alignment horizontal="center" vertical="center" wrapText="1"/>
    </xf>
    <xf numFmtId="164" fontId="13" fillId="0" borderId="20" xfId="8" applyFont="1" applyBorder="1" applyAlignment="1">
      <alignment horizontal="center" vertical="center" wrapText="1"/>
    </xf>
    <xf numFmtId="49" fontId="13" fillId="0" borderId="20" xfId="11" applyNumberFormat="1" applyFont="1" applyBorder="1" applyAlignment="1">
      <alignment horizontal="center" vertical="center" wrapText="1"/>
    </xf>
    <xf numFmtId="167" fontId="13" fillId="0" borderId="20" xfId="8" applyNumberFormat="1" applyFont="1" applyBorder="1" applyAlignment="1">
      <alignment horizontal="center" vertical="center" wrapText="1"/>
    </xf>
    <xf numFmtId="49" fontId="13" fillId="0" borderId="20" xfId="11" applyNumberFormat="1" applyFont="1" applyBorder="1" applyAlignment="1">
      <alignment horizontal="left" vertical="center" wrapText="1"/>
    </xf>
    <xf numFmtId="165" fontId="13" fillId="0" borderId="20" xfId="8" applyNumberFormat="1" applyFont="1" applyBorder="1" applyAlignment="1">
      <alignment horizontal="center" vertical="center" wrapText="1"/>
    </xf>
    <xf numFmtId="49" fontId="13" fillId="0" borderId="21" xfId="11" applyNumberFormat="1" applyFont="1" applyBorder="1" applyAlignment="1">
      <alignment horizontal="center" vertical="center" wrapText="1"/>
    </xf>
    <xf numFmtId="49" fontId="13" fillId="0" borderId="22" xfId="11" applyNumberFormat="1" applyFont="1" applyBorder="1" applyAlignment="1">
      <alignment horizontal="center" vertical="center" wrapText="1"/>
    </xf>
    <xf numFmtId="164" fontId="22" fillId="0" borderId="25" xfId="8" applyFont="1" applyBorder="1" applyAlignment="1">
      <alignment horizontal="center" vertical="center" wrapText="1"/>
    </xf>
    <xf numFmtId="166" fontId="22" fillId="0" borderId="25" xfId="1" applyNumberFormat="1" applyFont="1" applyBorder="1" applyAlignment="1">
      <alignment horizontal="center" vertical="center" wrapText="1"/>
    </xf>
    <xf numFmtId="167" fontId="22" fillId="0" borderId="24" xfId="8" applyNumberFormat="1" applyFont="1" applyBorder="1" applyAlignment="1">
      <alignment horizontal="center" vertical="center" wrapText="1"/>
    </xf>
    <xf numFmtId="0" fontId="22" fillId="0" borderId="24" xfId="11" applyFont="1" applyBorder="1" applyAlignment="1">
      <alignment horizontal="center" vertical="center" wrapText="1"/>
    </xf>
    <xf numFmtId="164" fontId="22" fillId="0" borderId="24" xfId="8" applyFont="1" applyBorder="1" applyAlignment="1">
      <alignment horizontal="center" vertical="center" wrapText="1"/>
    </xf>
    <xf numFmtId="43" fontId="15" fillId="0" borderId="0" xfId="11" applyNumberFormat="1" applyFont="1" applyAlignment="1">
      <alignment horizontal="left" vertical="center"/>
    </xf>
    <xf numFmtId="166" fontId="22" fillId="0" borderId="34" xfId="1" applyNumberFormat="1" applyFont="1" applyBorder="1" applyAlignment="1">
      <alignment horizontal="center" vertical="center" wrapText="1"/>
    </xf>
    <xf numFmtId="164" fontId="15" fillId="0" borderId="0" xfId="11" applyNumberFormat="1" applyFont="1" applyAlignment="1">
      <alignment horizontal="left" vertical="center"/>
    </xf>
    <xf numFmtId="0" fontId="25" fillId="0" borderId="4" xfId="11" applyFont="1" applyBorder="1" applyAlignment="1">
      <alignment horizontal="center" vertical="center"/>
    </xf>
    <xf numFmtId="164" fontId="22" fillId="0" borderId="40" xfId="8" applyFont="1" applyBorder="1" applyAlignment="1">
      <alignment vertical="center"/>
    </xf>
    <xf numFmtId="0" fontId="22" fillId="0" borderId="40" xfId="11" applyFont="1" applyBorder="1" applyAlignment="1">
      <alignment horizontal="center" vertical="center"/>
    </xf>
    <xf numFmtId="164" fontId="13" fillId="0" borderId="40" xfId="8" applyFont="1" applyBorder="1" applyAlignment="1">
      <alignment horizontal="center" vertical="center"/>
    </xf>
    <xf numFmtId="164" fontId="22" fillId="0" borderId="40" xfId="8" applyFont="1" applyBorder="1" applyAlignment="1">
      <alignment horizontal="left" vertical="center" indent="5"/>
    </xf>
    <xf numFmtId="167" fontId="22" fillId="0" borderId="40" xfId="8" applyNumberFormat="1" applyFont="1" applyBorder="1" applyAlignment="1">
      <alignment horizontal="center" vertical="center"/>
    </xf>
    <xf numFmtId="166" fontId="13" fillId="0" borderId="40" xfId="1" applyNumberFormat="1" applyFont="1" applyBorder="1" applyAlignment="1">
      <alignment vertical="center"/>
    </xf>
    <xf numFmtId="164" fontId="22" fillId="0" borderId="41" xfId="8" applyFont="1" applyBorder="1" applyAlignment="1">
      <alignment horizontal="left" vertical="center" indent="3"/>
    </xf>
    <xf numFmtId="164" fontId="22" fillId="0" borderId="40" xfId="8" applyFont="1" applyBorder="1" applyAlignment="1">
      <alignment horizontal="center" vertical="center"/>
    </xf>
    <xf numFmtId="0" fontId="22" fillId="0" borderId="40" xfId="11" applyFont="1" applyBorder="1" applyAlignment="1">
      <alignment horizontal="left" vertical="center"/>
    </xf>
    <xf numFmtId="165" fontId="22" fillId="0" borderId="40" xfId="8" applyNumberFormat="1" applyFont="1" applyBorder="1" applyAlignment="1">
      <alignment horizontal="center" vertical="center"/>
    </xf>
    <xf numFmtId="0" fontId="22" fillId="0" borderId="40" xfId="11" applyFont="1" applyBorder="1" applyAlignment="1">
      <alignment horizontal="left" vertical="center" indent="5"/>
    </xf>
    <xf numFmtId="0" fontId="22" fillId="0" borderId="5" xfId="11" applyFont="1" applyBorder="1" applyAlignment="1">
      <alignment horizontal="left" vertical="center" indent="5"/>
    </xf>
    <xf numFmtId="0" fontId="25" fillId="0" borderId="9" xfId="11" applyFont="1" applyBorder="1" applyAlignment="1">
      <alignment horizontal="center" vertical="center"/>
    </xf>
    <xf numFmtId="164" fontId="22" fillId="0" borderId="0" xfId="8" applyFont="1" applyBorder="1" applyAlignment="1">
      <alignment vertical="center"/>
    </xf>
    <xf numFmtId="0" fontId="22" fillId="0" borderId="0" xfId="11" applyFont="1" applyAlignment="1">
      <alignment horizontal="center" vertical="center"/>
    </xf>
    <xf numFmtId="164" fontId="13" fillId="0" borderId="0" xfId="8" applyFont="1" applyBorder="1" applyAlignment="1">
      <alignment horizontal="center" vertical="center"/>
    </xf>
    <xf numFmtId="164" fontId="22" fillId="0" borderId="0" xfId="8" applyFont="1" applyBorder="1" applyAlignment="1">
      <alignment horizontal="left" vertical="center" indent="5"/>
    </xf>
    <xf numFmtId="167" fontId="22" fillId="0" borderId="0" xfId="8" applyNumberFormat="1" applyFont="1" applyBorder="1" applyAlignment="1">
      <alignment horizontal="center" vertical="center"/>
    </xf>
    <xf numFmtId="166" fontId="13" fillId="0" borderId="0" xfId="1" applyNumberFormat="1" applyFont="1" applyBorder="1" applyAlignment="1">
      <alignment vertical="center"/>
    </xf>
    <xf numFmtId="164" fontId="22" fillId="0" borderId="13" xfId="8" applyFont="1" applyBorder="1" applyAlignment="1">
      <alignment horizontal="left" vertical="center" indent="3"/>
    </xf>
    <xf numFmtId="164" fontId="22" fillId="0" borderId="14" xfId="8" applyFont="1" applyBorder="1" applyAlignment="1">
      <alignment horizontal="center" vertical="center"/>
    </xf>
    <xf numFmtId="164" fontId="22" fillId="0" borderId="0" xfId="8" applyFont="1" applyBorder="1" applyAlignment="1">
      <alignment horizontal="center" vertical="center"/>
    </xf>
    <xf numFmtId="0" fontId="22" fillId="0" borderId="0" xfId="11" applyFont="1" applyAlignment="1">
      <alignment horizontal="left" vertical="center"/>
    </xf>
    <xf numFmtId="165" fontId="22" fillId="0" borderId="0" xfId="8" applyNumberFormat="1" applyFont="1" applyBorder="1" applyAlignment="1">
      <alignment horizontal="center" vertical="center"/>
    </xf>
    <xf numFmtId="0" fontId="22" fillId="0" borderId="0" xfId="11" applyFont="1" applyAlignment="1">
      <alignment horizontal="left" vertical="center" indent="5"/>
    </xf>
    <xf numFmtId="0" fontId="22" fillId="0" borderId="8" xfId="11" applyFont="1" applyBorder="1" applyAlignment="1">
      <alignment horizontal="left" vertical="center" indent="5"/>
    </xf>
    <xf numFmtId="0" fontId="24" fillId="0" borderId="0" xfId="11" applyFont="1" applyAlignment="1">
      <alignment horizontal="center"/>
    </xf>
    <xf numFmtId="164" fontId="22" fillId="0" borderId="0" xfId="8" applyFont="1" applyBorder="1" applyAlignment="1">
      <alignment horizontal="center"/>
    </xf>
    <xf numFmtId="164" fontId="22" fillId="0" borderId="0" xfId="8" applyFont="1" applyBorder="1" applyAlignment="1">
      <alignment horizontal="left" indent="1"/>
    </xf>
    <xf numFmtId="167" fontId="22" fillId="0" borderId="0" xfId="8" applyNumberFormat="1" applyFont="1" applyBorder="1" applyAlignment="1">
      <alignment horizontal="center"/>
    </xf>
    <xf numFmtId="0" fontId="22" fillId="0" borderId="0" xfId="11" applyFont="1"/>
    <xf numFmtId="164" fontId="22" fillId="0" borderId="13" xfId="8" applyFont="1" applyBorder="1" applyAlignment="1">
      <alignment horizontal="center"/>
    </xf>
    <xf numFmtId="0" fontId="27" fillId="0" borderId="0" xfId="11" applyFont="1" applyAlignment="1">
      <alignment horizontal="left" vertical="center"/>
    </xf>
    <xf numFmtId="0" fontId="25" fillId="0" borderId="3" xfId="11" applyFont="1" applyBorder="1" applyAlignment="1">
      <alignment horizontal="center" vertical="center"/>
    </xf>
    <xf numFmtId="164" fontId="22" fillId="0" borderId="37" xfId="8" applyFont="1" applyBorder="1" applyAlignment="1">
      <alignment vertical="center"/>
    </xf>
    <xf numFmtId="0" fontId="22" fillId="0" borderId="37" xfId="11" applyFont="1" applyBorder="1" applyAlignment="1">
      <alignment horizontal="center" vertical="center"/>
    </xf>
    <xf numFmtId="164" fontId="22" fillId="0" borderId="37" xfId="8" applyFont="1" applyBorder="1" applyAlignment="1">
      <alignment horizontal="center" vertical="center"/>
    </xf>
    <xf numFmtId="164" fontId="22" fillId="0" borderId="37" xfId="8" applyFont="1" applyBorder="1" applyAlignment="1">
      <alignment horizontal="left" indent="1"/>
    </xf>
    <xf numFmtId="166" fontId="13" fillId="0" borderId="37" xfId="1" applyNumberFormat="1" applyFont="1" applyBorder="1" applyAlignment="1">
      <alignment vertical="center"/>
    </xf>
    <xf numFmtId="167" fontId="22" fillId="0" borderId="37" xfId="8" applyNumberFormat="1" applyFont="1" applyBorder="1" applyAlignment="1">
      <alignment horizontal="center" vertical="center"/>
    </xf>
    <xf numFmtId="0" fontId="22" fillId="0" borderId="37" xfId="11" applyFont="1" applyBorder="1" applyAlignment="1">
      <alignment vertical="center"/>
    </xf>
    <xf numFmtId="164" fontId="22" fillId="0" borderId="36" xfId="8" applyFont="1" applyBorder="1" applyAlignment="1">
      <alignment horizontal="center"/>
    </xf>
    <xf numFmtId="0" fontId="22" fillId="0" borderId="37" xfId="11" applyFont="1" applyBorder="1" applyAlignment="1">
      <alignment horizontal="left" vertical="center"/>
    </xf>
    <xf numFmtId="165" fontId="22" fillId="0" borderId="37" xfId="8" applyNumberFormat="1" applyFont="1" applyBorder="1" applyAlignment="1">
      <alignment horizontal="center" vertical="center"/>
    </xf>
    <xf numFmtId="0" fontId="22" fillId="0" borderId="37" xfId="11" applyFont="1" applyBorder="1" applyAlignment="1">
      <alignment horizontal="left" vertical="center" indent="2"/>
    </xf>
    <xf numFmtId="0" fontId="22" fillId="0" borderId="2" xfId="11" applyFont="1" applyBorder="1" applyAlignment="1">
      <alignment horizontal="left" vertical="center" indent="2"/>
    </xf>
    <xf numFmtId="164" fontId="22" fillId="0" borderId="0" xfId="8" applyFont="1" applyAlignment="1">
      <alignment vertical="center"/>
    </xf>
    <xf numFmtId="164" fontId="22" fillId="0" borderId="0" xfId="8" applyFont="1" applyAlignment="1">
      <alignment horizontal="center" vertical="center"/>
    </xf>
    <xf numFmtId="167" fontId="22" fillId="0" borderId="0" xfId="8" applyNumberFormat="1" applyFont="1" applyAlignment="1">
      <alignment horizontal="center" vertical="center"/>
    </xf>
    <xf numFmtId="0" fontId="22" fillId="0" borderId="0" xfId="11" applyFont="1" applyAlignment="1">
      <alignment vertical="center"/>
    </xf>
    <xf numFmtId="165" fontId="22" fillId="0" borderId="0" xfId="8" applyNumberFormat="1" applyFont="1" applyAlignment="1">
      <alignment horizontal="center" vertical="center"/>
    </xf>
    <xf numFmtId="49" fontId="22" fillId="0" borderId="1" xfId="11" applyNumberFormat="1" applyFont="1" applyBorder="1" applyAlignment="1">
      <alignment horizontal="left" vertical="center" wrapText="1"/>
    </xf>
    <xf numFmtId="49" fontId="11" fillId="2" borderId="1" xfId="11" applyNumberFormat="1" applyFont="1" applyFill="1" applyBorder="1" applyAlignment="1">
      <alignment horizontal="left" vertical="center" wrapText="1"/>
    </xf>
    <xf numFmtId="49" fontId="11" fillId="2" borderId="1" xfId="11" applyNumberFormat="1" applyFont="1" applyFill="1" applyBorder="1" applyAlignment="1">
      <alignment horizontal="center" vertical="center" wrapText="1"/>
    </xf>
    <xf numFmtId="165" fontId="11" fillId="2" borderId="1" xfId="8" applyNumberFormat="1" applyFont="1" applyFill="1" applyBorder="1" applyAlignment="1">
      <alignment horizontal="center" vertical="center" wrapText="1"/>
    </xf>
    <xf numFmtId="164" fontId="11" fillId="2" borderId="1" xfId="8" applyFont="1" applyFill="1" applyBorder="1" applyAlignment="1">
      <alignment horizontal="center" vertical="center" wrapText="1"/>
    </xf>
    <xf numFmtId="164" fontId="11" fillId="2" borderId="1" xfId="8" applyFont="1" applyFill="1" applyBorder="1" applyAlignment="1" applyProtection="1">
      <alignment vertical="center"/>
    </xf>
    <xf numFmtId="164" fontId="11" fillId="2" borderId="1" xfId="8" applyFont="1" applyFill="1" applyBorder="1" applyAlignment="1">
      <alignment horizontal="right" vertical="center"/>
    </xf>
    <xf numFmtId="49" fontId="11" fillId="4" borderId="1" xfId="11" applyNumberFormat="1" applyFont="1" applyFill="1" applyBorder="1" applyAlignment="1">
      <alignment horizontal="left" vertical="center" wrapText="1"/>
    </xf>
    <xf numFmtId="49" fontId="11" fillId="4" borderId="1" xfId="11" applyNumberFormat="1" applyFont="1" applyFill="1" applyBorder="1" applyAlignment="1">
      <alignment horizontal="center" vertical="center" wrapText="1"/>
    </xf>
    <xf numFmtId="165" fontId="11" fillId="4" borderId="1" xfId="8" applyNumberFormat="1" applyFont="1" applyFill="1" applyBorder="1" applyAlignment="1">
      <alignment horizontal="center" vertical="center" wrapText="1"/>
    </xf>
    <xf numFmtId="164" fontId="11" fillId="4" borderId="1" xfId="8" applyFont="1" applyFill="1" applyBorder="1" applyAlignment="1">
      <alignment horizontal="center" vertical="center" wrapText="1"/>
    </xf>
    <xf numFmtId="164" fontId="11" fillId="4" borderId="1" xfId="8" applyFont="1" applyFill="1" applyBorder="1" applyAlignment="1" applyProtection="1">
      <alignment vertical="center"/>
    </xf>
    <xf numFmtId="164" fontId="11" fillId="4" borderId="1" xfId="8" applyFont="1" applyFill="1" applyBorder="1" applyAlignment="1">
      <alignment horizontal="right" vertical="center"/>
    </xf>
    <xf numFmtId="49" fontId="11" fillId="3" borderId="1" xfId="11" applyNumberFormat="1" applyFont="1" applyFill="1" applyBorder="1" applyAlignment="1">
      <alignment horizontal="center" vertical="center" wrapText="1"/>
    </xf>
    <xf numFmtId="164" fontId="11" fillId="3" borderId="1" xfId="8" applyFont="1" applyFill="1" applyBorder="1" applyAlignment="1" applyProtection="1">
      <alignment horizontal="center" vertical="center" wrapText="1"/>
      <protection locked="0"/>
    </xf>
    <xf numFmtId="165" fontId="29" fillId="6" borderId="1" xfId="0" applyNumberFormat="1" applyFont="1" applyFill="1" applyBorder="1" applyAlignment="1">
      <alignment horizontal="center" vertical="center" wrapText="1"/>
    </xf>
    <xf numFmtId="164" fontId="11" fillId="5" borderId="1" xfId="8" applyFont="1" applyFill="1" applyBorder="1" applyAlignment="1" applyProtection="1">
      <alignment horizontal="center" vertical="center" wrapText="1"/>
      <protection locked="0"/>
    </xf>
    <xf numFmtId="164" fontId="13" fillId="3" borderId="1" xfId="8" applyFont="1" applyFill="1" applyBorder="1" applyAlignment="1" applyProtection="1">
      <alignment horizontal="center" vertical="center" wrapText="1"/>
      <protection locked="0"/>
    </xf>
    <xf numFmtId="49" fontId="13" fillId="4" borderId="1" xfId="11" applyNumberFormat="1" applyFont="1" applyFill="1" applyBorder="1" applyAlignment="1">
      <alignment horizontal="left" vertical="center" wrapText="1"/>
    </xf>
    <xf numFmtId="49" fontId="13" fillId="4" borderId="1" xfId="11" applyNumberFormat="1" applyFont="1" applyFill="1" applyBorder="1" applyAlignment="1">
      <alignment horizontal="center" vertical="center" wrapText="1"/>
    </xf>
    <xf numFmtId="165" fontId="13" fillId="4" borderId="1" xfId="8" applyNumberFormat="1" applyFont="1" applyFill="1" applyBorder="1" applyAlignment="1">
      <alignment horizontal="center" vertical="center" wrapText="1"/>
    </xf>
    <xf numFmtId="164" fontId="13" fillId="4" borderId="1" xfId="8" applyFont="1" applyFill="1" applyBorder="1" applyAlignment="1">
      <alignment horizontal="center" vertical="center" wrapText="1"/>
    </xf>
    <xf numFmtId="164" fontId="13" fillId="4" borderId="1" xfId="8" applyFont="1" applyFill="1" applyBorder="1" applyAlignment="1" applyProtection="1">
      <alignment vertical="center"/>
    </xf>
    <xf numFmtId="164" fontId="13" fillId="4" borderId="1" xfId="8" applyFont="1" applyFill="1" applyBorder="1" applyAlignment="1">
      <alignment horizontal="right" vertical="center"/>
    </xf>
    <xf numFmtId="164" fontId="13" fillId="4" borderId="1" xfId="8" applyFont="1" applyFill="1" applyBorder="1" applyAlignment="1" applyProtection="1">
      <alignment horizontal="center" vertical="center" wrapText="1"/>
      <protection locked="0"/>
    </xf>
    <xf numFmtId="164" fontId="13" fillId="4" borderId="1" xfId="8" applyFont="1" applyFill="1" applyBorder="1" applyAlignment="1">
      <alignment vertical="center"/>
    </xf>
    <xf numFmtId="164" fontId="23" fillId="3" borderId="1" xfId="8" applyFont="1" applyFill="1" applyBorder="1" applyAlignment="1" applyProtection="1">
      <alignment horizontal="center" vertical="center" wrapText="1"/>
      <protection locked="0"/>
    </xf>
    <xf numFmtId="164" fontId="18" fillId="3" borderId="1" xfId="8" applyFont="1" applyFill="1" applyBorder="1" applyAlignment="1" applyProtection="1">
      <alignment horizontal="center" vertical="center" wrapText="1"/>
      <protection locked="0"/>
    </xf>
    <xf numFmtId="166" fontId="30" fillId="0" borderId="0" xfId="1" applyNumberFormat="1" applyFont="1" applyAlignment="1">
      <alignment vertical="center"/>
    </xf>
    <xf numFmtId="0" fontId="30" fillId="0" borderId="0" xfId="11" applyFont="1" applyAlignment="1">
      <alignment vertical="center"/>
    </xf>
    <xf numFmtId="3" fontId="15" fillId="0" borderId="0" xfId="11" applyNumberFormat="1" applyFont="1" applyAlignment="1">
      <alignment vertical="center"/>
    </xf>
    <xf numFmtId="3" fontId="30" fillId="0" borderId="0" xfId="11" applyNumberFormat="1" applyFont="1" applyAlignment="1">
      <alignment vertical="center"/>
    </xf>
    <xf numFmtId="0" fontId="30" fillId="0" borderId="0" xfId="11" applyFont="1" applyAlignment="1">
      <alignment horizontal="left" vertical="center" indent="1"/>
    </xf>
    <xf numFmtId="3" fontId="30" fillId="0" borderId="0" xfId="11" applyNumberFormat="1" applyFont="1" applyAlignment="1">
      <alignment horizontal="left" vertical="center" indent="1"/>
    </xf>
    <xf numFmtId="164" fontId="31" fillId="0" borderId="42" xfId="8" applyFont="1" applyFill="1" applyBorder="1" applyProtection="1"/>
    <xf numFmtId="164" fontId="30" fillId="0" borderId="0" xfId="1" applyFont="1" applyAlignment="1">
      <alignment vertical="center"/>
    </xf>
    <xf numFmtId="3" fontId="15" fillId="0" borderId="0" xfId="1" applyNumberFormat="1" applyFont="1" applyAlignment="1">
      <alignment vertical="center"/>
    </xf>
    <xf numFmtId="3" fontId="30" fillId="0" borderId="0" xfId="1" applyNumberFormat="1" applyFont="1" applyAlignment="1">
      <alignment vertical="center"/>
    </xf>
    <xf numFmtId="166" fontId="25" fillId="0" borderId="0" xfId="1" applyNumberFormat="1" applyFont="1" applyAlignment="1">
      <alignment vertical="center"/>
    </xf>
    <xf numFmtId="166" fontId="25" fillId="0" borderId="0" xfId="1" applyNumberFormat="1" applyFont="1" applyAlignment="1">
      <alignment horizontal="left" vertical="center" wrapText="1"/>
    </xf>
    <xf numFmtId="166" fontId="32" fillId="0" borderId="0" xfId="1" applyNumberFormat="1" applyFont="1" applyAlignment="1">
      <alignment horizontal="left" vertical="center" wrapText="1"/>
    </xf>
    <xf numFmtId="49" fontId="13" fillId="0" borderId="0" xfId="11" applyNumberFormat="1" applyFont="1" applyAlignment="1">
      <alignment vertical="center" wrapText="1"/>
    </xf>
    <xf numFmtId="4" fontId="13" fillId="0" borderId="0" xfId="8" applyNumberFormat="1" applyFont="1" applyBorder="1" applyAlignment="1">
      <alignment horizontal="center" vertical="center" wrapText="1"/>
    </xf>
    <xf numFmtId="0" fontId="33" fillId="0" borderId="0" xfId="11" applyFont="1" applyAlignment="1">
      <alignment horizontal="center" vertical="center" wrapText="1"/>
    </xf>
    <xf numFmtId="164" fontId="33" fillId="0" borderId="0" xfId="8" applyFont="1" applyBorder="1" applyAlignment="1">
      <alignment horizontal="center" vertical="center"/>
    </xf>
    <xf numFmtId="166" fontId="33" fillId="0" borderId="0" xfId="8" applyNumberFormat="1" applyFont="1" applyBorder="1" applyAlignment="1">
      <alignment vertical="center"/>
    </xf>
    <xf numFmtId="2" fontId="33" fillId="0" borderId="0" xfId="11" applyNumberFormat="1" applyFont="1" applyAlignment="1">
      <alignment horizontal="center" vertical="center" wrapText="1"/>
    </xf>
    <xf numFmtId="2" fontId="13" fillId="0" borderId="0" xfId="8" applyNumberFormat="1" applyFont="1" applyBorder="1" applyAlignment="1">
      <alignment horizontal="center" wrapText="1"/>
    </xf>
    <xf numFmtId="3" fontId="13" fillId="0" borderId="0" xfId="8" applyNumberFormat="1" applyFont="1" applyBorder="1" applyAlignment="1">
      <alignment vertical="center"/>
    </xf>
    <xf numFmtId="3" fontId="33" fillId="0" borderId="0" xfId="8" applyNumberFormat="1" applyFont="1" applyBorder="1" applyAlignment="1">
      <alignment vertical="center"/>
    </xf>
    <xf numFmtId="3" fontId="33" fillId="0" borderId="0" xfId="11" applyNumberFormat="1" applyFont="1" applyAlignment="1">
      <alignment horizontal="center" vertical="center" wrapText="1"/>
    </xf>
    <xf numFmtId="49" fontId="33" fillId="0" borderId="0" xfId="11" applyNumberFormat="1" applyFont="1" applyAlignment="1">
      <alignment horizontal="left" vertical="center" wrapText="1"/>
    </xf>
    <xf numFmtId="49" fontId="22" fillId="0" borderId="0" xfId="11" applyNumberFormat="1" applyFont="1" applyAlignment="1">
      <alignment horizontal="left" vertical="center" wrapText="1"/>
    </xf>
    <xf numFmtId="166" fontId="22" fillId="0" borderId="0" xfId="1" applyNumberFormat="1" applyFont="1" applyBorder="1" applyAlignment="1">
      <alignment vertical="center"/>
    </xf>
    <xf numFmtId="166" fontId="33" fillId="0" borderId="0" xfId="1" applyNumberFormat="1" applyFont="1" applyAlignment="1">
      <alignment vertical="center"/>
    </xf>
    <xf numFmtId="0" fontId="33" fillId="0" borderId="0" xfId="11" applyFont="1" applyAlignment="1">
      <alignment vertical="center"/>
    </xf>
    <xf numFmtId="0" fontId="13" fillId="0" borderId="0" xfId="11" applyFont="1" applyAlignment="1">
      <alignment vertical="center"/>
    </xf>
    <xf numFmtId="0" fontId="1" fillId="0" borderId="0" xfId="0" applyFont="1"/>
    <xf numFmtId="166" fontId="34" fillId="0" borderId="0" xfId="1" applyNumberFormat="1" applyFont="1" applyAlignment="1">
      <alignment vertical="center"/>
    </xf>
    <xf numFmtId="3" fontId="1" fillId="0" borderId="0" xfId="0" applyNumberFormat="1" applyFont="1"/>
    <xf numFmtId="0" fontId="33" fillId="0" borderId="0" xfId="11" applyFont="1" applyAlignment="1">
      <alignment horizontal="left" vertical="center" indent="1"/>
    </xf>
    <xf numFmtId="4" fontId="22" fillId="0" borderId="0" xfId="8" applyNumberFormat="1" applyFont="1" applyFill="1" applyBorder="1" applyAlignment="1">
      <alignment horizontal="center" vertical="center"/>
    </xf>
    <xf numFmtId="0" fontId="35" fillId="0" borderId="0" xfId="11" applyFont="1" applyAlignment="1">
      <alignment horizontal="center" vertical="center"/>
    </xf>
    <xf numFmtId="164" fontId="35" fillId="0" borderId="0" xfId="8" applyFont="1" applyFill="1" applyBorder="1" applyAlignment="1">
      <alignment horizontal="center" vertical="center"/>
    </xf>
    <xf numFmtId="164" fontId="35" fillId="0" borderId="0" xfId="1" applyFont="1" applyFill="1" applyBorder="1" applyAlignment="1">
      <alignment horizontal="center" vertical="center"/>
    </xf>
    <xf numFmtId="3" fontId="22" fillId="0" borderId="0" xfId="11" applyNumberFormat="1" applyFont="1" applyAlignment="1">
      <alignment horizontal="center" vertical="center"/>
    </xf>
    <xf numFmtId="3" fontId="35" fillId="0" borderId="0" xfId="11" applyNumberFormat="1" applyFont="1" applyAlignment="1">
      <alignment horizontal="center" vertical="center"/>
    </xf>
    <xf numFmtId="49" fontId="36" fillId="0" borderId="0" xfId="11" applyNumberFormat="1" applyFont="1" applyAlignment="1">
      <alignment vertical="center"/>
    </xf>
    <xf numFmtId="49" fontId="37" fillId="0" borderId="0" xfId="11" applyNumberFormat="1" applyFont="1" applyAlignment="1">
      <alignment vertical="center"/>
    </xf>
    <xf numFmtId="4" fontId="13" fillId="0" borderId="0" xfId="8" applyNumberFormat="1" applyFont="1" applyFill="1" applyBorder="1" applyAlignment="1">
      <alignment horizontal="center" vertical="center" wrapText="1"/>
    </xf>
    <xf numFmtId="164" fontId="33" fillId="0" borderId="0" xfId="8" applyFont="1" applyFill="1" applyBorder="1" applyAlignment="1">
      <alignment horizontal="center" vertical="center"/>
    </xf>
    <xf numFmtId="166" fontId="33" fillId="0" borderId="0" xfId="8" applyNumberFormat="1" applyFont="1" applyFill="1" applyBorder="1" applyAlignment="1">
      <alignment vertical="center"/>
    </xf>
    <xf numFmtId="2" fontId="13" fillId="0" borderId="0" xfId="8" applyNumberFormat="1" applyFont="1" applyFill="1" applyBorder="1" applyAlignment="1">
      <alignment horizontal="center" wrapText="1"/>
    </xf>
    <xf numFmtId="3" fontId="13" fillId="0" borderId="0" xfId="8" applyNumberFormat="1" applyFont="1" applyFill="1" applyBorder="1" applyAlignment="1">
      <alignment vertical="center"/>
    </xf>
    <xf numFmtId="3" fontId="33" fillId="0" borderId="0" xfId="8" applyNumberFormat="1" applyFont="1" applyFill="1" applyBorder="1" applyAlignment="1">
      <alignment vertical="center"/>
    </xf>
    <xf numFmtId="49" fontId="13" fillId="0" borderId="37" xfId="11" applyNumberFormat="1" applyFont="1" applyBorder="1" applyAlignment="1">
      <alignment vertical="center" wrapText="1"/>
    </xf>
    <xf numFmtId="4" fontId="13" fillId="0" borderId="37" xfId="8" applyNumberFormat="1" applyFont="1" applyFill="1" applyBorder="1" applyAlignment="1">
      <alignment horizontal="center" vertical="center" wrapText="1"/>
    </xf>
    <xf numFmtId="0" fontId="33" fillId="0" borderId="37" xfId="11" applyFont="1" applyBorder="1" applyAlignment="1">
      <alignment horizontal="center" vertical="center" wrapText="1"/>
    </xf>
    <xf numFmtId="164" fontId="33" fillId="0" borderId="37" xfId="8" applyFont="1" applyFill="1" applyBorder="1" applyAlignment="1">
      <alignment horizontal="center" vertical="center"/>
    </xf>
    <xf numFmtId="166" fontId="33" fillId="0" borderId="37" xfId="8" applyNumberFormat="1" applyFont="1" applyFill="1" applyBorder="1" applyAlignment="1">
      <alignment vertical="center"/>
    </xf>
    <xf numFmtId="2" fontId="33" fillId="0" borderId="37" xfId="11" applyNumberFormat="1" applyFont="1" applyBorder="1" applyAlignment="1">
      <alignment horizontal="center" vertical="center" wrapText="1"/>
    </xf>
    <xf numFmtId="2" fontId="13" fillId="0" borderId="37" xfId="8" applyNumberFormat="1" applyFont="1" applyFill="1" applyBorder="1" applyAlignment="1">
      <alignment horizontal="center" wrapText="1"/>
    </xf>
    <xf numFmtId="3" fontId="13" fillId="0" borderId="37" xfId="8" applyNumberFormat="1" applyFont="1" applyFill="1" applyBorder="1" applyAlignment="1">
      <alignment vertical="center"/>
    </xf>
    <xf numFmtId="3" fontId="33" fillId="0" borderId="37" xfId="8" applyNumberFormat="1" applyFont="1" applyFill="1" applyBorder="1" applyAlignment="1">
      <alignment vertical="center"/>
    </xf>
    <xf numFmtId="3" fontId="33" fillId="0" borderId="37" xfId="11" applyNumberFormat="1" applyFont="1" applyBorder="1" applyAlignment="1">
      <alignment horizontal="center" vertical="center" wrapText="1"/>
    </xf>
    <xf numFmtId="49" fontId="33" fillId="0" borderId="37" xfId="11" applyNumberFormat="1" applyFont="1" applyBorder="1" applyAlignment="1">
      <alignment horizontal="left" vertical="center" wrapText="1"/>
    </xf>
    <xf numFmtId="49" fontId="36" fillId="0" borderId="37" xfId="11" applyNumberFormat="1" applyFont="1" applyBorder="1" applyAlignment="1">
      <alignment vertical="center"/>
    </xf>
    <xf numFmtId="49" fontId="13" fillId="0" borderId="0" xfId="11" applyNumberFormat="1" applyFont="1" applyAlignment="1">
      <alignment horizontal="left" vertical="center"/>
    </xf>
    <xf numFmtId="49" fontId="21" fillId="0" borderId="0" xfId="11" applyNumberFormat="1" applyFont="1" applyAlignment="1">
      <alignment vertical="center"/>
    </xf>
    <xf numFmtId="3" fontId="35" fillId="0" borderId="0" xfId="11" applyNumberFormat="1" applyFont="1" applyAlignment="1" applyProtection="1">
      <alignment horizontal="center" vertical="center" wrapText="1"/>
      <protection locked="0"/>
    </xf>
    <xf numFmtId="9" fontId="33" fillId="0" borderId="0" xfId="11" applyNumberFormat="1" applyFont="1" applyAlignment="1">
      <alignment horizontal="center" vertical="center" wrapText="1"/>
    </xf>
    <xf numFmtId="2" fontId="21" fillId="0" borderId="0" xfId="8" applyNumberFormat="1" applyFont="1" applyFill="1" applyBorder="1" applyAlignment="1">
      <alignment horizontal="center" vertical="center" wrapText="1"/>
    </xf>
    <xf numFmtId="169" fontId="35" fillId="0" borderId="0" xfId="11" applyNumberFormat="1" applyFont="1" applyAlignment="1">
      <alignment horizontal="center" vertical="center" wrapText="1"/>
    </xf>
    <xf numFmtId="49" fontId="21" fillId="3" borderId="11" xfId="11" applyNumberFormat="1" applyFont="1" applyFill="1" applyBorder="1" applyAlignment="1">
      <alignment vertical="center"/>
    </xf>
    <xf numFmtId="3" fontId="35" fillId="0" borderId="11" xfId="11" applyNumberFormat="1" applyFont="1" applyBorder="1" applyAlignment="1" applyProtection="1">
      <alignment horizontal="center" vertical="center" wrapText="1"/>
      <protection locked="0"/>
    </xf>
    <xf numFmtId="0" fontId="33" fillId="0" borderId="11" xfId="11" applyFont="1" applyBorder="1" applyAlignment="1">
      <alignment horizontal="center" vertical="center" wrapText="1"/>
    </xf>
    <xf numFmtId="9" fontId="33" fillId="0" borderId="11" xfId="11" applyNumberFormat="1" applyFont="1" applyBorder="1" applyAlignment="1">
      <alignment horizontal="center" vertical="center" wrapText="1"/>
    </xf>
    <xf numFmtId="2" fontId="33" fillId="0" borderId="11" xfId="11" applyNumberFormat="1" applyFont="1" applyBorder="1" applyAlignment="1">
      <alignment horizontal="center" vertical="center" wrapText="1"/>
    </xf>
    <xf numFmtId="2" fontId="21" fillId="0" borderId="11" xfId="8" applyNumberFormat="1" applyFont="1" applyBorder="1" applyAlignment="1">
      <alignment horizontal="center" vertical="center" wrapText="1"/>
    </xf>
    <xf numFmtId="169" fontId="35" fillId="0" borderId="11" xfId="11" applyNumberFormat="1" applyFont="1" applyBorder="1" applyAlignment="1">
      <alignment horizontal="center" vertical="center" wrapText="1"/>
    </xf>
    <xf numFmtId="49" fontId="22" fillId="0" borderId="11" xfId="11" applyNumberFormat="1" applyFont="1" applyBorder="1" applyAlignment="1">
      <alignment horizontal="left" vertical="center" wrapText="1"/>
    </xf>
    <xf numFmtId="49" fontId="21" fillId="0" borderId="10" xfId="11" applyNumberFormat="1" applyFont="1" applyBorder="1" applyAlignment="1">
      <alignment vertical="center"/>
    </xf>
    <xf numFmtId="3" fontId="33" fillId="8" borderId="10" xfId="8" applyNumberFormat="1" applyFont="1" applyFill="1" applyBorder="1" applyAlignment="1">
      <alignment horizontal="right" vertical="center"/>
    </xf>
    <xf numFmtId="164" fontId="33" fillId="8" borderId="10" xfId="11" applyNumberFormat="1" applyFont="1" applyFill="1" applyBorder="1" applyAlignment="1">
      <alignment horizontal="center" vertical="center" wrapText="1"/>
    </xf>
    <xf numFmtId="4" fontId="33" fillId="0" borderId="10" xfId="8" applyNumberFormat="1" applyFont="1" applyFill="1" applyBorder="1" applyAlignment="1">
      <alignment horizontal="right" vertical="center"/>
    </xf>
    <xf numFmtId="39" fontId="33" fillId="0" borderId="10" xfId="8" applyNumberFormat="1" applyFont="1" applyFill="1" applyBorder="1" applyAlignment="1">
      <alignment horizontal="right" vertical="center"/>
    </xf>
    <xf numFmtId="9" fontId="33" fillId="0" borderId="10" xfId="11" applyNumberFormat="1" applyFont="1" applyBorder="1" applyAlignment="1">
      <alignment horizontal="center" vertical="center" wrapText="1"/>
    </xf>
    <xf numFmtId="2" fontId="33" fillId="0" borderId="10" xfId="11" applyNumberFormat="1" applyFont="1" applyBorder="1" applyAlignment="1">
      <alignment horizontal="center" vertical="center" wrapText="1"/>
    </xf>
    <xf numFmtId="164" fontId="15" fillId="0" borderId="10" xfId="8" applyFont="1" applyFill="1" applyBorder="1" applyProtection="1"/>
    <xf numFmtId="3" fontId="33" fillId="0" borderId="10" xfId="8" applyNumberFormat="1" applyFont="1" applyFill="1" applyBorder="1" applyAlignment="1">
      <alignment horizontal="center" vertical="center"/>
    </xf>
    <xf numFmtId="3" fontId="33" fillId="0" borderId="10" xfId="11" applyNumberFormat="1" applyFont="1" applyBorder="1" applyAlignment="1">
      <alignment horizontal="center" vertical="center" wrapText="1"/>
    </xf>
    <xf numFmtId="49" fontId="33" fillId="0" borderId="10" xfId="11" applyNumberFormat="1" applyFont="1" applyBorder="1" applyAlignment="1">
      <alignment horizontal="left" vertical="center" wrapText="1"/>
    </xf>
    <xf numFmtId="3" fontId="33" fillId="0" borderId="10" xfId="11" applyNumberFormat="1" applyFont="1" applyBorder="1" applyAlignment="1" applyProtection="1">
      <alignment horizontal="center" vertical="center" wrapText="1"/>
      <protection locked="0"/>
    </xf>
    <xf numFmtId="49" fontId="13" fillId="0" borderId="10" xfId="11" applyNumberFormat="1" applyFont="1" applyBorder="1" applyAlignment="1">
      <alignment horizontal="left" vertical="center" wrapText="1"/>
    </xf>
    <xf numFmtId="49" fontId="21" fillId="3" borderId="10" xfId="11" applyNumberFormat="1" applyFont="1" applyFill="1" applyBorder="1" applyAlignment="1">
      <alignment vertical="center"/>
    </xf>
    <xf numFmtId="4" fontId="33" fillId="0" borderId="10" xfId="8" applyNumberFormat="1" applyFont="1" applyBorder="1" applyAlignment="1">
      <alignment horizontal="right" vertical="center"/>
    </xf>
    <xf numFmtId="39" fontId="33" fillId="0" borderId="10" xfId="8" applyNumberFormat="1" applyFont="1" applyBorder="1" applyAlignment="1">
      <alignment horizontal="right" vertical="center"/>
    </xf>
    <xf numFmtId="3" fontId="33" fillId="0" borderId="10" xfId="8" applyNumberFormat="1" applyFont="1" applyBorder="1" applyAlignment="1">
      <alignment horizontal="center" vertical="center"/>
    </xf>
    <xf numFmtId="49" fontId="15" fillId="8" borderId="0" xfId="11" applyNumberFormat="1" applyFont="1" applyFill="1" applyAlignment="1">
      <alignment horizontal="center" vertical="center"/>
    </xf>
    <xf numFmtId="49" fontId="13" fillId="8" borderId="0" xfId="11" applyNumberFormat="1" applyFont="1" applyFill="1" applyAlignment="1">
      <alignment horizontal="left" vertical="center"/>
    </xf>
    <xf numFmtId="49" fontId="21" fillId="8" borderId="10" xfId="11" applyNumberFormat="1" applyFont="1" applyFill="1" applyBorder="1" applyAlignment="1">
      <alignment vertical="center"/>
    </xf>
    <xf numFmtId="4" fontId="33" fillId="8" borderId="10" xfId="8" applyNumberFormat="1" applyFont="1" applyFill="1" applyBorder="1" applyAlignment="1">
      <alignment horizontal="right" vertical="center"/>
    </xf>
    <xf numFmtId="39" fontId="33" fillId="8" borderId="10" xfId="8" applyNumberFormat="1" applyFont="1" applyFill="1" applyBorder="1" applyAlignment="1">
      <alignment horizontal="right" vertical="center"/>
    </xf>
    <xf numFmtId="9" fontId="33" fillId="8" borderId="10" xfId="11" applyNumberFormat="1" applyFont="1" applyFill="1" applyBorder="1" applyAlignment="1">
      <alignment horizontal="center" vertical="center" wrapText="1"/>
    </xf>
    <xf numFmtId="2" fontId="33" fillId="8" borderId="10" xfId="11" applyNumberFormat="1" applyFont="1" applyFill="1" applyBorder="1" applyAlignment="1">
      <alignment horizontal="center" vertical="center" wrapText="1"/>
    </xf>
    <xf numFmtId="164" fontId="15" fillId="8" borderId="10" xfId="8" applyFont="1" applyFill="1" applyBorder="1" applyProtection="1"/>
    <xf numFmtId="3" fontId="33" fillId="8" borderId="10" xfId="8" applyNumberFormat="1" applyFont="1" applyFill="1" applyBorder="1" applyAlignment="1">
      <alignment horizontal="center" vertical="center"/>
    </xf>
    <xf numFmtId="3" fontId="33" fillId="8" borderId="10" xfId="11" applyNumberFormat="1" applyFont="1" applyFill="1" applyBorder="1" applyAlignment="1">
      <alignment horizontal="center" vertical="center" wrapText="1"/>
    </xf>
    <xf numFmtId="49" fontId="33" fillId="8" borderId="10" xfId="11" applyNumberFormat="1" applyFont="1" applyFill="1" applyBorder="1" applyAlignment="1">
      <alignment horizontal="left" vertical="center" wrapText="1"/>
    </xf>
    <xf numFmtId="3" fontId="33" fillId="8" borderId="10" xfId="11" applyNumberFormat="1" applyFont="1" applyFill="1" applyBorder="1" applyAlignment="1" applyProtection="1">
      <alignment horizontal="center" vertical="center" wrapText="1"/>
      <protection locked="0"/>
    </xf>
    <xf numFmtId="49" fontId="13" fillId="8" borderId="10" xfId="11" applyNumberFormat="1" applyFont="1" applyFill="1" applyBorder="1" applyAlignment="1">
      <alignment horizontal="left" vertical="center" wrapText="1"/>
    </xf>
    <xf numFmtId="4" fontId="21" fillId="8" borderId="10" xfId="8" applyNumberFormat="1" applyFont="1" applyFill="1" applyBorder="1" applyAlignment="1">
      <alignment horizontal="right" vertical="center"/>
    </xf>
    <xf numFmtId="0" fontId="33" fillId="8" borderId="10" xfId="11" applyFont="1" applyFill="1" applyBorder="1" applyAlignment="1">
      <alignment horizontal="center" vertical="center" wrapText="1"/>
    </xf>
    <xf numFmtId="2" fontId="21" fillId="8" borderId="10" xfId="8" applyNumberFormat="1" applyFont="1" applyFill="1" applyBorder="1" applyAlignment="1">
      <alignment horizontal="center" vertical="center" wrapText="1"/>
    </xf>
    <xf numFmtId="3" fontId="21" fillId="8" borderId="10" xfId="8" applyNumberFormat="1" applyFont="1" applyFill="1" applyBorder="1" applyAlignment="1">
      <alignment horizontal="center" vertical="center"/>
    </xf>
    <xf numFmtId="49" fontId="22" fillId="8" borderId="10" xfId="11" applyNumberFormat="1" applyFont="1" applyFill="1" applyBorder="1" applyAlignment="1">
      <alignment horizontal="left" vertical="center"/>
    </xf>
    <xf numFmtId="49" fontId="21" fillId="9" borderId="10" xfId="11" applyNumberFormat="1" applyFont="1" applyFill="1" applyBorder="1" applyAlignment="1">
      <alignment vertical="center"/>
    </xf>
    <xf numFmtId="4" fontId="21" fillId="9" borderId="10" xfId="8" applyNumberFormat="1" applyFont="1" applyFill="1" applyBorder="1" applyAlignment="1">
      <alignment horizontal="right" vertical="center"/>
    </xf>
    <xf numFmtId="0" fontId="33" fillId="9" borderId="10" xfId="11" applyFont="1" applyFill="1" applyBorder="1" applyAlignment="1">
      <alignment horizontal="center" vertical="center" wrapText="1"/>
    </xf>
    <xf numFmtId="4" fontId="33" fillId="9" borderId="10" xfId="8" applyNumberFormat="1" applyFont="1" applyFill="1" applyBorder="1" applyAlignment="1">
      <alignment horizontal="right" vertical="center"/>
    </xf>
    <xf numFmtId="39" fontId="33" fillId="9" borderId="10" xfId="8" applyNumberFormat="1" applyFont="1" applyFill="1" applyBorder="1" applyAlignment="1">
      <alignment horizontal="right" vertical="center"/>
    </xf>
    <xf numFmtId="9" fontId="33" fillId="9" borderId="10" xfId="11" applyNumberFormat="1" applyFont="1" applyFill="1" applyBorder="1" applyAlignment="1">
      <alignment horizontal="center" vertical="center" wrapText="1"/>
    </xf>
    <xf numFmtId="2" fontId="33" fillId="9" borderId="10" xfId="11" applyNumberFormat="1" applyFont="1" applyFill="1" applyBorder="1" applyAlignment="1">
      <alignment horizontal="center" vertical="center" wrapText="1"/>
    </xf>
    <xf numFmtId="2" fontId="21" fillId="9" borderId="10" xfId="8" applyNumberFormat="1" applyFont="1" applyFill="1" applyBorder="1" applyAlignment="1">
      <alignment horizontal="center" vertical="center" wrapText="1"/>
    </xf>
    <xf numFmtId="3" fontId="21" fillId="9" borderId="10" xfId="8" applyNumberFormat="1" applyFont="1" applyFill="1" applyBorder="1" applyAlignment="1">
      <alignment horizontal="center" vertical="center"/>
    </xf>
    <xf numFmtId="3" fontId="33" fillId="9" borderId="10" xfId="8" applyNumberFormat="1" applyFont="1" applyFill="1" applyBorder="1" applyAlignment="1">
      <alignment horizontal="center" vertical="center"/>
    </xf>
    <xf numFmtId="3" fontId="33" fillId="9" borderId="10" xfId="11" applyNumberFormat="1" applyFont="1" applyFill="1" applyBorder="1" applyAlignment="1">
      <alignment horizontal="center" vertical="center" wrapText="1"/>
    </xf>
    <xf numFmtId="49" fontId="33" fillId="9" borderId="10" xfId="11" applyNumberFormat="1" applyFont="1" applyFill="1" applyBorder="1" applyAlignment="1">
      <alignment horizontal="left" vertical="center" wrapText="1"/>
    </xf>
    <xf numFmtId="3" fontId="33" fillId="9" borderId="10" xfId="11" applyNumberFormat="1" applyFont="1" applyFill="1" applyBorder="1" applyAlignment="1" applyProtection="1">
      <alignment horizontal="center" vertical="center" wrapText="1"/>
      <protection locked="0"/>
    </xf>
    <xf numFmtId="49" fontId="22" fillId="9" borderId="10" xfId="11" applyNumberFormat="1" applyFont="1" applyFill="1" applyBorder="1" applyAlignment="1">
      <alignment horizontal="left" vertical="center"/>
    </xf>
    <xf numFmtId="4" fontId="21" fillId="0" borderId="10" xfId="8" applyNumberFormat="1" applyFont="1" applyBorder="1" applyAlignment="1">
      <alignment horizontal="right" vertical="center"/>
    </xf>
    <xf numFmtId="0" fontId="33" fillId="0" borderId="10" xfId="11" applyFont="1" applyBorder="1" applyAlignment="1">
      <alignment horizontal="center" vertical="center" wrapText="1"/>
    </xf>
    <xf numFmtId="2" fontId="21" fillId="0" borderId="10" xfId="8" applyNumberFormat="1" applyFont="1" applyBorder="1" applyAlignment="1">
      <alignment horizontal="center" vertical="center" wrapText="1"/>
    </xf>
    <xf numFmtId="3" fontId="21" fillId="0" borderId="10" xfId="8" applyNumberFormat="1" applyFont="1" applyBorder="1" applyAlignment="1">
      <alignment horizontal="center" vertical="center"/>
    </xf>
    <xf numFmtId="49" fontId="22" fillId="0" borderId="10" xfId="11" applyNumberFormat="1" applyFont="1" applyBorder="1" applyAlignment="1">
      <alignment horizontal="left" vertical="center" wrapText="1"/>
    </xf>
    <xf numFmtId="3" fontId="35" fillId="0" borderId="10" xfId="8" applyNumberFormat="1" applyFont="1" applyBorder="1" applyAlignment="1" applyProtection="1">
      <alignment horizontal="right" vertical="center" wrapText="1"/>
      <protection locked="0"/>
    </xf>
    <xf numFmtId="3" fontId="35" fillId="0" borderId="10" xfId="8" applyNumberFormat="1" applyFont="1" applyBorder="1" applyAlignment="1" applyProtection="1">
      <alignment horizontal="center" vertical="center" wrapText="1"/>
      <protection locked="0"/>
    </xf>
    <xf numFmtId="166" fontId="35" fillId="0" borderId="10" xfId="8" applyNumberFormat="1" applyFont="1" applyBorder="1" applyAlignment="1" applyProtection="1">
      <alignment horizontal="center" vertical="center" wrapText="1"/>
      <protection locked="0"/>
    </xf>
    <xf numFmtId="0" fontId="33" fillId="0" borderId="10" xfId="11" applyFont="1" applyBorder="1" applyAlignment="1">
      <alignment horizontal="right" vertical="center" wrapText="1"/>
    </xf>
    <xf numFmtId="3" fontId="33" fillId="0" borderId="10" xfId="8" applyNumberFormat="1" applyFont="1" applyBorder="1" applyAlignment="1">
      <alignment horizontal="right" vertical="center"/>
    </xf>
    <xf numFmtId="164" fontId="33" fillId="0" borderId="10" xfId="11" applyNumberFormat="1" applyFont="1" applyBorder="1" applyAlignment="1">
      <alignment horizontal="center" vertical="center" wrapText="1"/>
    </xf>
    <xf numFmtId="3" fontId="33" fillId="0" borderId="10" xfId="8" applyNumberFormat="1" applyFont="1" applyFill="1" applyBorder="1" applyAlignment="1">
      <alignment horizontal="right" vertical="center"/>
    </xf>
    <xf numFmtId="49" fontId="22" fillId="9" borderId="10" xfId="11" applyNumberFormat="1" applyFont="1" applyFill="1" applyBorder="1" applyAlignment="1">
      <alignment horizontal="left" vertical="center" wrapText="1"/>
    </xf>
    <xf numFmtId="4" fontId="26" fillId="0" borderId="10" xfId="8" applyNumberFormat="1" applyFont="1" applyFill="1" applyBorder="1" applyAlignment="1">
      <alignment horizontal="right" vertical="center"/>
    </xf>
    <xf numFmtId="0" fontId="35" fillId="0" borderId="10" xfId="11" applyFont="1" applyBorder="1" applyAlignment="1">
      <alignment horizontal="center" vertical="center" wrapText="1"/>
    </xf>
    <xf numFmtId="4" fontId="35" fillId="0" borderId="10" xfId="8" applyNumberFormat="1" applyFont="1" applyFill="1" applyBorder="1" applyAlignment="1">
      <alignment horizontal="right" vertical="center"/>
    </xf>
    <xf numFmtId="39" fontId="35" fillId="0" borderId="10" xfId="8" applyNumberFormat="1" applyFont="1" applyFill="1" applyBorder="1" applyAlignment="1">
      <alignment horizontal="right" vertical="center"/>
    </xf>
    <xf numFmtId="9" fontId="35" fillId="0" borderId="10" xfId="11" applyNumberFormat="1" applyFont="1" applyBorder="1" applyAlignment="1">
      <alignment horizontal="center" vertical="center" wrapText="1"/>
    </xf>
    <xf numFmtId="2" fontId="35" fillId="0" borderId="10" xfId="11" applyNumberFormat="1" applyFont="1" applyBorder="1" applyAlignment="1">
      <alignment horizontal="center" vertical="center" wrapText="1"/>
    </xf>
    <xf numFmtId="2" fontId="26" fillId="0" borderId="10" xfId="8" applyNumberFormat="1" applyFont="1" applyFill="1" applyBorder="1" applyAlignment="1">
      <alignment horizontal="center" vertical="center" wrapText="1"/>
    </xf>
    <xf numFmtId="3" fontId="26" fillId="0" borderId="10" xfId="8" applyNumberFormat="1" applyFont="1" applyFill="1" applyBorder="1" applyAlignment="1">
      <alignment horizontal="center" vertical="center"/>
    </xf>
    <xf numFmtId="3" fontId="35" fillId="0" borderId="10" xfId="8" applyNumberFormat="1" applyFont="1" applyFill="1" applyBorder="1" applyAlignment="1">
      <alignment horizontal="center" vertical="center"/>
    </xf>
    <xf numFmtId="3" fontId="35" fillId="0" borderId="10" xfId="11" applyNumberFormat="1" applyFont="1" applyBorder="1" applyAlignment="1">
      <alignment horizontal="center" vertical="center" wrapText="1"/>
    </xf>
    <xf numFmtId="49" fontId="35" fillId="0" borderId="10" xfId="11" applyNumberFormat="1" applyFont="1" applyBorder="1" applyAlignment="1">
      <alignment horizontal="left" vertical="center" wrapText="1"/>
    </xf>
    <xf numFmtId="3" fontId="35" fillId="0" borderId="10" xfId="11" applyNumberFormat="1" applyFont="1" applyBorder="1" applyAlignment="1" applyProtection="1">
      <alignment horizontal="center" vertical="center" wrapText="1"/>
      <protection locked="0"/>
    </xf>
    <xf numFmtId="4" fontId="26" fillId="9" borderId="10" xfId="8" applyNumberFormat="1" applyFont="1" applyFill="1" applyBorder="1" applyAlignment="1">
      <alignment horizontal="right" vertical="center"/>
    </xf>
    <xf numFmtId="0" fontId="35" fillId="9" borderId="10" xfId="11" applyFont="1" applyFill="1" applyBorder="1" applyAlignment="1">
      <alignment horizontal="center" vertical="center" wrapText="1"/>
    </xf>
    <xf numFmtId="4" fontId="35" fillId="9" borderId="10" xfId="8" applyNumberFormat="1" applyFont="1" applyFill="1" applyBorder="1" applyAlignment="1">
      <alignment horizontal="right" vertical="center"/>
    </xf>
    <xf numFmtId="39" fontId="35" fillId="9" borderId="10" xfId="8" applyNumberFormat="1" applyFont="1" applyFill="1" applyBorder="1" applyAlignment="1">
      <alignment horizontal="right" vertical="center"/>
    </xf>
    <xf numFmtId="9" fontId="35" fillId="9" borderId="10" xfId="11" applyNumberFormat="1" applyFont="1" applyFill="1" applyBorder="1" applyAlignment="1">
      <alignment horizontal="center" vertical="center" wrapText="1"/>
    </xf>
    <xf numFmtId="2" fontId="35" fillId="9" borderId="10" xfId="11" applyNumberFormat="1" applyFont="1" applyFill="1" applyBorder="1" applyAlignment="1">
      <alignment horizontal="center" vertical="center" wrapText="1"/>
    </xf>
    <xf numFmtId="2" fontId="26" fillId="9" borderId="10" xfId="8" applyNumberFormat="1" applyFont="1" applyFill="1" applyBorder="1" applyAlignment="1">
      <alignment horizontal="center" vertical="center" wrapText="1"/>
    </xf>
    <xf numFmtId="3" fontId="26" fillId="9" borderId="10" xfId="8" applyNumberFormat="1" applyFont="1" applyFill="1" applyBorder="1" applyAlignment="1">
      <alignment horizontal="center" vertical="center"/>
    </xf>
    <xf numFmtId="3" fontId="35" fillId="9" borderId="10" xfId="8" applyNumberFormat="1" applyFont="1" applyFill="1" applyBorder="1" applyAlignment="1">
      <alignment horizontal="center" vertical="center"/>
    </xf>
    <xf numFmtId="3" fontId="35" fillId="9" borderId="10" xfId="11" applyNumberFormat="1" applyFont="1" applyFill="1" applyBorder="1" applyAlignment="1">
      <alignment horizontal="center" vertical="center" wrapText="1"/>
    </xf>
    <xf numFmtId="49" fontId="35" fillId="9" borderId="10" xfId="11" applyNumberFormat="1" applyFont="1" applyFill="1" applyBorder="1" applyAlignment="1">
      <alignment horizontal="left" vertical="center" wrapText="1"/>
    </xf>
    <xf numFmtId="3" fontId="35" fillId="9" borderId="10" xfId="11" applyNumberFormat="1" applyFont="1" applyFill="1" applyBorder="1" applyAlignment="1" applyProtection="1">
      <alignment horizontal="center" vertical="center" wrapText="1"/>
      <protection locked="0"/>
    </xf>
    <xf numFmtId="49" fontId="13" fillId="0" borderId="10" xfId="11" applyNumberFormat="1" applyFont="1" applyBorder="1" applyAlignment="1">
      <alignment vertical="center"/>
    </xf>
    <xf numFmtId="49" fontId="38" fillId="0" borderId="10" xfId="11" applyNumberFormat="1" applyFont="1" applyBorder="1" applyAlignment="1">
      <alignment vertical="center"/>
    </xf>
    <xf numFmtId="49" fontId="21" fillId="9" borderId="10" xfId="11" applyNumberFormat="1" applyFont="1" applyFill="1" applyBorder="1" applyAlignment="1">
      <alignment vertical="center" wrapText="1"/>
    </xf>
    <xf numFmtId="4" fontId="26" fillId="9" borderId="10" xfId="11" applyNumberFormat="1" applyFont="1" applyFill="1" applyBorder="1" applyAlignment="1">
      <alignment horizontal="right" vertical="center" wrapText="1"/>
    </xf>
    <xf numFmtId="0" fontId="35" fillId="9" borderId="10" xfId="8" applyNumberFormat="1" applyFont="1" applyFill="1" applyBorder="1" applyAlignment="1">
      <alignment horizontal="center" wrapText="1"/>
    </xf>
    <xf numFmtId="2" fontId="35" fillId="9" borderId="10" xfId="8" applyNumberFormat="1" applyFont="1" applyFill="1" applyBorder="1" applyAlignment="1">
      <alignment horizontal="center" vertical="center" wrapText="1"/>
    </xf>
    <xf numFmtId="164" fontId="35" fillId="9" borderId="10" xfId="8" applyFont="1" applyFill="1" applyBorder="1" applyAlignment="1">
      <alignment horizontal="right" vertical="center" wrapText="1"/>
    </xf>
    <xf numFmtId="0" fontId="26" fillId="9" borderId="10" xfId="11" applyFont="1" applyFill="1" applyBorder="1" applyAlignment="1">
      <alignment horizontal="center" vertical="center" wrapText="1"/>
    </xf>
    <xf numFmtId="3" fontId="26" fillId="9" borderId="10" xfId="11" applyNumberFormat="1" applyFont="1" applyFill="1" applyBorder="1" applyAlignment="1">
      <alignment horizontal="center" vertical="center" wrapText="1"/>
    </xf>
    <xf numFmtId="49" fontId="39" fillId="10" borderId="43" xfId="11" applyNumberFormat="1" applyFont="1" applyFill="1" applyBorder="1" applyAlignment="1">
      <alignment vertical="center"/>
    </xf>
    <xf numFmtId="3" fontId="35" fillId="10" borderId="43" xfId="11" applyNumberFormat="1" applyFont="1" applyFill="1" applyBorder="1" applyAlignment="1">
      <alignment horizontal="right" vertical="center" wrapText="1"/>
    </xf>
    <xf numFmtId="49" fontId="35" fillId="10" borderId="43" xfId="11" applyNumberFormat="1" applyFont="1" applyFill="1" applyBorder="1" applyAlignment="1">
      <alignment horizontal="right" vertical="center" wrapText="1"/>
    </xf>
    <xf numFmtId="49" fontId="33" fillId="10" borderId="43" xfId="11" applyNumberFormat="1" applyFont="1" applyFill="1" applyBorder="1" applyAlignment="1">
      <alignment horizontal="right" vertical="center" wrapText="1"/>
    </xf>
    <xf numFmtId="49" fontId="21" fillId="10" borderId="43" xfId="11" applyNumberFormat="1" applyFont="1" applyFill="1" applyBorder="1" applyAlignment="1">
      <alignment horizontal="right" vertical="center" wrapText="1"/>
    </xf>
    <xf numFmtId="49" fontId="22" fillId="10" borderId="43" xfId="11" applyNumberFormat="1" applyFont="1" applyFill="1" applyBorder="1" applyAlignment="1">
      <alignment horizontal="left" vertical="center" wrapText="1"/>
    </xf>
    <xf numFmtId="49" fontId="21" fillId="0" borderId="0" xfId="11" applyNumberFormat="1" applyFont="1" applyAlignment="1">
      <alignment horizontal="left" vertical="center"/>
    </xf>
    <xf numFmtId="49" fontId="15" fillId="0" borderId="38" xfId="11" applyNumberFormat="1" applyFont="1" applyBorder="1" applyAlignment="1">
      <alignment horizontal="center" vertical="center" wrapText="1"/>
    </xf>
    <xf numFmtId="49" fontId="13" fillId="0" borderId="38" xfId="11" applyNumberFormat="1" applyFont="1" applyBorder="1" applyAlignment="1">
      <alignment horizontal="center" vertical="center" wrapText="1"/>
    </xf>
    <xf numFmtId="49" fontId="33" fillId="0" borderId="38" xfId="11" applyNumberFormat="1" applyFont="1" applyBorder="1" applyAlignment="1">
      <alignment horizontal="center" vertical="center" wrapText="1"/>
    </xf>
    <xf numFmtId="3" fontId="13" fillId="0" borderId="38" xfId="11" applyNumberFormat="1" applyFont="1" applyBorder="1" applyAlignment="1">
      <alignment horizontal="center" vertical="center" wrapText="1"/>
    </xf>
    <xf numFmtId="3" fontId="33" fillId="0" borderId="38" xfId="11" applyNumberFormat="1" applyFont="1" applyBorder="1" applyAlignment="1">
      <alignment horizontal="center" vertical="center" wrapText="1"/>
    </xf>
    <xf numFmtId="166" fontId="35" fillId="0" borderId="25" xfId="1" applyNumberFormat="1" applyFont="1" applyBorder="1" applyAlignment="1">
      <alignment horizontal="center" wrapText="1"/>
    </xf>
    <xf numFmtId="166" fontId="35" fillId="0" borderId="25" xfId="1" applyNumberFormat="1" applyFont="1" applyBorder="1" applyAlignment="1">
      <alignment horizontal="center" vertical="center" wrapText="1"/>
    </xf>
    <xf numFmtId="0" fontId="35" fillId="0" borderId="24" xfId="11" applyFont="1" applyBorder="1" applyAlignment="1">
      <alignment horizontal="center" vertical="center" wrapText="1"/>
    </xf>
    <xf numFmtId="3" fontId="22" fillId="0" borderId="24" xfId="11" applyNumberFormat="1" applyFont="1" applyBorder="1" applyAlignment="1">
      <alignment horizontal="center" vertical="center" wrapText="1"/>
    </xf>
    <xf numFmtId="3" fontId="35" fillId="0" borderId="24" xfId="11" applyNumberFormat="1" applyFont="1" applyBorder="1" applyAlignment="1">
      <alignment horizontal="center" vertical="center" wrapText="1"/>
    </xf>
    <xf numFmtId="166" fontId="33" fillId="0" borderId="0" xfId="1" applyNumberFormat="1" applyFont="1" applyBorder="1" applyAlignment="1">
      <alignment vertical="center"/>
    </xf>
    <xf numFmtId="0" fontId="35" fillId="0" borderId="13" xfId="11" applyFont="1" applyBorder="1" applyAlignment="1">
      <alignment horizontal="left" vertical="center" indent="5"/>
    </xf>
    <xf numFmtId="0" fontId="35" fillId="0" borderId="14" xfId="11" applyFont="1" applyBorder="1" applyAlignment="1">
      <alignment horizontal="center" vertical="center"/>
    </xf>
    <xf numFmtId="2" fontId="35" fillId="0" borderId="0" xfId="11" applyNumberFormat="1" applyFont="1" applyAlignment="1">
      <alignment horizontal="center" vertical="center"/>
    </xf>
    <xf numFmtId="0" fontId="35" fillId="0" borderId="0" xfId="11" applyFont="1" applyAlignment="1">
      <alignment horizontal="left" indent="3"/>
    </xf>
    <xf numFmtId="0" fontId="35" fillId="0" borderId="13" xfId="11" applyFont="1" applyBorder="1" applyAlignment="1">
      <alignment horizontal="left" indent="1"/>
    </xf>
    <xf numFmtId="0" fontId="35" fillId="0" borderId="37" xfId="11" applyFont="1" applyBorder="1" applyAlignment="1">
      <alignment horizontal="center" vertical="center"/>
    </xf>
    <xf numFmtId="0" fontId="35" fillId="0" borderId="36" xfId="11" applyFont="1" applyBorder="1" applyAlignment="1">
      <alignment horizontal="left" indent="1"/>
    </xf>
    <xf numFmtId="166" fontId="33" fillId="0" borderId="21" xfId="1" applyNumberFormat="1" applyFont="1" applyBorder="1" applyAlignment="1">
      <alignment vertical="center"/>
    </xf>
    <xf numFmtId="3" fontId="22" fillId="0" borderId="37" xfId="11" applyNumberFormat="1" applyFont="1" applyBorder="1" applyAlignment="1">
      <alignment horizontal="center" vertical="center"/>
    </xf>
    <xf numFmtId="3" fontId="35" fillId="0" borderId="37" xfId="11" applyNumberFormat="1" applyFont="1" applyBorder="1" applyAlignment="1">
      <alignment horizontal="center" vertical="center"/>
    </xf>
    <xf numFmtId="49" fontId="22" fillId="11" borderId="10" xfId="11" applyNumberFormat="1" applyFont="1" applyFill="1" applyBorder="1" applyAlignment="1">
      <alignment horizontal="left" vertical="center" wrapText="1"/>
    </xf>
    <xf numFmtId="3" fontId="33" fillId="11" borderId="10" xfId="11" applyNumberFormat="1" applyFont="1" applyFill="1" applyBorder="1" applyAlignment="1" applyProtection="1">
      <alignment horizontal="center" vertical="center" wrapText="1"/>
      <protection locked="0"/>
    </xf>
    <xf numFmtId="3" fontId="33" fillId="11" borderId="10" xfId="11" applyNumberFormat="1" applyFont="1" applyFill="1" applyBorder="1" applyAlignment="1">
      <alignment horizontal="center" vertical="center" wrapText="1"/>
    </xf>
    <xf numFmtId="49" fontId="33" fillId="11" borderId="10" xfId="11" applyNumberFormat="1" applyFont="1" applyFill="1" applyBorder="1" applyAlignment="1">
      <alignment horizontal="left" vertical="center" wrapText="1"/>
    </xf>
    <xf numFmtId="3" fontId="33" fillId="11" borderId="10" xfId="8" applyNumberFormat="1" applyFont="1" applyFill="1" applyBorder="1" applyAlignment="1">
      <alignment horizontal="center" vertical="center"/>
    </xf>
    <xf numFmtId="3" fontId="21" fillId="11" borderId="10" xfId="8" applyNumberFormat="1" applyFont="1" applyFill="1" applyBorder="1" applyAlignment="1">
      <alignment horizontal="center" vertical="center"/>
    </xf>
    <xf numFmtId="2" fontId="21" fillId="11" borderId="10" xfId="8" applyNumberFormat="1" applyFont="1" applyFill="1" applyBorder="1" applyAlignment="1">
      <alignment horizontal="center" vertical="center" wrapText="1"/>
    </xf>
    <xf numFmtId="2" fontId="33" fillId="11" borderId="10" xfId="11" applyNumberFormat="1" applyFont="1" applyFill="1" applyBorder="1" applyAlignment="1">
      <alignment horizontal="center" vertical="center" wrapText="1"/>
    </xf>
    <xf numFmtId="9" fontId="33" fillId="11" borderId="10" xfId="11" applyNumberFormat="1" applyFont="1" applyFill="1" applyBorder="1" applyAlignment="1">
      <alignment horizontal="center" vertical="center" wrapText="1"/>
    </xf>
    <xf numFmtId="39" fontId="33" fillId="11" borderId="10" xfId="8" applyNumberFormat="1" applyFont="1" applyFill="1" applyBorder="1" applyAlignment="1">
      <alignment horizontal="right" vertical="center"/>
    </xf>
    <xf numFmtId="4" fontId="33" fillId="11" borderId="10" xfId="8" applyNumberFormat="1" applyFont="1" applyFill="1" applyBorder="1" applyAlignment="1">
      <alignment horizontal="right" vertical="center"/>
    </xf>
    <xf numFmtId="0" fontId="33" fillId="11" borderId="10" xfId="11" applyFont="1" applyFill="1" applyBorder="1" applyAlignment="1">
      <alignment horizontal="center" vertical="center" wrapText="1"/>
    </xf>
    <xf numFmtId="4" fontId="21" fillId="11" borderId="10" xfId="8" applyNumberFormat="1" applyFont="1" applyFill="1" applyBorder="1" applyAlignment="1">
      <alignment horizontal="right" vertical="center"/>
    </xf>
    <xf numFmtId="49" fontId="21" fillId="11" borderId="10" xfId="11" applyNumberFormat="1" applyFont="1" applyFill="1" applyBorder="1" applyAlignment="1">
      <alignment vertical="center"/>
    </xf>
    <xf numFmtId="49" fontId="15" fillId="11" borderId="0" xfId="11" applyNumberFormat="1" applyFont="1" applyFill="1" applyAlignment="1">
      <alignment horizontal="center" vertical="center"/>
    </xf>
    <xf numFmtId="49" fontId="13" fillId="11" borderId="0" xfId="11" applyNumberFormat="1" applyFont="1" applyFill="1" applyAlignment="1">
      <alignment horizontal="left" vertical="center"/>
    </xf>
    <xf numFmtId="49" fontId="13" fillId="11" borderId="10" xfId="11" applyNumberFormat="1" applyFont="1" applyFill="1" applyBorder="1" applyAlignment="1">
      <alignment horizontal="left" vertical="center" wrapText="1"/>
    </xf>
    <xf numFmtId="164" fontId="15" fillId="11" borderId="10" xfId="8" applyFont="1" applyFill="1" applyBorder="1" applyProtection="1"/>
    <xf numFmtId="164" fontId="33" fillId="11" borderId="10" xfId="11" applyNumberFormat="1" applyFont="1" applyFill="1" applyBorder="1" applyAlignment="1">
      <alignment horizontal="center" vertical="center" wrapText="1"/>
    </xf>
    <xf numFmtId="3" fontId="33" fillId="11" borderId="10" xfId="8" applyNumberFormat="1" applyFont="1" applyFill="1" applyBorder="1" applyAlignment="1">
      <alignment horizontal="right" vertical="center"/>
    </xf>
    <xf numFmtId="166" fontId="30" fillId="0" borderId="0" xfId="8" applyNumberFormat="1" applyFont="1" applyFill="1" applyAlignment="1">
      <alignment horizontal="left" vertical="center"/>
    </xf>
    <xf numFmtId="166" fontId="30" fillId="0" borderId="0" xfId="8" applyNumberFormat="1" applyFont="1" applyFill="1" applyAlignment="1">
      <alignment horizontal="left" vertical="center" indent="1"/>
    </xf>
    <xf numFmtId="0" fontId="42" fillId="0" borderId="0" xfId="11" applyFont="1" applyAlignment="1">
      <alignment vertical="center"/>
    </xf>
    <xf numFmtId="166" fontId="42" fillId="0" borderId="0" xfId="8" applyNumberFormat="1" applyFont="1" applyFill="1" applyAlignment="1">
      <alignment horizontal="left" vertical="center"/>
    </xf>
    <xf numFmtId="166" fontId="42" fillId="0" borderId="0" xfId="8" applyNumberFormat="1" applyFont="1" applyFill="1" applyAlignment="1">
      <alignment horizontal="left" vertical="center" indent="1"/>
    </xf>
    <xf numFmtId="0" fontId="43" fillId="0" borderId="0" xfId="11" applyFont="1" applyAlignment="1">
      <alignment vertical="center"/>
    </xf>
    <xf numFmtId="166" fontId="43" fillId="0" borderId="0" xfId="8" applyNumberFormat="1" applyFont="1" applyFill="1" applyAlignment="1">
      <alignment horizontal="left" vertical="center"/>
    </xf>
    <xf numFmtId="166" fontId="43" fillId="0" borderId="0" xfId="8" applyNumberFormat="1" applyFont="1" applyFill="1" applyAlignment="1">
      <alignment horizontal="left" vertical="center" indent="1"/>
    </xf>
    <xf numFmtId="49" fontId="30" fillId="0" borderId="0" xfId="11" applyNumberFormat="1" applyFont="1" applyAlignment="1">
      <alignment horizontal="center" vertical="center"/>
    </xf>
    <xf numFmtId="49" fontId="33" fillId="0" borderId="0" xfId="11" applyNumberFormat="1" applyFont="1" applyAlignment="1">
      <alignment horizontal="left" vertical="center"/>
    </xf>
    <xf numFmtId="166" fontId="33" fillId="0" borderId="10" xfId="8" applyNumberFormat="1" applyFont="1" applyFill="1" applyBorder="1" applyAlignment="1">
      <alignment horizontal="left" vertical="center" wrapText="1"/>
    </xf>
    <xf numFmtId="166" fontId="33" fillId="0" borderId="10" xfId="8" applyNumberFormat="1" applyFont="1" applyFill="1" applyBorder="1" applyAlignment="1">
      <alignment horizontal="left" vertical="center"/>
    </xf>
    <xf numFmtId="9" fontId="33" fillId="0" borderId="10" xfId="10" applyFont="1" applyFill="1" applyBorder="1" applyAlignment="1">
      <alignment horizontal="center" vertical="center" wrapText="1"/>
    </xf>
    <xf numFmtId="164" fontId="33" fillId="0" borderId="10" xfId="8" applyFont="1" applyFill="1" applyBorder="1" applyAlignment="1">
      <alignment horizontal="left" vertical="center" wrapText="1"/>
    </xf>
    <xf numFmtId="164" fontId="30" fillId="0" borderId="10" xfId="8" applyFont="1" applyFill="1" applyBorder="1" applyAlignment="1" applyProtection="1">
      <alignment horizontal="left" vertical="center"/>
    </xf>
    <xf numFmtId="166" fontId="33" fillId="0" borderId="10" xfId="8" applyNumberFormat="1" applyFont="1" applyFill="1" applyBorder="1" applyAlignment="1" applyProtection="1">
      <alignment horizontal="left" vertical="center" wrapText="1"/>
      <protection locked="0"/>
    </xf>
    <xf numFmtId="166" fontId="32" fillId="0" borderId="0" xfId="8" applyNumberFormat="1" applyFont="1" applyFill="1" applyAlignment="1">
      <alignment horizontal="center" vertical="center"/>
    </xf>
    <xf numFmtId="166" fontId="35" fillId="0" borderId="0" xfId="8" applyNumberFormat="1" applyFont="1" applyFill="1" applyAlignment="1">
      <alignment horizontal="left" vertical="center"/>
    </xf>
    <xf numFmtId="166" fontId="35" fillId="0" borderId="10" xfId="8" applyNumberFormat="1" applyFont="1" applyFill="1" applyBorder="1" applyAlignment="1">
      <alignment horizontal="left" vertical="center"/>
    </xf>
    <xf numFmtId="166" fontId="35" fillId="0" borderId="10" xfId="8" applyNumberFormat="1" applyFont="1" applyFill="1" applyBorder="1" applyAlignment="1" applyProtection="1">
      <alignment horizontal="left" vertical="center" wrapText="1"/>
      <protection locked="0"/>
    </xf>
    <xf numFmtId="166" fontId="35" fillId="0" borderId="10" xfId="8" applyNumberFormat="1" applyFont="1" applyFill="1" applyBorder="1" applyAlignment="1">
      <alignment horizontal="left" vertical="center" wrapText="1"/>
    </xf>
    <xf numFmtId="9" fontId="35" fillId="0" borderId="10" xfId="10" applyFont="1" applyFill="1" applyBorder="1" applyAlignment="1">
      <alignment horizontal="center" vertical="center" wrapText="1"/>
    </xf>
    <xf numFmtId="164" fontId="35" fillId="0" borderId="10" xfId="8" applyFont="1" applyFill="1" applyBorder="1" applyAlignment="1">
      <alignment horizontal="left" vertical="center" wrapText="1"/>
    </xf>
    <xf numFmtId="49" fontId="44" fillId="0" borderId="0" xfId="11" applyNumberFormat="1" applyFont="1" applyAlignment="1">
      <alignment horizontal="center" vertical="center"/>
    </xf>
    <xf numFmtId="49" fontId="45" fillId="0" borderId="0" xfId="11" applyNumberFormat="1" applyFont="1" applyAlignment="1">
      <alignment horizontal="left" vertical="center"/>
    </xf>
    <xf numFmtId="166" fontId="44" fillId="0" borderId="43" xfId="8" applyNumberFormat="1" applyFont="1" applyFill="1" applyBorder="1" applyAlignment="1">
      <alignment horizontal="left" vertical="center"/>
    </xf>
    <xf numFmtId="166" fontId="46" fillId="0" borderId="43" xfId="8" applyNumberFormat="1" applyFont="1" applyFill="1" applyBorder="1" applyAlignment="1">
      <alignment horizontal="left" vertical="center" wrapText="1"/>
    </xf>
    <xf numFmtId="166" fontId="45" fillId="0" borderId="43"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166" fontId="33" fillId="0" borderId="38" xfId="8" applyNumberFormat="1" applyFont="1" applyFill="1" applyBorder="1" applyAlignment="1">
      <alignment horizontal="left" vertical="center" wrapText="1"/>
    </xf>
    <xf numFmtId="0" fontId="30" fillId="0" borderId="0" xfId="11" applyFont="1" applyAlignment="1">
      <alignment horizontal="center" vertical="center"/>
    </xf>
    <xf numFmtId="166" fontId="35" fillId="0" borderId="25" xfId="8" applyNumberFormat="1" applyFont="1" applyFill="1" applyBorder="1" applyAlignment="1">
      <alignment horizontal="center" vertical="center" wrapText="1"/>
    </xf>
    <xf numFmtId="166" fontId="35" fillId="0" borderId="25" xfId="8" applyNumberFormat="1" applyFont="1" applyFill="1" applyBorder="1" applyAlignment="1">
      <alignment horizontal="center" wrapText="1"/>
    </xf>
    <xf numFmtId="166" fontId="35" fillId="0" borderId="24" xfId="8" applyNumberFormat="1" applyFont="1" applyFill="1" applyBorder="1" applyAlignment="1">
      <alignment horizontal="center" vertical="center" wrapText="1"/>
    </xf>
    <xf numFmtId="166" fontId="32" fillId="0" borderId="9" xfId="8" applyNumberFormat="1" applyFont="1" applyFill="1" applyBorder="1" applyAlignment="1">
      <alignment horizontal="left" vertical="center"/>
    </xf>
    <xf numFmtId="166" fontId="35" fillId="0" borderId="0" xfId="8" applyNumberFormat="1" applyFont="1" applyFill="1" applyBorder="1" applyAlignment="1">
      <alignment horizontal="left" vertical="center"/>
    </xf>
    <xf numFmtId="166" fontId="33" fillId="0" borderId="0" xfId="8" applyNumberFormat="1" applyFont="1" applyFill="1" applyBorder="1" applyAlignment="1">
      <alignment horizontal="left" vertical="center"/>
    </xf>
    <xf numFmtId="166" fontId="35" fillId="0" borderId="13" xfId="8" applyNumberFormat="1" applyFont="1" applyFill="1" applyBorder="1" applyAlignment="1">
      <alignment horizontal="left" vertical="center" indent="5"/>
    </xf>
    <xf numFmtId="166" fontId="35" fillId="0" borderId="14" xfId="8" applyNumberFormat="1" applyFont="1" applyFill="1" applyBorder="1" applyAlignment="1">
      <alignment horizontal="left" vertical="center"/>
    </xf>
    <xf numFmtId="166" fontId="35" fillId="0" borderId="0" xfId="8" applyNumberFormat="1" applyFont="1" applyFill="1" applyBorder="1" applyAlignment="1">
      <alignment horizontal="left" vertical="center" indent="1"/>
    </xf>
    <xf numFmtId="166" fontId="35" fillId="0" borderId="8" xfId="8" applyNumberFormat="1" applyFont="1" applyFill="1" applyBorder="1" applyAlignment="1">
      <alignment horizontal="left" vertical="center" indent="5"/>
    </xf>
    <xf numFmtId="166" fontId="35" fillId="0" borderId="0" xfId="8" applyNumberFormat="1" applyFont="1" applyFill="1" applyBorder="1" applyAlignment="1">
      <alignment horizontal="left" indent="3"/>
    </xf>
    <xf numFmtId="166" fontId="35" fillId="0" borderId="13" xfId="8" applyNumberFormat="1" applyFont="1" applyFill="1" applyBorder="1" applyAlignment="1">
      <alignment horizontal="left" indent="1"/>
    </xf>
    <xf numFmtId="166" fontId="33" fillId="0" borderId="0" xfId="8" applyNumberFormat="1" applyFont="1" applyFill="1" applyAlignment="1">
      <alignment horizontal="left" vertical="center"/>
    </xf>
    <xf numFmtId="166" fontId="32" fillId="0" borderId="3" xfId="8" applyNumberFormat="1" applyFont="1" applyFill="1" applyBorder="1" applyAlignment="1">
      <alignment horizontal="left" vertical="center"/>
    </xf>
    <xf numFmtId="166" fontId="35" fillId="0" borderId="37" xfId="8" applyNumberFormat="1" applyFont="1" applyFill="1" applyBorder="1" applyAlignment="1">
      <alignment horizontal="left" vertical="center"/>
    </xf>
    <xf numFmtId="166" fontId="35" fillId="0" borderId="36" xfId="8" applyNumberFormat="1" applyFont="1" applyFill="1" applyBorder="1" applyAlignment="1">
      <alignment horizontal="left" indent="1"/>
    </xf>
    <xf numFmtId="166" fontId="33" fillId="0" borderId="21" xfId="8" applyNumberFormat="1" applyFont="1" applyFill="1" applyBorder="1" applyAlignment="1">
      <alignment horizontal="left" vertical="center"/>
    </xf>
    <xf numFmtId="166" fontId="35" fillId="0" borderId="37" xfId="8" applyNumberFormat="1" applyFont="1" applyFill="1" applyBorder="1" applyAlignment="1">
      <alignment horizontal="left" vertical="center" indent="1"/>
    </xf>
    <xf numFmtId="166" fontId="35" fillId="0" borderId="2" xfId="8" applyNumberFormat="1" applyFont="1" applyFill="1" applyBorder="1" applyAlignment="1">
      <alignment horizontal="left" vertical="center" indent="2"/>
    </xf>
    <xf numFmtId="166" fontId="33" fillId="11" borderId="10" xfId="8" applyNumberFormat="1" applyFont="1" applyFill="1" applyBorder="1" applyAlignment="1">
      <alignment horizontal="left" vertical="center" wrapText="1"/>
    </xf>
    <xf numFmtId="166" fontId="33" fillId="11" borderId="10" xfId="8" applyNumberFormat="1" applyFont="1" applyFill="1" applyBorder="1" applyAlignment="1" applyProtection="1">
      <alignment horizontal="left" vertical="center" wrapText="1"/>
      <protection locked="0"/>
    </xf>
    <xf numFmtId="166" fontId="33" fillId="11" borderId="10" xfId="8" applyNumberFormat="1" applyFont="1" applyFill="1" applyBorder="1" applyAlignment="1">
      <alignment horizontal="left" vertical="center"/>
    </xf>
    <xf numFmtId="164" fontId="30" fillId="11" borderId="10" xfId="8" applyFont="1" applyFill="1" applyBorder="1" applyAlignment="1" applyProtection="1">
      <alignment horizontal="left" vertical="center"/>
    </xf>
    <xf numFmtId="164" fontId="33" fillId="11" borderId="10" xfId="8" applyFont="1" applyFill="1" applyBorder="1" applyAlignment="1">
      <alignment horizontal="left" vertical="center" wrapText="1"/>
    </xf>
    <xf numFmtId="9" fontId="33" fillId="11" borderId="10" xfId="10" applyFont="1" applyFill="1" applyBorder="1" applyAlignment="1">
      <alignment horizontal="center" vertical="center" wrapText="1"/>
    </xf>
    <xf numFmtId="49" fontId="30" fillId="11" borderId="0" xfId="11" applyNumberFormat="1" applyFont="1" applyFill="1" applyAlignment="1">
      <alignment horizontal="center" vertical="center"/>
    </xf>
    <xf numFmtId="49" fontId="33" fillId="11" borderId="0" xfId="11" applyNumberFormat="1" applyFont="1" applyFill="1" applyAlignment="1">
      <alignment horizontal="left" vertical="center"/>
    </xf>
    <xf numFmtId="49" fontId="13" fillId="0" borderId="0" xfId="11" applyNumberFormat="1" applyFont="1" applyAlignment="1">
      <alignment horizontal="left" vertical="center" wrapText="1"/>
    </xf>
    <xf numFmtId="49" fontId="21" fillId="0" borderId="0" xfId="11" applyNumberFormat="1" applyFont="1" applyAlignment="1">
      <alignment horizontal="left" vertical="center" wrapText="1"/>
    </xf>
    <xf numFmtId="3" fontId="35" fillId="0" borderId="0" xfId="8" applyNumberFormat="1" applyFont="1" applyBorder="1" applyAlignment="1" applyProtection="1">
      <alignment horizontal="right" vertical="center" wrapText="1"/>
      <protection locked="0"/>
    </xf>
    <xf numFmtId="0" fontId="33" fillId="0" borderId="0" xfId="11" applyFont="1" applyAlignment="1">
      <alignment horizontal="right" vertical="center" wrapText="1"/>
    </xf>
    <xf numFmtId="3" fontId="35" fillId="0" borderId="0" xfId="8" applyNumberFormat="1" applyFont="1" applyBorder="1" applyAlignment="1" applyProtection="1">
      <alignment horizontal="center" vertical="center" wrapText="1"/>
      <protection locked="0"/>
    </xf>
    <xf numFmtId="2" fontId="21" fillId="0" borderId="0" xfId="8" applyNumberFormat="1" applyFont="1" applyBorder="1" applyAlignment="1">
      <alignment horizontal="center" vertical="center" wrapText="1"/>
    </xf>
    <xf numFmtId="166" fontId="35" fillId="0" borderId="0" xfId="8" applyNumberFormat="1" applyFont="1" applyBorder="1" applyAlignment="1" applyProtection="1">
      <alignment horizontal="center" vertical="center" wrapText="1"/>
      <protection locked="0"/>
    </xf>
    <xf numFmtId="49" fontId="13" fillId="0" borderId="10" xfId="11" applyNumberFormat="1" applyFont="1" applyBorder="1" applyAlignment="1">
      <alignment vertical="center" wrapText="1"/>
    </xf>
    <xf numFmtId="49" fontId="21" fillId="0" borderId="10" xfId="11" applyNumberFormat="1" applyFont="1" applyBorder="1" applyAlignment="1">
      <alignment horizontal="left" vertical="center" wrapText="1"/>
    </xf>
    <xf numFmtId="164" fontId="15" fillId="0" borderId="10" xfId="8" applyFont="1" applyFill="1" applyBorder="1" applyAlignment="1" applyProtection="1">
      <alignment vertical="center"/>
    </xf>
    <xf numFmtId="49" fontId="21" fillId="9" borderId="10" xfId="11" applyNumberFormat="1" applyFont="1" applyFill="1" applyBorder="1" applyAlignment="1">
      <alignment horizontal="left" vertical="center" wrapText="1"/>
    </xf>
    <xf numFmtId="49" fontId="33" fillId="0" borderId="10" xfId="11" applyNumberFormat="1" applyFont="1" applyBorder="1" applyAlignment="1">
      <alignment vertical="center" wrapText="1"/>
    </xf>
    <xf numFmtId="49" fontId="50" fillId="9" borderId="10" xfId="11" applyNumberFormat="1" applyFont="1" applyFill="1" applyBorder="1" applyAlignment="1">
      <alignment horizontal="left" vertical="center" wrapText="1"/>
    </xf>
    <xf numFmtId="49" fontId="27" fillId="0" borderId="0" xfId="11" applyNumberFormat="1" applyFont="1" applyAlignment="1">
      <alignment horizontal="center" vertical="center"/>
    </xf>
    <xf numFmtId="49" fontId="51" fillId="0" borderId="0" xfId="11" applyNumberFormat="1" applyFont="1" applyAlignment="1">
      <alignment horizontal="left" vertical="center"/>
    </xf>
    <xf numFmtId="49" fontId="52" fillId="10" borderId="43" xfId="11" applyNumberFormat="1" applyFont="1" applyFill="1" applyBorder="1" applyAlignment="1">
      <alignment vertical="center"/>
    </xf>
    <xf numFmtId="166" fontId="46" fillId="10" borderId="43" xfId="8" applyNumberFormat="1" applyFont="1" applyFill="1" applyBorder="1" applyAlignment="1">
      <alignment horizontal="right" vertical="center" wrapText="1"/>
    </xf>
    <xf numFmtId="49" fontId="53" fillId="10" borderId="43" xfId="11" applyNumberFormat="1" applyFont="1" applyFill="1" applyBorder="1" applyAlignment="1">
      <alignment horizontal="left" vertical="center" wrapText="1"/>
    </xf>
    <xf numFmtId="49" fontId="28" fillId="10" borderId="43" xfId="11" applyNumberFormat="1" applyFont="1" applyFill="1" applyBorder="1" applyAlignment="1">
      <alignment horizontal="left" vertical="center" wrapText="1"/>
    </xf>
    <xf numFmtId="0" fontId="22" fillId="0" borderId="0" xfId="11" applyFont="1" applyAlignment="1">
      <alignment horizontal="left" vertical="center" indent="1"/>
    </xf>
    <xf numFmtId="0" fontId="22" fillId="0" borderId="37" xfId="11" applyFont="1" applyBorder="1" applyAlignment="1">
      <alignment horizontal="left" vertical="center" indent="1"/>
    </xf>
    <xf numFmtId="49" fontId="13" fillId="11" borderId="10" xfId="11" applyNumberFormat="1" applyFont="1" applyFill="1" applyBorder="1" applyAlignment="1">
      <alignment vertical="center" wrapText="1"/>
    </xf>
    <xf numFmtId="49" fontId="21" fillId="11" borderId="10" xfId="11" applyNumberFormat="1" applyFont="1" applyFill="1" applyBorder="1" applyAlignment="1">
      <alignment horizontal="left" vertical="center" wrapText="1"/>
    </xf>
    <xf numFmtId="164" fontId="15" fillId="11" borderId="10" xfId="8" applyFont="1" applyFill="1" applyBorder="1" applyAlignment="1" applyProtection="1">
      <alignment vertical="center"/>
    </xf>
    <xf numFmtId="49" fontId="13" fillId="11" borderId="10" xfId="11" applyNumberFormat="1" applyFont="1" applyFill="1" applyBorder="1" applyAlignment="1">
      <alignment vertical="center"/>
    </xf>
    <xf numFmtId="3" fontId="15" fillId="0" borderId="0" xfId="11" applyNumberFormat="1" applyFont="1" applyAlignment="1">
      <alignment horizontal="left" vertical="center" indent="1"/>
    </xf>
    <xf numFmtId="49" fontId="13" fillId="0" borderId="0" xfId="11" applyNumberFormat="1" applyFont="1" applyAlignment="1">
      <alignment horizontal="center" vertical="center"/>
    </xf>
    <xf numFmtId="49" fontId="13" fillId="0" borderId="1" xfId="11" applyNumberFormat="1" applyFont="1" applyBorder="1" applyAlignment="1">
      <alignment horizontal="center" vertical="center"/>
    </xf>
    <xf numFmtId="164" fontId="13" fillId="0" borderId="1" xfId="8" applyFont="1" applyFill="1" applyBorder="1" applyAlignment="1">
      <alignment vertical="center"/>
    </xf>
    <xf numFmtId="164" fontId="13" fillId="0" borderId="1" xfId="8" applyFont="1" applyFill="1" applyBorder="1" applyAlignment="1" applyProtection="1">
      <alignment horizontal="right" vertical="center" wrapText="1"/>
      <protection locked="0"/>
    </xf>
    <xf numFmtId="164" fontId="13" fillId="0" borderId="1" xfId="8" applyFont="1" applyFill="1" applyBorder="1" applyAlignment="1">
      <alignment vertical="center" wrapText="1"/>
    </xf>
    <xf numFmtId="9" fontId="13" fillId="3" borderId="1" xfId="10" applyFont="1" applyFill="1" applyBorder="1" applyAlignment="1">
      <alignment vertical="center" wrapText="1"/>
    </xf>
    <xf numFmtId="164" fontId="13" fillId="0" borderId="1" xfId="8" applyFont="1" applyFill="1" applyBorder="1" applyAlignment="1">
      <alignment horizontal="right" vertical="center"/>
    </xf>
    <xf numFmtId="9" fontId="13" fillId="0" borderId="1" xfId="11" applyNumberFormat="1" applyFont="1" applyBorder="1" applyAlignment="1">
      <alignment vertical="center" wrapText="1"/>
    </xf>
    <xf numFmtId="2" fontId="13" fillId="0" borderId="1" xfId="11" applyNumberFormat="1" applyFont="1" applyBorder="1" applyAlignment="1">
      <alignment vertical="center" wrapText="1"/>
    </xf>
    <xf numFmtId="164" fontId="13" fillId="0" borderId="1" xfId="8" applyFont="1" applyFill="1" applyBorder="1" applyAlignment="1" applyProtection="1">
      <alignment vertical="center"/>
    </xf>
    <xf numFmtId="49" fontId="33" fillId="0" borderId="0" xfId="11" applyNumberFormat="1" applyFont="1" applyAlignment="1">
      <alignment horizontal="center" vertical="center"/>
    </xf>
    <xf numFmtId="0" fontId="33" fillId="0" borderId="0" xfId="11" applyFont="1" applyAlignment="1">
      <alignment horizontal="center" vertical="center"/>
    </xf>
    <xf numFmtId="49" fontId="13" fillId="0" borderId="1" xfId="11" applyNumberFormat="1" applyFont="1" applyBorder="1" applyAlignment="1">
      <alignment vertical="center" wrapText="1"/>
    </xf>
    <xf numFmtId="164" fontId="13" fillId="0" borderId="1" xfId="11" applyNumberFormat="1" applyFont="1" applyBorder="1" applyAlignment="1">
      <alignment horizontal="center" vertical="center" wrapText="1"/>
    </xf>
    <xf numFmtId="166" fontId="13" fillId="0" borderId="1" xfId="8" applyNumberFormat="1" applyFont="1" applyFill="1" applyBorder="1" applyAlignment="1">
      <alignment horizontal="center" vertical="center" wrapText="1"/>
    </xf>
    <xf numFmtId="3" fontId="13" fillId="0" borderId="1" xfId="11" applyNumberFormat="1" applyFont="1" applyBorder="1" applyAlignment="1" applyProtection="1">
      <alignment vertical="center" wrapText="1"/>
      <protection locked="0"/>
    </xf>
    <xf numFmtId="49" fontId="33" fillId="0" borderId="1" xfId="11" applyNumberFormat="1" applyFont="1" applyBorder="1" applyAlignment="1">
      <alignment vertical="center" wrapText="1"/>
    </xf>
    <xf numFmtId="0" fontId="13" fillId="0" borderId="0" xfId="11" applyFont="1" applyAlignment="1">
      <alignment horizontal="center" vertical="center"/>
    </xf>
    <xf numFmtId="39" fontId="13" fillId="0" borderId="1" xfId="0" applyNumberFormat="1" applyFont="1" applyBorder="1" applyAlignment="1">
      <alignment horizontal="right" vertical="center"/>
    </xf>
    <xf numFmtId="0" fontId="21" fillId="0" borderId="0" xfId="11" applyFont="1" applyAlignment="1">
      <alignment horizontal="center" vertical="center"/>
    </xf>
    <xf numFmtId="166" fontId="13" fillId="0" borderId="1" xfId="11" applyNumberFormat="1" applyFont="1" applyBorder="1" applyAlignment="1">
      <alignment horizontal="center" vertical="center" wrapText="1"/>
    </xf>
    <xf numFmtId="49" fontId="55" fillId="3" borderId="0" xfId="11" applyNumberFormat="1" applyFont="1" applyFill="1" applyAlignment="1">
      <alignment horizontal="center" vertical="center"/>
    </xf>
    <xf numFmtId="49" fontId="55" fillId="12" borderId="1" xfId="11" applyNumberFormat="1" applyFont="1" applyFill="1" applyBorder="1" applyAlignment="1">
      <alignment horizontal="center" vertical="center"/>
    </xf>
    <xf numFmtId="164" fontId="55" fillId="12" borderId="1" xfId="8" applyFont="1" applyFill="1" applyBorder="1" applyAlignment="1">
      <alignment vertical="center"/>
    </xf>
    <xf numFmtId="164" fontId="55" fillId="12" borderId="1" xfId="8" applyFont="1" applyFill="1" applyBorder="1" applyAlignment="1">
      <alignment horizontal="center" vertical="center" wrapText="1"/>
    </xf>
    <xf numFmtId="9" fontId="55" fillId="12" borderId="1" xfId="8" applyNumberFormat="1" applyFont="1" applyFill="1" applyBorder="1" applyAlignment="1">
      <alignment vertical="center" wrapText="1"/>
    </xf>
    <xf numFmtId="164" fontId="55" fillId="12" borderId="1" xfId="8" applyFont="1" applyFill="1" applyBorder="1" applyAlignment="1">
      <alignment vertical="center" wrapText="1"/>
    </xf>
    <xf numFmtId="49" fontId="55" fillId="12" borderId="1" xfId="11" applyNumberFormat="1" applyFont="1" applyFill="1" applyBorder="1" applyAlignment="1">
      <alignment horizontal="left" vertical="center" wrapText="1"/>
    </xf>
    <xf numFmtId="164" fontId="13" fillId="0" borderId="1" xfId="0" applyNumberFormat="1" applyFont="1" applyBorder="1" applyAlignment="1">
      <alignment horizontal="right" vertical="center"/>
    </xf>
    <xf numFmtId="3" fontId="13" fillId="0" borderId="1" xfId="11" applyNumberFormat="1" applyFont="1" applyBorder="1" applyAlignment="1">
      <alignment horizontal="center" vertical="center" wrapText="1"/>
    </xf>
    <xf numFmtId="4" fontId="13" fillId="0" borderId="1" xfId="8" applyNumberFormat="1" applyFont="1" applyFill="1" applyBorder="1" applyAlignment="1">
      <alignment horizontal="right" vertical="center"/>
    </xf>
    <xf numFmtId="166" fontId="13" fillId="0" borderId="1" xfId="8" applyNumberFormat="1" applyFont="1" applyFill="1" applyBorder="1" applyAlignment="1">
      <alignment horizontal="center" vertical="center"/>
    </xf>
    <xf numFmtId="166" fontId="13" fillId="0" borderId="1" xfId="11" applyNumberFormat="1" applyFont="1" applyBorder="1" applyAlignment="1">
      <alignment horizontal="left" vertical="center" wrapText="1"/>
    </xf>
    <xf numFmtId="49" fontId="33" fillId="0" borderId="1" xfId="11" applyNumberFormat="1" applyFont="1" applyBorder="1" applyAlignment="1">
      <alignment horizontal="left" vertical="center" wrapText="1"/>
    </xf>
    <xf numFmtId="166" fontId="13" fillId="0" borderId="1" xfId="8" applyNumberFormat="1" applyFont="1" applyFill="1" applyBorder="1" applyAlignment="1">
      <alignment horizontal="left" vertical="center" wrapText="1"/>
    </xf>
    <xf numFmtId="2" fontId="13" fillId="0" borderId="1" xfId="11" applyNumberFormat="1" applyFont="1" applyBorder="1" applyAlignment="1">
      <alignment horizontal="center" vertical="center" wrapText="1"/>
    </xf>
    <xf numFmtId="49" fontId="15" fillId="0" borderId="0" xfId="11" applyNumberFormat="1" applyFont="1" applyAlignment="1">
      <alignment horizontal="left" vertical="center"/>
    </xf>
    <xf numFmtId="164" fontId="15" fillId="0" borderId="1" xfId="8" applyFont="1" applyFill="1" applyBorder="1" applyAlignment="1">
      <alignment vertical="center"/>
    </xf>
    <xf numFmtId="164" fontId="15" fillId="0" borderId="1" xfId="8" applyFont="1" applyFill="1" applyBorder="1" applyAlignment="1" applyProtection="1">
      <alignment vertical="center"/>
    </xf>
    <xf numFmtId="49" fontId="15" fillId="0" borderId="1" xfId="11" applyNumberFormat="1" applyFont="1" applyBorder="1" applyAlignment="1">
      <alignment horizontal="center" vertical="center"/>
    </xf>
    <xf numFmtId="166" fontId="13" fillId="0" borderId="1" xfId="8" applyNumberFormat="1" applyFont="1" applyFill="1" applyBorder="1" applyAlignment="1">
      <alignment vertical="center" wrapText="1"/>
    </xf>
    <xf numFmtId="49" fontId="39" fillId="0" borderId="0" xfId="11" applyNumberFormat="1" applyFont="1" applyAlignment="1">
      <alignment horizontal="center" vertical="center"/>
    </xf>
    <xf numFmtId="49" fontId="39" fillId="0" borderId="0" xfId="11" applyNumberFormat="1" applyFont="1" applyAlignment="1">
      <alignment horizontal="left" vertical="center"/>
    </xf>
    <xf numFmtId="0" fontId="39" fillId="0" borderId="0" xfId="11" applyFont="1" applyAlignment="1">
      <alignment horizontal="center" vertical="center"/>
    </xf>
    <xf numFmtId="43" fontId="56" fillId="0" borderId="0" xfId="11" applyNumberFormat="1" applyFont="1" applyAlignment="1">
      <alignment horizontal="center" vertical="center"/>
    </xf>
    <xf numFmtId="166" fontId="55" fillId="12" borderId="1" xfId="8" applyNumberFormat="1" applyFont="1" applyFill="1" applyBorder="1" applyAlignment="1">
      <alignment vertical="center" wrapText="1"/>
    </xf>
    <xf numFmtId="49" fontId="13" fillId="3" borderId="0" xfId="11" applyNumberFormat="1" applyFont="1" applyFill="1" applyAlignment="1">
      <alignment horizontal="center" vertical="center"/>
    </xf>
    <xf numFmtId="49" fontId="13" fillId="3" borderId="1" xfId="11" applyNumberFormat="1" applyFont="1" applyFill="1" applyBorder="1" applyAlignment="1">
      <alignment horizontal="center" vertical="center"/>
    </xf>
    <xf numFmtId="164" fontId="13" fillId="3" borderId="1" xfId="8" applyFont="1" applyFill="1" applyBorder="1" applyAlignment="1" applyProtection="1">
      <alignment horizontal="right" vertical="center" wrapText="1"/>
      <protection locked="0"/>
    </xf>
    <xf numFmtId="164" fontId="13" fillId="0" borderId="1" xfId="8" applyFont="1" applyBorder="1" applyAlignment="1">
      <alignment vertical="center"/>
    </xf>
    <xf numFmtId="164" fontId="13" fillId="3" borderId="1" xfId="8" applyFont="1" applyFill="1" applyBorder="1" applyAlignment="1">
      <alignment vertical="center" wrapText="1"/>
    </xf>
    <xf numFmtId="0" fontId="13" fillId="0" borderId="1" xfId="11" applyFont="1" applyBorder="1" applyAlignment="1">
      <alignment horizontal="right" vertical="center" wrapText="1"/>
    </xf>
    <xf numFmtId="3" fontId="13" fillId="0" borderId="1" xfId="8" applyNumberFormat="1" applyFont="1" applyFill="1" applyBorder="1" applyAlignment="1" applyProtection="1">
      <alignment horizontal="right" vertical="center" wrapText="1"/>
      <protection locked="0"/>
    </xf>
    <xf numFmtId="164" fontId="33" fillId="0" borderId="1" xfId="8" applyFont="1" applyFill="1" applyBorder="1" applyAlignment="1">
      <alignment horizontal="right" vertical="center"/>
    </xf>
    <xf numFmtId="164" fontId="22" fillId="0" borderId="1" xfId="8" applyFont="1" applyFill="1" applyBorder="1" applyAlignment="1">
      <alignment vertical="center" wrapText="1"/>
    </xf>
    <xf numFmtId="49" fontId="13" fillId="0" borderId="1" xfId="11" applyNumberFormat="1" applyFont="1" applyBorder="1" applyAlignment="1">
      <alignment vertical="center"/>
    </xf>
    <xf numFmtId="2" fontId="13" fillId="0" borderId="1" xfId="8" applyNumberFormat="1" applyFont="1" applyFill="1" applyBorder="1" applyAlignment="1">
      <alignment vertical="center" wrapText="1"/>
    </xf>
    <xf numFmtId="166" fontId="22"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center" vertical="center" wrapText="1"/>
      <protection locked="0"/>
    </xf>
    <xf numFmtId="3" fontId="22" fillId="0" borderId="1" xfId="8" applyNumberFormat="1" applyFont="1" applyFill="1" applyBorder="1" applyAlignment="1" applyProtection="1">
      <alignment horizontal="right" vertical="center" wrapText="1"/>
      <protection locked="0"/>
    </xf>
    <xf numFmtId="3" fontId="13" fillId="0" borderId="1" xfId="8" applyNumberFormat="1" applyFont="1" applyFill="1" applyBorder="1" applyAlignment="1" applyProtection="1">
      <alignment vertical="center" wrapText="1"/>
      <protection locked="0"/>
    </xf>
    <xf numFmtId="164" fontId="22" fillId="0" borderId="1" xfId="8" applyFont="1" applyFill="1" applyBorder="1" applyAlignment="1" applyProtection="1">
      <alignment horizontal="right" vertical="center" wrapText="1"/>
      <protection locked="0"/>
    </xf>
    <xf numFmtId="43" fontId="13" fillId="0" borderId="0" xfId="11" applyNumberFormat="1" applyFont="1" applyAlignment="1">
      <alignment horizontal="center" vertical="center"/>
    </xf>
    <xf numFmtId="2" fontId="13" fillId="0" borderId="1" xfId="11" applyNumberFormat="1" applyFont="1" applyBorder="1" applyAlignment="1">
      <alignment horizontal="right" vertical="center" wrapText="1"/>
    </xf>
    <xf numFmtId="2" fontId="13" fillId="0" borderId="1" xfId="8" applyNumberFormat="1" applyFont="1" applyFill="1" applyBorder="1" applyAlignment="1">
      <alignment horizontal="center" vertical="center" wrapText="1"/>
    </xf>
    <xf numFmtId="166" fontId="13" fillId="0" borderId="1" xfId="8" applyNumberFormat="1" applyFont="1" applyFill="1" applyBorder="1" applyAlignment="1">
      <alignment horizontal="right" vertical="center" wrapText="1"/>
    </xf>
    <xf numFmtId="9" fontId="13" fillId="0" borderId="1" xfId="10" applyFont="1" applyFill="1" applyBorder="1" applyAlignment="1">
      <alignment vertical="center" wrapText="1"/>
    </xf>
    <xf numFmtId="166" fontId="13" fillId="0" borderId="1" xfId="11" applyNumberFormat="1" applyFont="1" applyBorder="1" applyAlignment="1" applyProtection="1">
      <alignment vertical="center" wrapText="1"/>
      <protection locked="0"/>
    </xf>
    <xf numFmtId="164" fontId="33" fillId="0" borderId="0" xfId="8" applyFont="1" applyFill="1" applyAlignment="1">
      <alignment horizontal="center" vertical="center"/>
    </xf>
    <xf numFmtId="3" fontId="13" fillId="0" borderId="1" xfId="8" applyNumberFormat="1" applyFont="1" applyFill="1" applyBorder="1" applyAlignment="1">
      <alignment horizontal="right" vertical="center"/>
    </xf>
    <xf numFmtId="164" fontId="13" fillId="3" borderId="1" xfId="1" applyFont="1" applyFill="1" applyBorder="1" applyAlignment="1">
      <alignment horizontal="right" vertical="center" wrapText="1"/>
    </xf>
    <xf numFmtId="164" fontId="33" fillId="0" borderId="1" xfId="8" applyFont="1" applyFill="1" applyBorder="1" applyAlignment="1">
      <alignment vertical="center" wrapText="1"/>
    </xf>
    <xf numFmtId="49" fontId="19" fillId="10" borderId="1" xfId="11" applyNumberFormat="1" applyFont="1" applyFill="1" applyBorder="1" applyAlignment="1">
      <alignment horizontal="center" vertical="center"/>
    </xf>
    <xf numFmtId="164" fontId="19" fillId="10" borderId="1" xfId="8" applyFont="1" applyFill="1" applyBorder="1" applyAlignment="1">
      <alignment vertical="center"/>
    </xf>
    <xf numFmtId="164" fontId="19" fillId="10" borderId="1" xfId="8" applyFont="1" applyFill="1" applyBorder="1" applyAlignment="1">
      <alignment horizontal="center" vertical="center" wrapText="1"/>
    </xf>
    <xf numFmtId="9" fontId="19" fillId="10" borderId="1" xfId="8" applyNumberFormat="1" applyFont="1" applyFill="1" applyBorder="1" applyAlignment="1">
      <alignment vertical="center" wrapText="1"/>
    </xf>
    <xf numFmtId="164" fontId="19" fillId="10" borderId="1" xfId="8" applyFont="1" applyFill="1" applyBorder="1" applyAlignment="1">
      <alignment vertical="center" wrapText="1"/>
    </xf>
    <xf numFmtId="166" fontId="19" fillId="10" borderId="1" xfId="8" applyNumberFormat="1" applyFont="1" applyFill="1" applyBorder="1" applyAlignment="1">
      <alignment vertical="center" wrapText="1"/>
    </xf>
    <xf numFmtId="49" fontId="19" fillId="10" borderId="1" xfId="11" applyNumberFormat="1" applyFont="1" applyFill="1" applyBorder="1" applyAlignment="1">
      <alignment horizontal="left" vertical="center" wrapText="1"/>
    </xf>
    <xf numFmtId="49" fontId="15" fillId="0" borderId="33" xfId="11" applyNumberFormat="1" applyFont="1" applyBorder="1" applyAlignment="1">
      <alignment horizontal="center" vertical="center" wrapText="1"/>
    </xf>
    <xf numFmtId="164" fontId="13" fillId="0" borderId="35" xfId="8" applyFont="1" applyBorder="1" applyAlignment="1">
      <alignment horizontal="center" vertical="center" wrapText="1"/>
    </xf>
    <xf numFmtId="164" fontId="13" fillId="0" borderId="38" xfId="8" applyFont="1" applyBorder="1" applyAlignment="1">
      <alignment horizontal="center" vertical="center" wrapText="1"/>
    </xf>
    <xf numFmtId="3" fontId="13" fillId="0" borderId="38" xfId="11" applyNumberFormat="1" applyFont="1" applyBorder="1" applyAlignment="1">
      <alignment vertical="center" wrapText="1"/>
    </xf>
    <xf numFmtId="49" fontId="13" fillId="0" borderId="45" xfId="11" applyNumberFormat="1" applyFont="1" applyBorder="1" applyAlignment="1">
      <alignment horizontal="center" vertical="center" wrapText="1"/>
    </xf>
    <xf numFmtId="49" fontId="13" fillId="0" borderId="39" xfId="11" applyNumberFormat="1" applyFont="1" applyBorder="1" applyAlignment="1">
      <alignment horizontal="center" vertical="center" wrapText="1"/>
    </xf>
    <xf numFmtId="166" fontId="22" fillId="0" borderId="25" xfId="1" applyNumberFormat="1" applyFont="1" applyBorder="1" applyAlignment="1">
      <alignment horizontal="center" wrapText="1"/>
    </xf>
    <xf numFmtId="0" fontId="22" fillId="0" borderId="40" xfId="11" applyFont="1" applyBorder="1" applyAlignment="1">
      <alignment vertical="center"/>
    </xf>
    <xf numFmtId="164" fontId="22" fillId="0" borderId="41" xfId="8" applyFont="1" applyBorder="1" applyAlignment="1">
      <alignment vertical="center"/>
    </xf>
    <xf numFmtId="3" fontId="22" fillId="0" borderId="40" xfId="11" applyNumberFormat="1" applyFont="1" applyBorder="1" applyAlignment="1">
      <alignment horizontal="center" vertical="center"/>
    </xf>
    <xf numFmtId="3" fontId="22" fillId="0" borderId="40" xfId="11" applyNumberFormat="1" applyFont="1" applyBorder="1" applyAlignment="1">
      <alignment vertical="center"/>
    </xf>
    <xf numFmtId="164" fontId="22" fillId="0" borderId="13" xfId="8" applyFont="1" applyBorder="1" applyAlignment="1">
      <alignment vertical="center"/>
    </xf>
    <xf numFmtId="3" fontId="22" fillId="0" borderId="0" xfId="11" applyNumberFormat="1" applyFont="1" applyAlignment="1">
      <alignment vertical="center"/>
    </xf>
    <xf numFmtId="0" fontId="24" fillId="0" borderId="0" xfId="11" applyFont="1" applyAlignment="1">
      <alignment horizontal="left" indent="3"/>
    </xf>
    <xf numFmtId="0" fontId="22" fillId="0" borderId="0" xfId="11" applyFont="1" applyAlignment="1">
      <alignment horizontal="left" indent="3"/>
    </xf>
    <xf numFmtId="164" fontId="22" fillId="0" borderId="13" xfId="8" applyFont="1" applyBorder="1" applyAlignment="1"/>
    <xf numFmtId="164" fontId="22" fillId="0" borderId="36" xfId="8" applyFont="1" applyBorder="1" applyAlignment="1"/>
    <xf numFmtId="3" fontId="22" fillId="0" borderId="37" xfId="11" applyNumberFormat="1" applyFont="1" applyBorder="1" applyAlignment="1">
      <alignment vertical="center"/>
    </xf>
    <xf numFmtId="49" fontId="33" fillId="11" borderId="1" xfId="11" applyNumberFormat="1" applyFont="1" applyFill="1" applyBorder="1" applyAlignment="1">
      <alignment vertical="center" wrapText="1"/>
    </xf>
    <xf numFmtId="166" fontId="13" fillId="11" borderId="1" xfId="11" applyNumberFormat="1" applyFont="1" applyFill="1" applyBorder="1" applyAlignment="1" applyProtection="1">
      <alignment vertical="center" wrapText="1"/>
      <protection locked="0"/>
    </xf>
    <xf numFmtId="49" fontId="13" fillId="11" borderId="1" xfId="11" applyNumberFormat="1" applyFont="1" applyFill="1" applyBorder="1" applyAlignment="1">
      <alignment horizontal="center" vertical="center" wrapText="1"/>
    </xf>
    <xf numFmtId="164" fontId="13" fillId="11" borderId="1" xfId="8" applyFont="1" applyFill="1" applyBorder="1" applyAlignment="1">
      <alignment vertical="center" wrapText="1"/>
    </xf>
    <xf numFmtId="164" fontId="13" fillId="11" borderId="1" xfId="8" applyFont="1" applyFill="1" applyBorder="1" applyAlignment="1">
      <alignment vertical="center"/>
    </xf>
    <xf numFmtId="9" fontId="13" fillId="11" borderId="1" xfId="11" applyNumberFormat="1" applyFont="1" applyFill="1" applyBorder="1" applyAlignment="1">
      <alignment vertical="center" wrapText="1"/>
    </xf>
    <xf numFmtId="164" fontId="13" fillId="11" borderId="1" xfId="8" applyFont="1" applyFill="1" applyBorder="1" applyAlignment="1">
      <alignment horizontal="right" vertical="center"/>
    </xf>
    <xf numFmtId="49" fontId="13" fillId="11" borderId="1" xfId="11" applyNumberFormat="1" applyFont="1" applyFill="1" applyBorder="1" applyAlignment="1">
      <alignment vertical="center" wrapText="1"/>
    </xf>
    <xf numFmtId="0" fontId="33" fillId="11" borderId="0" xfId="11" applyFont="1" applyFill="1" applyAlignment="1">
      <alignment horizontal="center" vertical="center"/>
    </xf>
    <xf numFmtId="49" fontId="33" fillId="11" borderId="0" xfId="11" applyNumberFormat="1" applyFont="1" applyFill="1" applyAlignment="1">
      <alignment horizontal="center" vertical="center"/>
    </xf>
    <xf numFmtId="49" fontId="13" fillId="11" borderId="1" xfId="11" applyNumberFormat="1" applyFont="1" applyFill="1" applyBorder="1" applyAlignment="1">
      <alignment horizontal="left" vertical="center" wrapText="1"/>
    </xf>
    <xf numFmtId="166" fontId="13" fillId="11" borderId="1" xfId="8" applyNumberFormat="1" applyFont="1" applyFill="1" applyBorder="1" applyAlignment="1">
      <alignment vertical="center" wrapText="1"/>
    </xf>
    <xf numFmtId="164" fontId="13" fillId="11" borderId="1" xfId="8" applyFont="1" applyFill="1" applyBorder="1" applyAlignment="1">
      <alignment horizontal="center" vertical="center" wrapText="1"/>
    </xf>
    <xf numFmtId="164" fontId="13" fillId="11" borderId="1" xfId="8" applyFont="1" applyFill="1" applyBorder="1" applyAlignment="1" applyProtection="1">
      <alignment horizontal="right" vertical="center" wrapText="1"/>
      <protection locked="0"/>
    </xf>
    <xf numFmtId="49" fontId="13" fillId="11" borderId="1" xfId="11" applyNumberFormat="1" applyFont="1" applyFill="1" applyBorder="1" applyAlignment="1">
      <alignment horizontal="center" vertical="center"/>
    </xf>
    <xf numFmtId="49" fontId="13" fillId="11" borderId="0" xfId="11" applyNumberFormat="1" applyFont="1" applyFill="1" applyAlignment="1">
      <alignment horizontal="center" vertical="center"/>
    </xf>
    <xf numFmtId="49" fontId="33" fillId="11" borderId="1" xfId="11" applyNumberFormat="1" applyFont="1" applyFill="1" applyBorder="1" applyAlignment="1">
      <alignment horizontal="left" vertical="center" wrapText="1"/>
    </xf>
    <xf numFmtId="3" fontId="13" fillId="11" borderId="1" xfId="11" applyNumberFormat="1" applyFont="1" applyFill="1" applyBorder="1" applyAlignment="1" applyProtection="1">
      <alignment vertical="center" wrapText="1"/>
      <protection locked="0"/>
    </xf>
    <xf numFmtId="0" fontId="21" fillId="11" borderId="0" xfId="11" applyFont="1" applyFill="1" applyAlignment="1">
      <alignment horizontal="center" vertical="center"/>
    </xf>
    <xf numFmtId="49" fontId="21" fillId="11" borderId="0" xfId="11" applyNumberFormat="1" applyFont="1" applyFill="1" applyAlignment="1">
      <alignment horizontal="left" vertical="center"/>
    </xf>
    <xf numFmtId="49" fontId="21" fillId="11" borderId="0" xfId="11" applyNumberFormat="1" applyFont="1" applyFill="1" applyAlignment="1">
      <alignment horizontal="center" vertical="center"/>
    </xf>
    <xf numFmtId="0" fontId="39" fillId="11" borderId="0" xfId="11" applyFont="1" applyFill="1" applyAlignment="1">
      <alignment horizontal="center" vertical="center"/>
    </xf>
    <xf numFmtId="49" fontId="39" fillId="11" borderId="0" xfId="11" applyNumberFormat="1" applyFont="1" applyFill="1" applyAlignment="1">
      <alignment horizontal="left" vertical="center"/>
    </xf>
    <xf numFmtId="49" fontId="39" fillId="11" borderId="0" xfId="11" applyNumberFormat="1" applyFont="1" applyFill="1" applyAlignment="1">
      <alignment horizontal="center" vertical="center"/>
    </xf>
    <xf numFmtId="49" fontId="13" fillId="0" borderId="17" xfId="11" applyNumberFormat="1" applyFont="1" applyBorder="1" applyAlignment="1">
      <alignment horizontal="center" vertical="center" wrapText="1"/>
    </xf>
    <xf numFmtId="49" fontId="15" fillId="0" borderId="15" xfId="11" applyNumberFormat="1" applyFont="1" applyBorder="1" applyAlignment="1">
      <alignment horizontal="center" vertical="center" wrapText="1"/>
    </xf>
    <xf numFmtId="164" fontId="16" fillId="0" borderId="0" xfId="8" applyFont="1" applyAlignment="1">
      <alignment vertical="center"/>
    </xf>
    <xf numFmtId="166" fontId="16" fillId="0" borderId="0" xfId="1" applyNumberFormat="1" applyFont="1" applyAlignment="1">
      <alignment horizontal="center" vertical="center"/>
    </xf>
    <xf numFmtId="164" fontId="16" fillId="0" borderId="0" xfId="8" applyFont="1" applyAlignment="1">
      <alignment horizontal="center" vertical="center"/>
    </xf>
    <xf numFmtId="166" fontId="16" fillId="0" borderId="0" xfId="1" applyNumberFormat="1" applyFont="1" applyAlignment="1">
      <alignment vertical="center"/>
    </xf>
    <xf numFmtId="167" fontId="16" fillId="0" borderId="0" xfId="8" applyNumberFormat="1" applyFont="1" applyAlignment="1">
      <alignment horizontal="center" vertical="center"/>
    </xf>
    <xf numFmtId="165" fontId="16" fillId="0" borderId="0" xfId="8" applyNumberFormat="1" applyFont="1" applyAlignment="1">
      <alignment horizontal="center" vertical="center"/>
    </xf>
    <xf numFmtId="9" fontId="13" fillId="0" borderId="1" xfId="10" applyFont="1" applyFill="1" applyBorder="1" applyAlignment="1">
      <alignment horizontal="center" vertical="center" wrapText="1"/>
    </xf>
    <xf numFmtId="0" fontId="14" fillId="0" borderId="16" xfId="0" applyFont="1" applyBorder="1" applyAlignment="1">
      <alignment vertical="center"/>
    </xf>
    <xf numFmtId="49" fontId="25" fillId="3" borderId="1" xfId="11" applyNumberFormat="1" applyFont="1" applyFill="1" applyBorder="1" applyAlignment="1">
      <alignment horizontal="center" vertical="center"/>
    </xf>
    <xf numFmtId="49" fontId="15" fillId="3" borderId="1" xfId="11" applyNumberFormat="1" applyFont="1" applyFill="1" applyBorder="1" applyAlignment="1">
      <alignment horizontal="center" vertical="center"/>
    </xf>
    <xf numFmtId="166" fontId="11" fillId="0" borderId="1" xfId="8" applyNumberFormat="1" applyFont="1" applyFill="1" applyBorder="1" applyAlignment="1">
      <alignment horizontal="left" vertical="center" wrapText="1"/>
    </xf>
    <xf numFmtId="164" fontId="13" fillId="0" borderId="25" xfId="8" applyFont="1" applyBorder="1" applyAlignment="1">
      <alignment horizontal="center" vertical="center" wrapText="1"/>
    </xf>
    <xf numFmtId="164" fontId="13" fillId="0" borderId="0" xfId="8" applyFont="1" applyBorder="1" applyAlignment="1">
      <alignment horizontal="center"/>
    </xf>
    <xf numFmtId="164" fontId="13" fillId="0" borderId="37" xfId="8" applyFont="1" applyBorder="1" applyAlignment="1">
      <alignment horizontal="center" vertical="center"/>
    </xf>
    <xf numFmtId="164" fontId="13" fillId="0" borderId="0" xfId="8" applyFont="1" applyAlignment="1">
      <alignment horizontal="center" vertical="center"/>
    </xf>
    <xf numFmtId="0" fontId="33" fillId="0" borderId="0" xfId="0" applyFont="1" applyAlignment="1">
      <alignment vertical="center"/>
    </xf>
    <xf numFmtId="0" fontId="28" fillId="0" borderId="0" xfId="11" applyFont="1" applyAlignment="1">
      <alignment vertical="center"/>
    </xf>
    <xf numFmtId="0" fontId="51" fillId="0" borderId="0" xfId="11" applyFont="1" applyAlignment="1">
      <alignment vertical="center"/>
    </xf>
    <xf numFmtId="49" fontId="11" fillId="11" borderId="1" xfId="11" applyNumberFormat="1" applyFont="1" applyFill="1" applyBorder="1" applyAlignment="1">
      <alignment horizontal="left" vertical="center" wrapText="1"/>
    </xf>
    <xf numFmtId="49" fontId="12" fillId="11" borderId="1" xfId="11" applyNumberFormat="1" applyFont="1" applyFill="1" applyBorder="1" applyAlignment="1">
      <alignment horizontal="center" vertical="center" wrapText="1"/>
    </xf>
    <xf numFmtId="165" fontId="11" fillId="11" borderId="1" xfId="8" applyNumberFormat="1" applyFont="1" applyFill="1" applyBorder="1" applyAlignment="1">
      <alignment horizontal="center" vertical="center" wrapText="1"/>
    </xf>
    <xf numFmtId="164" fontId="11" fillId="11" borderId="1" xfId="8" applyFont="1" applyFill="1" applyBorder="1" applyAlignment="1" applyProtection="1">
      <alignment horizontal="center" vertical="center" wrapText="1"/>
      <protection locked="0"/>
    </xf>
    <xf numFmtId="0" fontId="11" fillId="11" borderId="1" xfId="11" applyFont="1" applyFill="1" applyBorder="1" applyAlignment="1">
      <alignment horizontal="center" vertical="center" wrapText="1"/>
    </xf>
    <xf numFmtId="164" fontId="11" fillId="11" borderId="1" xfId="8" applyFont="1" applyFill="1" applyBorder="1" applyAlignment="1">
      <alignment vertical="center"/>
    </xf>
    <xf numFmtId="49" fontId="11" fillId="11" borderId="1" xfId="11" applyNumberFormat="1" applyFont="1" applyFill="1" applyBorder="1" applyAlignment="1">
      <alignment vertical="center" wrapText="1"/>
    </xf>
    <xf numFmtId="0" fontId="25" fillId="11" borderId="0" xfId="11" applyFont="1" applyFill="1" applyAlignment="1">
      <alignment horizontal="center" vertical="center"/>
    </xf>
    <xf numFmtId="49" fontId="25" fillId="11" borderId="0" xfId="11" applyNumberFormat="1" applyFont="1" applyFill="1" applyAlignment="1">
      <alignment horizontal="center" vertical="center"/>
    </xf>
    <xf numFmtId="49" fontId="26" fillId="11" borderId="0" xfId="11" applyNumberFormat="1" applyFont="1" applyFill="1" applyAlignment="1">
      <alignment horizontal="center" vertical="center"/>
    </xf>
    <xf numFmtId="49" fontId="22" fillId="11" borderId="0" xfId="11" applyNumberFormat="1" applyFont="1" applyFill="1" applyAlignment="1">
      <alignment horizontal="center" vertical="center"/>
    </xf>
    <xf numFmtId="164" fontId="23" fillId="11" borderId="1" xfId="8" applyFont="1" applyFill="1" applyBorder="1" applyAlignment="1" applyProtection="1">
      <alignment horizontal="center" vertical="center" wrapText="1"/>
      <protection locked="0"/>
    </xf>
    <xf numFmtId="0" fontId="23" fillId="11" borderId="1" xfId="11" applyFont="1" applyFill="1" applyBorder="1" applyAlignment="1">
      <alignment horizontal="center" vertical="center" wrapText="1"/>
    </xf>
    <xf numFmtId="164" fontId="23" fillId="11" borderId="1" xfId="8" applyFont="1" applyFill="1" applyBorder="1" applyAlignment="1">
      <alignment vertical="center"/>
    </xf>
    <xf numFmtId="49" fontId="13" fillId="0" borderId="14" xfId="11" applyNumberFormat="1" applyFont="1" applyBorder="1" applyAlignment="1">
      <alignment horizontal="center" vertical="center" wrapText="1"/>
    </xf>
    <xf numFmtId="164" fontId="54" fillId="0" borderId="0" xfId="0" applyNumberFormat="1" applyFont="1" applyBorder="1" applyAlignment="1">
      <alignment horizontal="left"/>
    </xf>
    <xf numFmtId="0" fontId="0" fillId="0" borderId="2" xfId="0" applyBorder="1" applyAlignment="1">
      <alignment horizontal="left"/>
    </xf>
    <xf numFmtId="164" fontId="4" fillId="0" borderId="9" xfId="8" applyFont="1" applyBorder="1" applyAlignment="1">
      <alignment horizontal="left"/>
    </xf>
    <xf numFmtId="0" fontId="9" fillId="0" borderId="8" xfId="0" applyFont="1" applyBorder="1" applyAlignment="1">
      <alignment horizontal="left" indent="2"/>
    </xf>
    <xf numFmtId="0" fontId="9" fillId="0" borderId="8" xfId="0" applyFont="1" applyBorder="1" applyAlignment="1">
      <alignment horizontal="left" indent="1"/>
    </xf>
    <xf numFmtId="0" fontId="9" fillId="0" borderId="5" xfId="0" applyFont="1" applyBorder="1" applyAlignment="1">
      <alignment horizontal="left" indent="2"/>
    </xf>
    <xf numFmtId="164" fontId="9" fillId="0" borderId="40" xfId="8" applyFont="1" applyBorder="1" applyAlignment="1">
      <alignment horizontal="center" vertical="center"/>
    </xf>
    <xf numFmtId="164" fontId="9" fillId="0" borderId="40" xfId="8" applyFont="1" applyBorder="1"/>
    <xf numFmtId="164" fontId="4" fillId="0" borderId="40" xfId="8" applyFont="1" applyBorder="1" applyAlignment="1">
      <alignment horizontal="left"/>
    </xf>
    <xf numFmtId="164" fontId="54" fillId="0" borderId="40" xfId="0" applyNumberFormat="1" applyFont="1" applyBorder="1" applyAlignment="1">
      <alignment horizontal="left"/>
    </xf>
    <xf numFmtId="164" fontId="4" fillId="0" borderId="4" xfId="8" applyFont="1" applyBorder="1" applyAlignment="1">
      <alignment horizontal="left"/>
    </xf>
    <xf numFmtId="0" fontId="0" fillId="0" borderId="5" xfId="0" applyBorder="1" applyAlignment="1">
      <alignment horizontal="left" wrapText="1"/>
    </xf>
    <xf numFmtId="164" fontId="4" fillId="0" borderId="40" xfId="8" applyFont="1" applyFill="1" applyBorder="1" applyAlignment="1">
      <alignment vertical="center" wrapText="1"/>
    </xf>
    <xf numFmtId="164" fontId="9" fillId="0" borderId="40" xfId="8" applyFont="1" applyFill="1" applyBorder="1" applyAlignment="1">
      <alignment horizontal="center" vertical="center" wrapText="1"/>
    </xf>
    <xf numFmtId="164" fontId="9" fillId="0" borderId="4" xfId="8" applyFont="1" applyFill="1" applyBorder="1" applyAlignment="1">
      <alignment horizontal="center" vertical="center" wrapText="1"/>
    </xf>
    <xf numFmtId="164" fontId="4" fillId="0" borderId="41" xfId="8" applyFont="1" applyFill="1" applyBorder="1" applyAlignment="1">
      <alignment vertical="center" wrapText="1"/>
    </xf>
    <xf numFmtId="164" fontId="9" fillId="0" borderId="46" xfId="8" applyFont="1" applyFill="1" applyBorder="1" applyAlignment="1">
      <alignment horizontal="center" vertical="center" wrapText="1"/>
    </xf>
    <xf numFmtId="164" fontId="9" fillId="0" borderId="41" xfId="8" applyFont="1" applyBorder="1" applyAlignment="1">
      <alignment horizontal="center" vertical="center"/>
    </xf>
    <xf numFmtId="164" fontId="4" fillId="0" borderId="46" xfId="8" applyFont="1" applyBorder="1" applyAlignment="1">
      <alignment horizontal="left"/>
    </xf>
    <xf numFmtId="0" fontId="7" fillId="13" borderId="8" xfId="0" applyFont="1" applyFill="1" applyBorder="1" applyAlignment="1">
      <alignment horizontal="left" indent="1"/>
    </xf>
    <xf numFmtId="164" fontId="7" fillId="13" borderId="13" xfId="8" applyFont="1" applyFill="1" applyBorder="1" applyAlignment="1">
      <alignment horizontal="center" vertical="center"/>
    </xf>
    <xf numFmtId="164" fontId="7" fillId="13" borderId="0" xfId="8" applyFont="1" applyFill="1" applyBorder="1"/>
    <xf numFmtId="164" fontId="2" fillId="13" borderId="0" xfId="8" applyFont="1" applyFill="1" applyBorder="1" applyAlignment="1">
      <alignment horizontal="left"/>
    </xf>
    <xf numFmtId="164" fontId="2" fillId="13" borderId="14" xfId="8" applyFont="1" applyFill="1" applyBorder="1" applyAlignment="1">
      <alignment horizontal="left"/>
    </xf>
    <xf numFmtId="164" fontId="7" fillId="13" borderId="0" xfId="8" applyFont="1" applyFill="1" applyBorder="1" applyAlignment="1">
      <alignment horizontal="center" vertical="center"/>
    </xf>
    <xf numFmtId="164" fontId="2" fillId="13" borderId="9" xfId="8" applyFont="1" applyFill="1" applyBorder="1" applyAlignment="1">
      <alignment horizontal="left"/>
    </xf>
    <xf numFmtId="0" fontId="2" fillId="13" borderId="0" xfId="0" applyFont="1" applyFill="1"/>
    <xf numFmtId="0" fontId="8" fillId="13" borderId="8" xfId="0" applyFont="1" applyFill="1" applyBorder="1" applyAlignment="1">
      <alignment horizontal="left" indent="1"/>
    </xf>
    <xf numFmtId="164" fontId="8" fillId="13" borderId="13" xfId="8" applyFont="1" applyFill="1" applyBorder="1" applyAlignment="1">
      <alignment horizontal="center" vertical="center"/>
    </xf>
    <xf numFmtId="164" fontId="8" fillId="13" borderId="0" xfId="8" applyFont="1" applyFill="1" applyBorder="1"/>
    <xf numFmtId="164" fontId="8" fillId="13" borderId="0" xfId="8" applyFont="1" applyFill="1" applyBorder="1" applyAlignment="1">
      <alignment horizontal="center" vertical="center"/>
    </xf>
    <xf numFmtId="164" fontId="2" fillId="0" borderId="36" xfId="8" applyFont="1" applyBorder="1" applyAlignment="1">
      <alignment horizontal="center" vertical="center"/>
    </xf>
    <xf numFmtId="164" fontId="2" fillId="0" borderId="37" xfId="8" applyFont="1" applyBorder="1" applyAlignment="1">
      <alignment horizontal="center" vertical="center"/>
    </xf>
    <xf numFmtId="164" fontId="2" fillId="0" borderId="21" xfId="8" applyFont="1" applyBorder="1" applyAlignment="1">
      <alignment horizontal="center" vertical="center"/>
    </xf>
    <xf numFmtId="164" fontId="2" fillId="0" borderId="3" xfId="8" applyFont="1" applyBorder="1" applyAlignment="1">
      <alignment horizontal="center" vertical="center"/>
    </xf>
    <xf numFmtId="0" fontId="22" fillId="0" borderId="36" xfId="11" applyFont="1" applyBorder="1" applyAlignment="1">
      <alignment horizontal="center" vertical="center" wrapText="1"/>
    </xf>
    <xf numFmtId="0" fontId="22" fillId="0" borderId="21" xfId="11" applyFont="1" applyBorder="1" applyAlignment="1">
      <alignment horizontal="center" vertical="center" wrapText="1"/>
    </xf>
    <xf numFmtId="0" fontId="22" fillId="0" borderId="15" xfId="11" applyFont="1" applyBorder="1" applyAlignment="1">
      <alignment horizontal="center" vertical="center" wrapText="1"/>
    </xf>
    <xf numFmtId="0" fontId="22" fillId="0" borderId="17" xfId="11" applyFont="1" applyBorder="1" applyAlignment="1">
      <alignment horizontal="center" vertical="center" wrapText="1"/>
    </xf>
    <xf numFmtId="0" fontId="22" fillId="0" borderId="20" xfId="11" applyFont="1" applyBorder="1" applyAlignment="1">
      <alignment horizontal="center" vertical="center" wrapText="1"/>
    </xf>
    <xf numFmtId="0" fontId="22" fillId="0" borderId="31" xfId="11" applyFont="1" applyBorder="1" applyAlignment="1">
      <alignment horizontal="center" vertical="center" wrapText="1"/>
    </xf>
    <xf numFmtId="0" fontId="22" fillId="0" borderId="24" xfId="11" applyFont="1" applyBorder="1" applyAlignment="1">
      <alignment horizontal="center" vertical="center" wrapText="1"/>
    </xf>
    <xf numFmtId="166" fontId="22" fillId="0" borderId="30" xfId="1" applyNumberFormat="1" applyFont="1" applyBorder="1" applyAlignment="1">
      <alignment horizontal="center" vertical="center" wrapText="1"/>
    </xf>
    <xf numFmtId="166" fontId="22" fillId="0" borderId="29" xfId="1" applyNumberFormat="1" applyFont="1" applyBorder="1" applyAlignment="1">
      <alignment horizontal="center" vertical="center" wrapText="1"/>
    </xf>
    <xf numFmtId="166" fontId="22" fillId="0" borderId="28" xfId="1" applyNumberFormat="1" applyFont="1" applyBorder="1" applyAlignment="1">
      <alignment horizontal="center" vertical="center" wrapText="1"/>
    </xf>
    <xf numFmtId="164" fontId="22" fillId="0" borderId="18" xfId="8" applyFont="1" applyBorder="1" applyAlignment="1">
      <alignment horizontal="center" vertical="center" wrapText="1"/>
    </xf>
    <xf numFmtId="164" fontId="22" fillId="0" borderId="24" xfId="8" applyFont="1" applyBorder="1" applyAlignment="1">
      <alignment horizontal="center" vertical="center" wrapText="1"/>
    </xf>
    <xf numFmtId="0" fontId="22" fillId="7" borderId="5" xfId="11" applyFont="1" applyFill="1" applyBorder="1" applyAlignment="1">
      <alignment horizontal="center" vertical="center"/>
    </xf>
    <xf numFmtId="0" fontId="22" fillId="7" borderId="40" xfId="11" applyFont="1" applyFill="1" applyBorder="1" applyAlignment="1">
      <alignment horizontal="center" vertical="center"/>
    </xf>
    <xf numFmtId="0" fontId="22" fillId="7" borderId="4" xfId="11" applyFont="1" applyFill="1" applyBorder="1" applyAlignment="1">
      <alignment horizontal="center" vertical="center"/>
    </xf>
    <xf numFmtId="0" fontId="22" fillId="0" borderId="39" xfId="11" applyFont="1" applyBorder="1" applyAlignment="1">
      <alignment horizontal="center" vertical="center" wrapText="1"/>
    </xf>
    <xf numFmtId="0" fontId="22" fillId="0" borderId="32" xfId="11" applyFont="1" applyBorder="1" applyAlignment="1">
      <alignment horizontal="center" vertical="center" wrapText="1"/>
    </xf>
    <xf numFmtId="0" fontId="22" fillId="0" borderId="26" xfId="11" applyFont="1" applyBorder="1" applyAlignment="1">
      <alignment horizontal="center" vertical="center" wrapText="1"/>
    </xf>
    <xf numFmtId="165" fontId="22" fillId="0" borderId="38" xfId="8" applyNumberFormat="1" applyFont="1" applyBorder="1" applyAlignment="1">
      <alignment horizontal="center" vertical="center" wrapText="1"/>
    </xf>
    <xf numFmtId="165" fontId="22" fillId="0" borderId="1" xfId="8" applyNumberFormat="1" applyFont="1" applyBorder="1" applyAlignment="1">
      <alignment horizontal="center" vertical="center" wrapText="1"/>
    </xf>
    <xf numFmtId="165" fontId="22" fillId="0" borderId="25" xfId="8" applyNumberFormat="1" applyFont="1" applyBorder="1" applyAlignment="1">
      <alignment horizontal="center" vertical="center" wrapText="1"/>
    </xf>
    <xf numFmtId="0" fontId="22" fillId="0" borderId="1" xfId="11" applyFont="1" applyBorder="1" applyAlignment="1">
      <alignment horizontal="center" vertical="center" wrapText="1"/>
    </xf>
    <xf numFmtId="166" fontId="22" fillId="0" borderId="35" xfId="1" applyNumberFormat="1" applyFont="1" applyBorder="1" applyAlignment="1">
      <alignment horizontal="center" vertical="center" wrapText="1"/>
    </xf>
    <xf numFmtId="166" fontId="22" fillId="0" borderId="34" xfId="1" applyNumberFormat="1" applyFont="1" applyBorder="1" applyAlignment="1">
      <alignment horizontal="center" vertical="center" wrapText="1"/>
    </xf>
    <xf numFmtId="0" fontId="25" fillId="0" borderId="33" xfId="11" applyFont="1" applyBorder="1" applyAlignment="1">
      <alignment horizontal="center" vertical="center" wrapText="1"/>
    </xf>
    <xf numFmtId="0" fontId="25" fillId="0" borderId="27" xfId="11" applyFont="1" applyBorder="1" applyAlignment="1">
      <alignment horizontal="center" vertical="center" wrapText="1"/>
    </xf>
    <xf numFmtId="0" fontId="25" fillId="0" borderId="23" xfId="11" applyFont="1" applyBorder="1" applyAlignment="1">
      <alignment horizontal="center" vertical="center" wrapText="1"/>
    </xf>
    <xf numFmtId="0" fontId="22" fillId="0" borderId="38" xfId="11" applyFont="1" applyBorder="1" applyAlignment="1">
      <alignment horizontal="center" vertical="center" wrapText="1"/>
    </xf>
    <xf numFmtId="0" fontId="22" fillId="0" borderId="25" xfId="11" applyFont="1" applyBorder="1" applyAlignment="1">
      <alignment horizontal="center" vertical="center" wrapText="1"/>
    </xf>
    <xf numFmtId="164" fontId="22" fillId="0" borderId="36" xfId="8" applyFont="1" applyBorder="1" applyAlignment="1">
      <alignment horizontal="center" vertical="center" wrapText="1"/>
    </xf>
    <xf numFmtId="164" fontId="22" fillId="0" borderId="37" xfId="8" applyFont="1" applyBorder="1" applyAlignment="1">
      <alignment horizontal="center" vertical="center" wrapText="1"/>
    </xf>
    <xf numFmtId="164" fontId="22" fillId="0" borderId="21" xfId="8" applyFont="1" applyBorder="1" applyAlignment="1">
      <alignment horizontal="center" vertical="center" wrapText="1"/>
    </xf>
    <xf numFmtId="164" fontId="22" fillId="0" borderId="15" xfId="8" applyFont="1" applyBorder="1" applyAlignment="1">
      <alignment horizontal="center" vertical="center" wrapText="1"/>
    </xf>
    <xf numFmtId="164" fontId="22" fillId="0" borderId="16" xfId="8" applyFont="1" applyBorder="1" applyAlignment="1">
      <alignment horizontal="center" vertical="center" wrapText="1"/>
    </xf>
    <xf numFmtId="164" fontId="22" fillId="0" borderId="17" xfId="8" applyFont="1" applyBorder="1" applyAlignment="1">
      <alignment horizontal="center" vertical="center" wrapText="1"/>
    </xf>
    <xf numFmtId="0" fontId="15" fillId="0" borderId="12" xfId="11" applyFont="1" applyBorder="1" applyAlignment="1">
      <alignment horizontal="left" vertical="center" wrapText="1"/>
    </xf>
    <xf numFmtId="166" fontId="22" fillId="0" borderId="1" xfId="1" applyNumberFormat="1" applyFont="1" applyBorder="1" applyAlignment="1">
      <alignment horizontal="center" vertical="center" wrapText="1"/>
    </xf>
    <xf numFmtId="166" fontId="22" fillId="0" borderId="1" xfId="8" applyNumberFormat="1" applyFont="1" applyBorder="1" applyAlignment="1">
      <alignment horizontal="center" vertical="center" wrapText="1"/>
    </xf>
    <xf numFmtId="0" fontId="22" fillId="0" borderId="0" xfId="11" applyFont="1" applyAlignment="1">
      <alignment horizontal="center" vertical="center"/>
    </xf>
    <xf numFmtId="3" fontId="22" fillId="0" borderId="38" xfId="11" applyNumberFormat="1" applyFont="1" applyBorder="1" applyAlignment="1">
      <alignment vertical="center" wrapText="1"/>
    </xf>
    <xf numFmtId="3" fontId="22" fillId="0" borderId="1" xfId="11" applyNumberFormat="1" applyFont="1" applyBorder="1" applyAlignment="1">
      <alignment vertical="center" wrapText="1"/>
    </xf>
    <xf numFmtId="3" fontId="22" fillId="0" borderId="25" xfId="11" applyNumberFormat="1" applyFont="1" applyBorder="1" applyAlignment="1">
      <alignment vertical="center" wrapText="1"/>
    </xf>
    <xf numFmtId="166" fontId="22" fillId="0" borderId="45" xfId="1" applyNumberFormat="1" applyFont="1" applyBorder="1" applyAlignment="1">
      <alignment horizontal="center" vertical="center" wrapText="1"/>
    </xf>
    <xf numFmtId="166" fontId="22" fillId="0" borderId="18" xfId="1" applyNumberFormat="1" applyFont="1" applyBorder="1" applyAlignment="1">
      <alignment horizontal="center" vertical="center" wrapText="1"/>
    </xf>
    <xf numFmtId="166" fontId="22" fillId="0" borderId="24" xfId="1" applyNumberFormat="1" applyFont="1" applyBorder="1" applyAlignment="1">
      <alignment horizontal="center" vertical="center" wrapText="1"/>
    </xf>
    <xf numFmtId="0" fontId="35" fillId="0" borderId="38" xfId="11" applyFont="1" applyBorder="1" applyAlignment="1">
      <alignment horizontal="center" vertical="center" wrapText="1"/>
    </xf>
    <xf numFmtId="0" fontId="35" fillId="0" borderId="1" xfId="11" applyFont="1" applyBorder="1" applyAlignment="1">
      <alignment horizontal="center" vertical="center" wrapText="1"/>
    </xf>
    <xf numFmtId="0" fontId="35" fillId="0" borderId="25" xfId="11" applyFont="1" applyBorder="1" applyAlignment="1">
      <alignment horizontal="center" vertical="center" wrapText="1"/>
    </xf>
    <xf numFmtId="3" fontId="22" fillId="0" borderId="36" xfId="11" applyNumberFormat="1" applyFont="1" applyBorder="1" applyAlignment="1">
      <alignment horizontal="center" vertical="center" wrapText="1"/>
    </xf>
    <xf numFmtId="3" fontId="22" fillId="0" borderId="37" xfId="11" applyNumberFormat="1" applyFont="1" applyBorder="1" applyAlignment="1">
      <alignment horizontal="center" vertical="center" wrapText="1"/>
    </xf>
    <xf numFmtId="3" fontId="22" fillId="0" borderId="21" xfId="11" applyNumberFormat="1" applyFont="1" applyBorder="1" applyAlignment="1">
      <alignment horizontal="center" vertical="center" wrapText="1"/>
    </xf>
    <xf numFmtId="3" fontId="22" fillId="0" borderId="15" xfId="11" applyNumberFormat="1" applyFont="1" applyBorder="1" applyAlignment="1">
      <alignment horizontal="center" vertical="center" wrapText="1"/>
    </xf>
    <xf numFmtId="3" fontId="22" fillId="0" borderId="16" xfId="11" applyNumberFormat="1" applyFont="1" applyBorder="1" applyAlignment="1">
      <alignment horizontal="center" vertical="center" wrapText="1"/>
    </xf>
    <xf numFmtId="3" fontId="22" fillId="0" borderId="17" xfId="11" applyNumberFormat="1" applyFont="1" applyBorder="1" applyAlignment="1">
      <alignment horizontal="center" vertical="center" wrapText="1"/>
    </xf>
    <xf numFmtId="166" fontId="22" fillId="0" borderId="38" xfId="1" applyNumberFormat="1" applyFont="1" applyBorder="1" applyAlignment="1">
      <alignment horizontal="center" vertical="center" wrapText="1"/>
    </xf>
    <xf numFmtId="166" fontId="35" fillId="0" borderId="1" xfId="1" applyNumberFormat="1" applyFont="1" applyBorder="1" applyAlignment="1">
      <alignment horizontal="center" vertical="center" wrapText="1"/>
    </xf>
    <xf numFmtId="49" fontId="13" fillId="0" borderId="10" xfId="11" applyNumberFormat="1" applyFont="1" applyBorder="1" applyAlignment="1">
      <alignment horizontal="center" vertical="center" wrapText="1"/>
    </xf>
    <xf numFmtId="0" fontId="22" fillId="7" borderId="6" xfId="11" applyFont="1" applyFill="1" applyBorder="1" applyAlignment="1">
      <alignment horizontal="center" vertical="center"/>
    </xf>
    <xf numFmtId="0" fontId="22" fillId="7" borderId="7" xfId="11" applyFont="1" applyFill="1" applyBorder="1" applyAlignment="1">
      <alignment horizontal="center" vertical="center"/>
    </xf>
    <xf numFmtId="0" fontId="22" fillId="7" borderId="44" xfId="11" applyFont="1" applyFill="1" applyBorder="1" applyAlignment="1">
      <alignment horizontal="center" vertical="center"/>
    </xf>
    <xf numFmtId="3" fontId="35" fillId="0" borderId="38" xfId="11" applyNumberFormat="1" applyFont="1" applyBorder="1" applyAlignment="1">
      <alignment horizontal="center" vertical="center" wrapText="1"/>
    </xf>
    <xf numFmtId="3" fontId="35" fillId="0" borderId="1" xfId="11" applyNumberFormat="1" applyFont="1" applyBorder="1" applyAlignment="1">
      <alignment horizontal="center" vertical="center" wrapText="1"/>
    </xf>
    <xf numFmtId="3" fontId="35" fillId="0" borderId="25" xfId="11" applyNumberFormat="1"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xf>
    <xf numFmtId="0" fontId="1" fillId="0" borderId="0" xfId="0" applyFont="1" applyAlignment="1">
      <alignment horizontal="center"/>
    </xf>
    <xf numFmtId="166" fontId="35" fillId="0" borderId="36" xfId="8" applyNumberFormat="1" applyFont="1" applyFill="1" applyBorder="1" applyAlignment="1">
      <alignment horizontal="center" vertical="center" wrapText="1"/>
    </xf>
    <xf numFmtId="166" fontId="35" fillId="0" borderId="37" xfId="8" applyNumberFormat="1" applyFont="1" applyFill="1" applyBorder="1" applyAlignment="1">
      <alignment horizontal="center" vertical="center" wrapText="1"/>
    </xf>
    <xf numFmtId="166" fontId="35" fillId="0" borderId="21" xfId="8" applyNumberFormat="1" applyFont="1" applyFill="1" applyBorder="1" applyAlignment="1">
      <alignment horizontal="center" vertical="center" wrapText="1"/>
    </xf>
    <xf numFmtId="166" fontId="35" fillId="0" borderId="15" xfId="8" applyNumberFormat="1" applyFont="1" applyFill="1" applyBorder="1" applyAlignment="1">
      <alignment horizontal="center" vertical="center" wrapText="1"/>
    </xf>
    <xf numFmtId="166" fontId="35" fillId="0" borderId="16" xfId="8" applyNumberFormat="1" applyFont="1" applyFill="1" applyBorder="1" applyAlignment="1">
      <alignment horizontal="center" vertical="center" wrapText="1"/>
    </xf>
    <xf numFmtId="166" fontId="35" fillId="0" borderId="17" xfId="8" applyNumberFormat="1" applyFont="1" applyFill="1" applyBorder="1" applyAlignment="1">
      <alignment horizontal="center" vertical="center" wrapText="1"/>
    </xf>
    <xf numFmtId="166" fontId="35" fillId="0" borderId="38" xfId="8" applyNumberFormat="1" applyFont="1" applyFill="1" applyBorder="1" applyAlignment="1">
      <alignment horizontal="center" vertical="center" wrapText="1"/>
    </xf>
    <xf numFmtId="166" fontId="35" fillId="0" borderId="1" xfId="8" applyNumberFormat="1" applyFont="1" applyFill="1" applyBorder="1" applyAlignment="1">
      <alignment horizontal="center" vertical="center" wrapText="1"/>
    </xf>
    <xf numFmtId="166" fontId="35" fillId="0" borderId="25" xfId="8" applyNumberFormat="1" applyFont="1" applyFill="1" applyBorder="1" applyAlignment="1">
      <alignment horizontal="center" vertical="center" wrapText="1"/>
    </xf>
    <xf numFmtId="166" fontId="32" fillId="0" borderId="33" xfId="8" applyNumberFormat="1" applyFont="1" applyFill="1" applyBorder="1" applyAlignment="1">
      <alignment horizontal="center" vertical="center" wrapText="1"/>
    </xf>
    <xf numFmtId="166" fontId="32" fillId="0" borderId="27" xfId="8" applyNumberFormat="1" applyFont="1" applyFill="1" applyBorder="1" applyAlignment="1">
      <alignment horizontal="center" vertical="center" wrapText="1"/>
    </xf>
    <xf numFmtId="166" fontId="32" fillId="0" borderId="23" xfId="8" applyNumberFormat="1" applyFont="1" applyFill="1" applyBorder="1" applyAlignment="1">
      <alignment horizontal="center" vertical="center" wrapText="1"/>
    </xf>
    <xf numFmtId="166" fontId="35" fillId="0" borderId="0" xfId="8" applyNumberFormat="1" applyFont="1" applyFill="1" applyAlignment="1">
      <alignment horizontal="center" vertical="center"/>
    </xf>
    <xf numFmtId="0" fontId="35" fillId="0" borderId="0" xfId="11" applyFont="1" applyAlignment="1">
      <alignment horizontal="center" vertical="center"/>
    </xf>
    <xf numFmtId="166" fontId="35" fillId="0" borderId="6" xfId="8" applyNumberFormat="1" applyFont="1" applyFill="1" applyBorder="1" applyAlignment="1">
      <alignment horizontal="center" vertical="center"/>
    </xf>
    <xf numFmtId="166" fontId="35" fillId="0" borderId="7" xfId="8" applyNumberFormat="1" applyFont="1" applyFill="1" applyBorder="1" applyAlignment="1">
      <alignment horizontal="center" vertical="center"/>
    </xf>
    <xf numFmtId="166" fontId="35" fillId="0" borderId="44" xfId="8" applyNumberFormat="1" applyFont="1" applyFill="1" applyBorder="1" applyAlignment="1">
      <alignment horizontal="center" vertical="center"/>
    </xf>
    <xf numFmtId="166" fontId="35" fillId="0" borderId="39" xfId="8" applyNumberFormat="1" applyFont="1" applyFill="1" applyBorder="1" applyAlignment="1">
      <alignment horizontal="center" vertical="center" wrapText="1"/>
    </xf>
    <xf numFmtId="166" fontId="35" fillId="0" borderId="32" xfId="8" applyNumberFormat="1" applyFont="1" applyFill="1" applyBorder="1" applyAlignment="1">
      <alignment horizontal="center" vertical="center" wrapText="1"/>
    </xf>
    <xf numFmtId="166" fontId="35" fillId="0" borderId="26" xfId="8"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0" fontId="28" fillId="0" borderId="0" xfId="11" applyFont="1" applyAlignment="1">
      <alignment horizontal="center" vertical="center"/>
    </xf>
    <xf numFmtId="164" fontId="25" fillId="0" borderId="0" xfId="1" applyFont="1" applyAlignment="1">
      <alignment horizontal="left" vertical="center" wrapText="1"/>
    </xf>
    <xf numFmtId="166" fontId="25"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F5465A69-FB4F-CA4B-B790-8EA0DDAB379C}"/>
    <cellStyle name="Normal 3" xfId="4" xr:uid="{00000000-0005-0000-0000-000007000000}"/>
    <cellStyle name="Normal 3 2" xfId="6" xr:uid="{00000000-0005-0000-0000-000008000000}"/>
    <cellStyle name="Percent" xfId="10" builtinId="5"/>
    <cellStyle name="Percent 3 2" xfId="7" xr:uid="{00000000-0005-0000-0000-000009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53"/>
  <sheetViews>
    <sheetView tabSelected="1" topLeftCell="A8" zoomScale="25" zoomScaleNormal="25" workbookViewId="0">
      <pane xSplit="1" ySplit="2" topLeftCell="B10" activePane="bottomRight" state="frozen"/>
      <selection activeCell="A8" sqref="A8"/>
      <selection pane="topRight" activeCell="B8" sqref="B8"/>
      <selection pane="bottomLeft" activeCell="A10" sqref="A10"/>
      <selection pane="bottomRight" activeCell="C11" sqref="C11"/>
    </sheetView>
  </sheetViews>
  <sheetFormatPr defaultColWidth="8.85546875" defaultRowHeight="15" x14ac:dyDescent="0.25"/>
  <cols>
    <col min="1" max="1" width="19.28515625" style="1" customWidth="1"/>
    <col min="2" max="7" width="14.85546875" style="5" customWidth="1"/>
    <col min="8" max="11" width="8.85546875" customWidth="1"/>
    <col min="12" max="12" width="13.28515625" customWidth="1"/>
    <col min="13" max="13" width="12.7109375" customWidth="1"/>
    <col min="14" max="18" width="8.85546875" customWidth="1"/>
    <col min="19" max="19" width="13.7109375" customWidth="1"/>
    <col min="20" max="20" width="12.28515625" customWidth="1"/>
    <col min="21" max="24" width="8.85546875" customWidth="1"/>
    <col min="25" max="25" width="13.7109375" customWidth="1"/>
    <col min="31" max="31" width="13.7109375" bestFit="1" customWidth="1"/>
    <col min="37" max="37" width="15" customWidth="1"/>
    <col min="42" max="42" width="9.140625" bestFit="1" customWidth="1"/>
    <col min="43" max="43" width="13.7109375" bestFit="1" customWidth="1"/>
    <col min="49" max="49" width="13.7109375" bestFit="1" customWidth="1"/>
    <col min="55" max="55" width="16.28515625" customWidth="1"/>
  </cols>
  <sheetData>
    <row r="1" spans="1:55" ht="15" hidden="1" customHeight="1" x14ac:dyDescent="0.25"/>
    <row r="2" spans="1:55" ht="15" hidden="1" customHeight="1" x14ac:dyDescent="0.25"/>
    <row r="3" spans="1:55" ht="15" hidden="1" customHeight="1" x14ac:dyDescent="0.25"/>
    <row r="4" spans="1:55" ht="15" hidden="1" customHeight="1" x14ac:dyDescent="0.25"/>
    <row r="5" spans="1:55" ht="15" hidden="1" customHeight="1" x14ac:dyDescent="0.25"/>
    <row r="6" spans="1:55" ht="15" hidden="1" customHeight="1" x14ac:dyDescent="0.25"/>
    <row r="7" spans="1:55" ht="15" hidden="1" customHeight="1" x14ac:dyDescent="0.25"/>
    <row r="8" spans="1:55" ht="47.25" customHeight="1" x14ac:dyDescent="0.25">
      <c r="A8" s="710"/>
      <c r="B8" s="740" t="s">
        <v>104</v>
      </c>
      <c r="C8" s="741"/>
      <c r="D8" s="741"/>
      <c r="E8" s="741"/>
      <c r="F8" s="741"/>
      <c r="G8" s="742"/>
      <c r="H8" s="740" t="s">
        <v>103</v>
      </c>
      <c r="I8" s="741"/>
      <c r="J8" s="741"/>
      <c r="K8" s="741"/>
      <c r="L8" s="741"/>
      <c r="M8" s="742"/>
      <c r="N8" s="740" t="s">
        <v>108</v>
      </c>
      <c r="O8" s="741"/>
      <c r="P8" s="741"/>
      <c r="Q8" s="741"/>
      <c r="R8" s="741"/>
      <c r="S8" s="742"/>
      <c r="T8" s="740" t="s">
        <v>113</v>
      </c>
      <c r="U8" s="741"/>
      <c r="V8" s="741"/>
      <c r="W8" s="741"/>
      <c r="X8" s="741"/>
      <c r="Y8" s="742"/>
      <c r="Z8" s="740" t="s">
        <v>244</v>
      </c>
      <c r="AA8" s="741"/>
      <c r="AB8" s="741"/>
      <c r="AC8" s="741"/>
      <c r="AD8" s="741"/>
      <c r="AE8" s="742"/>
      <c r="AF8" s="740" t="s">
        <v>245</v>
      </c>
      <c r="AG8" s="741"/>
      <c r="AH8" s="741"/>
      <c r="AI8" s="741"/>
      <c r="AJ8" s="741"/>
      <c r="AK8" s="742"/>
      <c r="AL8" s="740" t="s">
        <v>280</v>
      </c>
      <c r="AM8" s="741"/>
      <c r="AN8" s="741"/>
      <c r="AO8" s="741"/>
      <c r="AP8" s="741"/>
      <c r="AQ8" s="742"/>
      <c r="AR8" s="740" t="s">
        <v>282</v>
      </c>
      <c r="AS8" s="741"/>
      <c r="AT8" s="741"/>
      <c r="AU8" s="741"/>
      <c r="AV8" s="741"/>
      <c r="AW8" s="742"/>
      <c r="AX8" s="741" t="s">
        <v>333</v>
      </c>
      <c r="AY8" s="741"/>
      <c r="AZ8" s="741"/>
      <c r="BA8" s="741"/>
      <c r="BB8" s="741"/>
      <c r="BC8" s="743"/>
    </row>
    <row r="9" spans="1:55" s="2" customFormat="1" ht="48" customHeight="1" thickBot="1" x14ac:dyDescent="0.3">
      <c r="A9" s="720"/>
      <c r="B9" s="724" t="s">
        <v>6</v>
      </c>
      <c r="C9" s="722" t="s">
        <v>100</v>
      </c>
      <c r="D9" s="722" t="s">
        <v>101</v>
      </c>
      <c r="E9" s="722" t="s">
        <v>102</v>
      </c>
      <c r="F9" s="722" t="s">
        <v>98</v>
      </c>
      <c r="G9" s="725" t="s">
        <v>99</v>
      </c>
      <c r="H9" s="724" t="s">
        <v>6</v>
      </c>
      <c r="I9" s="722" t="s">
        <v>100</v>
      </c>
      <c r="J9" s="722" t="s">
        <v>101</v>
      </c>
      <c r="K9" s="722" t="s">
        <v>102</v>
      </c>
      <c r="L9" s="722" t="s">
        <v>98</v>
      </c>
      <c r="M9" s="725" t="s">
        <v>99</v>
      </c>
      <c r="N9" s="724" t="s">
        <v>6</v>
      </c>
      <c r="O9" s="722" t="s">
        <v>100</v>
      </c>
      <c r="P9" s="722" t="s">
        <v>101</v>
      </c>
      <c r="Q9" s="722" t="s">
        <v>102</v>
      </c>
      <c r="R9" s="722" t="s">
        <v>98</v>
      </c>
      <c r="S9" s="725" t="s">
        <v>99</v>
      </c>
      <c r="T9" s="724" t="s">
        <v>6</v>
      </c>
      <c r="U9" s="722" t="s">
        <v>100</v>
      </c>
      <c r="V9" s="722" t="s">
        <v>101</v>
      </c>
      <c r="W9" s="722" t="s">
        <v>102</v>
      </c>
      <c r="X9" s="722" t="s">
        <v>98</v>
      </c>
      <c r="Y9" s="725" t="s">
        <v>99</v>
      </c>
      <c r="Z9" s="724" t="s">
        <v>6</v>
      </c>
      <c r="AA9" s="722" t="s">
        <v>100</v>
      </c>
      <c r="AB9" s="722" t="s">
        <v>101</v>
      </c>
      <c r="AC9" s="722" t="s">
        <v>102</v>
      </c>
      <c r="AD9" s="722" t="s">
        <v>98</v>
      </c>
      <c r="AE9" s="725" t="s">
        <v>99</v>
      </c>
      <c r="AF9" s="724" t="s">
        <v>6</v>
      </c>
      <c r="AG9" s="722" t="s">
        <v>100</v>
      </c>
      <c r="AH9" s="722" t="s">
        <v>101</v>
      </c>
      <c r="AI9" s="722" t="s">
        <v>102</v>
      </c>
      <c r="AJ9" s="722" t="s">
        <v>98</v>
      </c>
      <c r="AK9" s="725" t="s">
        <v>99</v>
      </c>
      <c r="AL9" s="724" t="s">
        <v>6</v>
      </c>
      <c r="AM9" s="722" t="s">
        <v>100</v>
      </c>
      <c r="AN9" s="722" t="s">
        <v>101</v>
      </c>
      <c r="AO9" s="722" t="s">
        <v>102</v>
      </c>
      <c r="AP9" s="722" t="s">
        <v>98</v>
      </c>
      <c r="AQ9" s="725" t="s">
        <v>99</v>
      </c>
      <c r="AR9" s="724" t="s">
        <v>6</v>
      </c>
      <c r="AS9" s="722" t="s">
        <v>100</v>
      </c>
      <c r="AT9" s="722" t="s">
        <v>101</v>
      </c>
      <c r="AU9" s="722" t="s">
        <v>102</v>
      </c>
      <c r="AV9" s="722" t="s">
        <v>98</v>
      </c>
      <c r="AW9" s="725" t="s">
        <v>99</v>
      </c>
      <c r="AX9" s="721" t="s">
        <v>6</v>
      </c>
      <c r="AY9" s="722" t="s">
        <v>100</v>
      </c>
      <c r="AZ9" s="722" t="s">
        <v>101</v>
      </c>
      <c r="BA9" s="722" t="s">
        <v>102</v>
      </c>
      <c r="BB9" s="722" t="s">
        <v>98</v>
      </c>
      <c r="BC9" s="723" t="s">
        <v>99</v>
      </c>
    </row>
    <row r="10" spans="1:55" s="735" customFormat="1" ht="16.5" x14ac:dyDescent="0.3">
      <c r="A10" s="728" t="s">
        <v>7</v>
      </c>
      <c r="B10" s="729">
        <f>SUM(B11:B52)</f>
        <v>17595.5</v>
      </c>
      <c r="C10" s="730">
        <f t="shared" ref="C10:BC10" si="0">SUM(C11:C52)</f>
        <v>16753.55</v>
      </c>
      <c r="D10" s="730">
        <f t="shared" si="0"/>
        <v>1680.3</v>
      </c>
      <c r="E10" s="731">
        <f t="shared" si="0"/>
        <v>18433.850000000002</v>
      </c>
      <c r="F10" s="731">
        <f t="shared" si="0"/>
        <v>22419.762150000006</v>
      </c>
      <c r="G10" s="732">
        <f t="shared" si="0"/>
        <v>141169875</v>
      </c>
      <c r="H10" s="729">
        <f t="shared" si="0"/>
        <v>73</v>
      </c>
      <c r="I10" s="730">
        <f t="shared" si="0"/>
        <v>20</v>
      </c>
      <c r="J10" s="730">
        <f t="shared" si="0"/>
        <v>56.75</v>
      </c>
      <c r="K10" s="731">
        <f t="shared" si="0"/>
        <v>76.75</v>
      </c>
      <c r="L10" s="731">
        <f t="shared" si="0"/>
        <v>240.44</v>
      </c>
      <c r="M10" s="732">
        <f t="shared" si="0"/>
        <v>4144464</v>
      </c>
      <c r="N10" s="729">
        <f t="shared" si="0"/>
        <v>0</v>
      </c>
      <c r="O10" s="730">
        <f t="shared" si="0"/>
        <v>0</v>
      </c>
      <c r="P10" s="730">
        <f t="shared" si="0"/>
        <v>0</v>
      </c>
      <c r="Q10" s="731">
        <f t="shared" si="0"/>
        <v>0</v>
      </c>
      <c r="R10" s="731">
        <f t="shared" si="0"/>
        <v>0</v>
      </c>
      <c r="S10" s="732">
        <f t="shared" si="0"/>
        <v>0</v>
      </c>
      <c r="T10" s="729">
        <f t="shared" si="0"/>
        <v>0</v>
      </c>
      <c r="U10" s="730">
        <f t="shared" si="0"/>
        <v>0</v>
      </c>
      <c r="V10" s="730">
        <f t="shared" si="0"/>
        <v>0</v>
      </c>
      <c r="W10" s="731">
        <f t="shared" si="0"/>
        <v>0</v>
      </c>
      <c r="X10" s="731">
        <f t="shared" si="0"/>
        <v>0</v>
      </c>
      <c r="Y10" s="732">
        <f t="shared" si="0"/>
        <v>0</v>
      </c>
      <c r="Z10" s="729">
        <f t="shared" si="0"/>
        <v>1867</v>
      </c>
      <c r="AA10" s="730">
        <f t="shared" si="0"/>
        <v>0</v>
      </c>
      <c r="AB10" s="730">
        <f t="shared" si="0"/>
        <v>547.79999999999995</v>
      </c>
      <c r="AC10" s="731">
        <f t="shared" si="0"/>
        <v>547.79999999999995</v>
      </c>
      <c r="AD10" s="731">
        <f t="shared" si="0"/>
        <v>0</v>
      </c>
      <c r="AE10" s="732">
        <f t="shared" si="0"/>
        <v>1015255.5532575097</v>
      </c>
      <c r="AF10" s="729">
        <f t="shared" si="0"/>
        <v>0</v>
      </c>
      <c r="AG10" s="730">
        <f t="shared" si="0"/>
        <v>0</v>
      </c>
      <c r="AH10" s="730">
        <f t="shared" si="0"/>
        <v>0</v>
      </c>
      <c r="AI10" s="731">
        <f t="shared" si="0"/>
        <v>0</v>
      </c>
      <c r="AJ10" s="731">
        <f t="shared" si="0"/>
        <v>0</v>
      </c>
      <c r="AK10" s="732">
        <f t="shared" si="0"/>
        <v>0</v>
      </c>
      <c r="AL10" s="729">
        <f t="shared" si="0"/>
        <v>9320.5</v>
      </c>
      <c r="AM10" s="730">
        <f t="shared" si="0"/>
        <v>2074.4660000000003</v>
      </c>
      <c r="AN10" s="730">
        <f t="shared" si="0"/>
        <v>7943.575455555555</v>
      </c>
      <c r="AO10" s="731">
        <f t="shared" si="0"/>
        <v>10018.041455555556</v>
      </c>
      <c r="AP10" s="731">
        <f t="shared" si="0"/>
        <v>7366.8809838000006</v>
      </c>
      <c r="AQ10" s="732">
        <f t="shared" si="0"/>
        <v>125236976.72459999</v>
      </c>
      <c r="AR10" s="729">
        <f t="shared" si="0"/>
        <v>12917</v>
      </c>
      <c r="AS10" s="730">
        <f t="shared" si="0"/>
        <v>14233</v>
      </c>
      <c r="AT10" s="730">
        <f t="shared" si="0"/>
        <v>613</v>
      </c>
      <c r="AU10" s="731">
        <f t="shared" si="0"/>
        <v>14846</v>
      </c>
      <c r="AV10" s="731">
        <f t="shared" si="0"/>
        <v>0</v>
      </c>
      <c r="AW10" s="732">
        <f t="shared" si="0"/>
        <v>115037920.39215687</v>
      </c>
      <c r="AX10" s="733">
        <f t="shared" si="0"/>
        <v>9981</v>
      </c>
      <c r="AY10" s="730">
        <f t="shared" si="0"/>
        <v>2731.723</v>
      </c>
      <c r="AZ10" s="730">
        <f t="shared" si="0"/>
        <v>5420.9070000000002</v>
      </c>
      <c r="BA10" s="731">
        <f t="shared" si="0"/>
        <v>8152.630000000001</v>
      </c>
      <c r="BB10" s="731">
        <f t="shared" si="0"/>
        <v>0</v>
      </c>
      <c r="BC10" s="734">
        <f t="shared" si="0"/>
        <v>135323078.79142156</v>
      </c>
    </row>
    <row r="11" spans="1:55" ht="16.5" x14ac:dyDescent="0.3">
      <c r="A11" s="712" t="s">
        <v>306</v>
      </c>
      <c r="B11" s="7"/>
      <c r="C11" s="6"/>
      <c r="D11" s="6"/>
      <c r="G11" s="8"/>
      <c r="H11" s="7"/>
      <c r="I11" s="6"/>
      <c r="J11" s="6"/>
      <c r="K11" s="5"/>
      <c r="L11" s="5"/>
      <c r="M11" s="8"/>
      <c r="N11" s="7"/>
      <c r="O11" s="6"/>
      <c r="P11" s="6"/>
      <c r="Q11" s="5"/>
      <c r="R11" s="5"/>
      <c r="S11" s="8"/>
      <c r="T11" s="7"/>
      <c r="U11" s="6"/>
      <c r="V11" s="6"/>
      <c r="W11" s="5"/>
      <c r="X11" s="5"/>
      <c r="Y11" s="8"/>
      <c r="Z11" s="7"/>
      <c r="AA11" s="6"/>
      <c r="AB11" s="6"/>
      <c r="AC11" s="5"/>
      <c r="AD11" s="5"/>
      <c r="AE11" s="8"/>
      <c r="AF11" s="7"/>
      <c r="AG11" s="6"/>
      <c r="AH11" s="6"/>
      <c r="AI11" s="5"/>
      <c r="AJ11" s="5"/>
      <c r="AK11" s="8"/>
      <c r="AL11" s="7"/>
      <c r="AM11" s="6"/>
      <c r="AN11" s="6"/>
      <c r="AO11" s="5"/>
      <c r="AP11" s="5"/>
      <c r="AQ11" s="8"/>
      <c r="AR11" s="7"/>
      <c r="AS11" s="6"/>
      <c r="AT11" s="6"/>
      <c r="AU11" s="5"/>
      <c r="AV11" s="5"/>
      <c r="AW11" s="8"/>
      <c r="AX11" s="3">
        <f t="shared" ref="AX11:AX52" si="1">IFERROR(VLOOKUP(A11,Ursula_Leyte,3,FALSE),"")</f>
        <v>0</v>
      </c>
      <c r="AY11" s="3">
        <f t="shared" ref="AY11:AY52" si="2">IFERROR(VLOOKUP(A11,Ursula_Leyte,6,FALSE),"")</f>
        <v>2.3E-2</v>
      </c>
      <c r="AZ11" s="3">
        <f t="shared" ref="AZ11:AZ52" si="3">IFERROR(VLOOKUP(A11,Ursula_Leyte,7,FALSE),"")</f>
        <v>0.97699999999999998</v>
      </c>
      <c r="BA11" s="5">
        <f t="shared" ref="BA11" si="4">SUM(AY11:AZ11)</f>
        <v>1</v>
      </c>
      <c r="BB11" s="709"/>
      <c r="BC11" s="711">
        <f t="shared" ref="BC11:BC52" si="5">IFERROR(VLOOKUP(A11,Ursula_Leyte,13,FALSE),"")</f>
        <v>5144.5963235294121</v>
      </c>
    </row>
    <row r="12" spans="1:55" ht="16.5" x14ac:dyDescent="0.3">
      <c r="A12" s="712" t="s">
        <v>8</v>
      </c>
      <c r="B12" s="9">
        <v>1178</v>
      </c>
      <c r="C12" s="4">
        <v>937</v>
      </c>
      <c r="D12" s="4">
        <v>0</v>
      </c>
      <c r="E12" s="5">
        <f t="shared" ref="E12:E90" si="6">SUM(C12:D12)</f>
        <v>937</v>
      </c>
      <c r="F12" s="5">
        <v>1093.4789999999998</v>
      </c>
      <c r="G12" s="8">
        <v>7027500</v>
      </c>
      <c r="H12" s="9"/>
      <c r="I12" s="4"/>
      <c r="J12" s="4"/>
      <c r="K12" s="5">
        <f t="shared" ref="K12:K89" si="7">SUM(I12:J12)</f>
        <v>0</v>
      </c>
      <c r="L12" s="5"/>
      <c r="M12" s="8"/>
      <c r="N12" s="9"/>
      <c r="O12" s="4"/>
      <c r="P12" s="4"/>
      <c r="Q12" s="5">
        <f t="shared" ref="Q12:Q89" si="8">SUM(O12:P12)</f>
        <v>0</v>
      </c>
      <c r="R12" s="5"/>
      <c r="S12" s="8"/>
      <c r="T12" s="9"/>
      <c r="U12" s="4"/>
      <c r="V12" s="4"/>
      <c r="W12" s="5">
        <f t="shared" ref="W12:W89" si="9">SUM(U12:V12)</f>
        <v>0</v>
      </c>
      <c r="X12" s="5"/>
      <c r="Y12" s="8"/>
      <c r="Z12" s="9">
        <f>IFERROR(VLOOKUP(A12,Glenda_leyte,2,FALSE),"")</f>
        <v>248</v>
      </c>
      <c r="AA12" s="4">
        <f>IFERROR(VLOOKUP(A12,Glenda_leyte,5,FALSE),"")</f>
        <v>0</v>
      </c>
      <c r="AB12" s="4">
        <f>IFERROR(VLOOKUP(A12,Glenda_leyte,6,FALSE),"")</f>
        <v>24.8</v>
      </c>
      <c r="AC12" s="5">
        <f t="shared" ref="AC12:AC80" si="10">SUM(AA12:AB12)</f>
        <v>24.8</v>
      </c>
      <c r="AD12" s="5"/>
      <c r="AE12" s="8">
        <f>IFERROR(VLOOKUP(A12,Glenda_leyte,12,FALSE),"")</f>
        <v>45962.646441741948</v>
      </c>
      <c r="AF12" s="9"/>
      <c r="AG12" s="4"/>
      <c r="AH12" s="4"/>
      <c r="AI12" s="5">
        <f t="shared" ref="AI12:AI80" si="11">SUM(AG12:AH12)</f>
        <v>0</v>
      </c>
      <c r="AJ12" s="5"/>
      <c r="AK12" s="8"/>
      <c r="AL12" s="9">
        <f t="shared" ref="AL12:AL29" si="12">IFERROR(VLOOKUP(A12,Ruby_Leyte,3,FALSE),"")</f>
        <v>800</v>
      </c>
      <c r="AM12" s="4">
        <f t="shared" ref="AM12:AM29" si="13">IFERROR(VLOOKUP(A12,Ruby_Leyte,6,FALSE),"")</f>
        <v>0</v>
      </c>
      <c r="AN12" s="4">
        <f t="shared" ref="AN12:AN29" si="14">IFERROR(VLOOKUP(A12,Ruby_Leyte,7,FALSE),"")</f>
        <v>784.99990000000003</v>
      </c>
      <c r="AO12" s="5">
        <f t="shared" ref="AO12:AO80" si="15">SUM(AM12:AN12)</f>
        <v>784.99990000000003</v>
      </c>
      <c r="AP12" s="5">
        <f t="shared" ref="AP12:AP29" si="16">IFERROR(VLOOKUP(A12,Ruby_Leyte,14,FALSE),"")</f>
        <v>551.06992979999995</v>
      </c>
      <c r="AQ12" s="8">
        <f t="shared" ref="AQ12:AQ29" si="17">IFERROR(VLOOKUP(A12,Ruby_Leyte,16,FALSE),"")</f>
        <v>9368188.8065999988</v>
      </c>
      <c r="AR12" s="9">
        <f t="shared" ref="AR12:AR52" si="18">IFERROR(VLOOKUP(A12,Urduja_Leyte,3,FALSE),"")</f>
        <v>614</v>
      </c>
      <c r="AS12" s="4">
        <f t="shared" ref="AS12:AS52" si="19">IFERROR(VLOOKUP(A12,Urduja_Leyte,6,FALSE),"")</f>
        <v>586</v>
      </c>
      <c r="AT12" s="4">
        <f t="shared" ref="AT12:AT52" si="20">IFERROR(VLOOKUP(A12,Urduja_Leyte,7,FALSE),"")</f>
        <v>0</v>
      </c>
      <c r="AU12" s="5">
        <f t="shared" ref="AU12:AU78" si="21">SUM(AS12:AT12)</f>
        <v>586</v>
      </c>
      <c r="AV12" s="5"/>
      <c r="AW12" s="8">
        <f t="shared" ref="AW12:AW52" si="22">IFERROR(VLOOKUP(A12,Urduja_Leyte,17,FALSE),"")</f>
        <v>4377420</v>
      </c>
      <c r="AX12" s="3">
        <f t="shared" si="1"/>
        <v>64</v>
      </c>
      <c r="AY12" s="3">
        <f t="shared" si="2"/>
        <v>45.6</v>
      </c>
      <c r="AZ12" s="3">
        <f t="shared" si="3"/>
        <v>8</v>
      </c>
      <c r="BA12" s="5">
        <f t="shared" ref="BA12:BA71" si="23">SUM(AY12:AZ12)</f>
        <v>53.6</v>
      </c>
      <c r="BB12" s="709"/>
      <c r="BC12" s="711">
        <f t="shared" si="5"/>
        <v>1708370.0078431375</v>
      </c>
    </row>
    <row r="13" spans="1:55" ht="16.5" x14ac:dyDescent="0.3">
      <c r="A13" s="712" t="s">
        <v>9</v>
      </c>
      <c r="B13" s="9">
        <v>300</v>
      </c>
      <c r="C13" s="4">
        <v>300</v>
      </c>
      <c r="D13" s="4">
        <v>0</v>
      </c>
      <c r="E13" s="5">
        <f t="shared" si="6"/>
        <v>300</v>
      </c>
      <c r="F13" s="5">
        <v>350.1</v>
      </c>
      <c r="G13" s="8">
        <v>2250000</v>
      </c>
      <c r="H13" s="9"/>
      <c r="I13" s="4"/>
      <c r="J13" s="4"/>
      <c r="K13" s="5">
        <f t="shared" si="7"/>
        <v>0</v>
      </c>
      <c r="L13" s="5"/>
      <c r="M13" s="8"/>
      <c r="N13" s="9"/>
      <c r="O13" s="4"/>
      <c r="P13" s="4"/>
      <c r="Q13" s="5">
        <f t="shared" si="8"/>
        <v>0</v>
      </c>
      <c r="R13" s="5"/>
      <c r="S13" s="8"/>
      <c r="T13" s="9"/>
      <c r="U13" s="4"/>
      <c r="V13" s="4"/>
      <c r="W13" s="5">
        <f t="shared" si="9"/>
        <v>0</v>
      </c>
      <c r="X13" s="5"/>
      <c r="Y13" s="8"/>
      <c r="Z13" s="9" t="str">
        <f>IFERROR(VLOOKUP(A13,Glenda_leyte,2,FALSE),"")</f>
        <v/>
      </c>
      <c r="AA13" s="4" t="str">
        <f>IFERROR(VLOOKUP(A13,Glenda_leyte,5,FALSE),"")</f>
        <v/>
      </c>
      <c r="AB13" s="4" t="str">
        <f>IFERROR(VLOOKUP(A13,Glenda_leyte,6,FALSE),"")</f>
        <v/>
      </c>
      <c r="AC13" s="5">
        <f t="shared" si="10"/>
        <v>0</v>
      </c>
      <c r="AD13" s="5"/>
      <c r="AE13" s="8" t="str">
        <f>IFERROR(VLOOKUP(A13,Glenda_leyte,12,FALSE),"")</f>
        <v/>
      </c>
      <c r="AF13" s="9"/>
      <c r="AG13" s="4"/>
      <c r="AH13" s="4"/>
      <c r="AI13" s="5">
        <f t="shared" si="11"/>
        <v>0</v>
      </c>
      <c r="AJ13" s="5"/>
      <c r="AK13" s="8"/>
      <c r="AL13" s="9" t="str">
        <f t="shared" si="12"/>
        <v/>
      </c>
      <c r="AM13" s="4" t="str">
        <f t="shared" si="13"/>
        <v/>
      </c>
      <c r="AN13" s="4" t="str">
        <f t="shared" si="14"/>
        <v/>
      </c>
      <c r="AO13" s="5">
        <f t="shared" ref="AO13:AO52" si="24">SUM(AM13:AN13)</f>
        <v>0</v>
      </c>
      <c r="AP13" s="5" t="str">
        <f t="shared" si="16"/>
        <v/>
      </c>
      <c r="AQ13" s="8" t="str">
        <f t="shared" si="17"/>
        <v/>
      </c>
      <c r="AR13" s="9">
        <f t="shared" si="18"/>
        <v>50</v>
      </c>
      <c r="AS13" s="4">
        <f t="shared" si="19"/>
        <v>55</v>
      </c>
      <c r="AT13" s="4">
        <f t="shared" si="20"/>
        <v>0</v>
      </c>
      <c r="AU13" s="5">
        <f t="shared" ref="AU13:AU52" si="25">SUM(AS13:AT13)</f>
        <v>55</v>
      </c>
      <c r="AV13" s="5"/>
      <c r="AW13" s="8">
        <f t="shared" si="22"/>
        <v>410850</v>
      </c>
      <c r="AX13" s="3">
        <f t="shared" si="1"/>
        <v>28</v>
      </c>
      <c r="AY13" s="3">
        <f t="shared" si="2"/>
        <v>1</v>
      </c>
      <c r="AZ13" s="3">
        <f t="shared" si="3"/>
        <v>12</v>
      </c>
      <c r="BA13" s="5">
        <f t="shared" ref="BA13:BA52" si="26">SUM(AY13:AZ13)</f>
        <v>13</v>
      </c>
      <c r="BB13" s="709"/>
      <c r="BC13" s="711">
        <f t="shared" si="5"/>
        <v>281087.4117647059</v>
      </c>
    </row>
    <row r="14" spans="1:55" ht="16.5" x14ac:dyDescent="0.3">
      <c r="A14" s="712" t="s">
        <v>10</v>
      </c>
      <c r="B14" s="9">
        <v>600</v>
      </c>
      <c r="C14" s="4">
        <v>514</v>
      </c>
      <c r="D14" s="4">
        <v>0</v>
      </c>
      <c r="E14" s="5">
        <f t="shared" si="6"/>
        <v>514</v>
      </c>
      <c r="F14" s="5">
        <v>599.83799999999997</v>
      </c>
      <c r="G14" s="8">
        <v>3855000</v>
      </c>
      <c r="H14" s="9"/>
      <c r="I14" s="4"/>
      <c r="J14" s="4"/>
      <c r="K14" s="5">
        <f t="shared" si="7"/>
        <v>0</v>
      </c>
      <c r="L14" s="5"/>
      <c r="M14" s="8"/>
      <c r="N14" s="9"/>
      <c r="O14" s="4"/>
      <c r="P14" s="4"/>
      <c r="Q14" s="5">
        <f t="shared" si="8"/>
        <v>0</v>
      </c>
      <c r="R14" s="5"/>
      <c r="S14" s="8"/>
      <c r="T14" s="9"/>
      <c r="U14" s="4"/>
      <c r="V14" s="4"/>
      <c r="W14" s="5">
        <f t="shared" si="9"/>
        <v>0</v>
      </c>
      <c r="X14" s="5"/>
      <c r="Y14" s="8"/>
      <c r="Z14" s="9" t="str">
        <f>IFERROR(VLOOKUP(A14,Glenda_leyte,2,FALSE),"")</f>
        <v/>
      </c>
      <c r="AA14" s="4" t="str">
        <f>IFERROR(VLOOKUP(A14,Glenda_leyte,5,FALSE),"")</f>
        <v/>
      </c>
      <c r="AB14" s="4" t="str">
        <f>IFERROR(VLOOKUP(A14,Glenda_leyte,6,FALSE),"")</f>
        <v/>
      </c>
      <c r="AC14" s="5">
        <f t="shared" si="10"/>
        <v>0</v>
      </c>
      <c r="AD14" s="5"/>
      <c r="AE14" s="8" t="str">
        <f>IFERROR(VLOOKUP(A14,Glenda_leyte,12,FALSE),"")</f>
        <v/>
      </c>
      <c r="AF14" s="9"/>
      <c r="AG14" s="4"/>
      <c r="AH14" s="4"/>
      <c r="AI14" s="5">
        <f t="shared" si="11"/>
        <v>0</v>
      </c>
      <c r="AJ14" s="5"/>
      <c r="AK14" s="8"/>
      <c r="AL14" s="9">
        <f t="shared" si="12"/>
        <v>10</v>
      </c>
      <c r="AM14" s="4">
        <f t="shared" si="13"/>
        <v>0</v>
      </c>
      <c r="AN14" s="4">
        <f t="shared" si="14"/>
        <v>12.5</v>
      </c>
      <c r="AO14" s="5">
        <f t="shared" si="24"/>
        <v>12.5</v>
      </c>
      <c r="AP14" s="5">
        <f t="shared" si="16"/>
        <v>17.55</v>
      </c>
      <c r="AQ14" s="8">
        <f t="shared" si="17"/>
        <v>298350</v>
      </c>
      <c r="AR14" s="9">
        <f t="shared" si="18"/>
        <v>0</v>
      </c>
      <c r="AS14" s="4">
        <f t="shared" si="19"/>
        <v>0</v>
      </c>
      <c r="AT14" s="4">
        <f t="shared" si="20"/>
        <v>0</v>
      </c>
      <c r="AU14" s="5">
        <f t="shared" si="25"/>
        <v>0</v>
      </c>
      <c r="AV14" s="5"/>
      <c r="AW14" s="8">
        <f t="shared" si="22"/>
        <v>0</v>
      </c>
      <c r="AX14" s="3">
        <f t="shared" si="1"/>
        <v>61</v>
      </c>
      <c r="AY14" s="3">
        <f t="shared" si="2"/>
        <v>0</v>
      </c>
      <c r="AZ14" s="3">
        <f t="shared" si="3"/>
        <v>51</v>
      </c>
      <c r="BA14" s="5">
        <f t="shared" si="26"/>
        <v>51</v>
      </c>
      <c r="BB14" s="709"/>
      <c r="BC14" s="711">
        <f t="shared" si="5"/>
        <v>259582.5</v>
      </c>
    </row>
    <row r="15" spans="1:55" ht="16.5" x14ac:dyDescent="0.3">
      <c r="A15" s="712" t="s">
        <v>273</v>
      </c>
      <c r="B15" s="9"/>
      <c r="C15" s="4"/>
      <c r="D15" s="4"/>
      <c r="G15" s="8"/>
      <c r="H15" s="9"/>
      <c r="I15" s="4"/>
      <c r="J15" s="4"/>
      <c r="K15" s="5"/>
      <c r="L15" s="5"/>
      <c r="M15" s="8"/>
      <c r="N15" s="9"/>
      <c r="O15" s="4"/>
      <c r="P15" s="4"/>
      <c r="Q15" s="5"/>
      <c r="R15" s="5"/>
      <c r="S15" s="8"/>
      <c r="T15" s="9"/>
      <c r="U15" s="4"/>
      <c r="V15" s="4"/>
      <c r="W15" s="5"/>
      <c r="X15" s="5"/>
      <c r="Y15" s="8"/>
      <c r="Z15" s="9"/>
      <c r="AA15" s="4"/>
      <c r="AB15" s="4"/>
      <c r="AC15" s="5"/>
      <c r="AD15" s="5"/>
      <c r="AE15" s="8"/>
      <c r="AF15" s="9"/>
      <c r="AG15" s="4"/>
      <c r="AH15" s="4"/>
      <c r="AI15" s="5"/>
      <c r="AJ15" s="5"/>
      <c r="AK15" s="8"/>
      <c r="AL15" s="9">
        <f t="shared" si="12"/>
        <v>300</v>
      </c>
      <c r="AM15" s="4">
        <f t="shared" si="13"/>
        <v>151</v>
      </c>
      <c r="AN15" s="4">
        <f t="shared" si="14"/>
        <v>99</v>
      </c>
      <c r="AO15" s="5">
        <f t="shared" si="24"/>
        <v>250</v>
      </c>
      <c r="AP15" s="5">
        <f t="shared" si="16"/>
        <v>287.82</v>
      </c>
      <c r="AQ15" s="8">
        <f t="shared" si="17"/>
        <v>4892940</v>
      </c>
      <c r="AR15" s="9">
        <f t="shared" si="18"/>
        <v>120</v>
      </c>
      <c r="AS15" s="4">
        <f t="shared" si="19"/>
        <v>150</v>
      </c>
      <c r="AT15" s="4">
        <f t="shared" si="20"/>
        <v>0</v>
      </c>
      <c r="AU15" s="5">
        <f t="shared" si="25"/>
        <v>150</v>
      </c>
      <c r="AV15" s="5"/>
      <c r="AW15" s="8">
        <f t="shared" si="22"/>
        <v>1120500</v>
      </c>
      <c r="AX15" s="3" t="str">
        <f t="shared" si="1"/>
        <v/>
      </c>
      <c r="AY15" s="3" t="str">
        <f t="shared" si="2"/>
        <v/>
      </c>
      <c r="AZ15" s="3" t="str">
        <f t="shared" si="3"/>
        <v/>
      </c>
      <c r="BA15" s="5">
        <f t="shared" si="26"/>
        <v>0</v>
      </c>
      <c r="BB15" s="709"/>
      <c r="BC15" s="711" t="str">
        <f t="shared" si="5"/>
        <v/>
      </c>
    </row>
    <row r="16" spans="1:55" ht="16.5" x14ac:dyDescent="0.3">
      <c r="A16" s="712" t="s">
        <v>278</v>
      </c>
      <c r="B16" s="9"/>
      <c r="C16" s="4"/>
      <c r="D16" s="4"/>
      <c r="G16" s="8"/>
      <c r="H16" s="9"/>
      <c r="I16" s="4"/>
      <c r="J16" s="4"/>
      <c r="K16" s="5"/>
      <c r="L16" s="5"/>
      <c r="M16" s="8"/>
      <c r="N16" s="9"/>
      <c r="O16" s="4"/>
      <c r="P16" s="4"/>
      <c r="Q16" s="5"/>
      <c r="R16" s="5"/>
      <c r="S16" s="8"/>
      <c r="T16" s="9"/>
      <c r="U16" s="4"/>
      <c r="V16" s="4"/>
      <c r="W16" s="5"/>
      <c r="X16" s="5"/>
      <c r="Y16" s="8"/>
      <c r="Z16" s="9"/>
      <c r="AA16" s="4"/>
      <c r="AB16" s="4"/>
      <c r="AC16" s="5"/>
      <c r="AD16" s="5"/>
      <c r="AE16" s="8"/>
      <c r="AF16" s="9"/>
      <c r="AG16" s="4"/>
      <c r="AH16" s="4"/>
      <c r="AI16" s="5"/>
      <c r="AJ16" s="5"/>
      <c r="AK16" s="8"/>
      <c r="AL16" s="9">
        <f t="shared" si="12"/>
        <v>10</v>
      </c>
      <c r="AM16" s="4">
        <f t="shared" si="13"/>
        <v>0</v>
      </c>
      <c r="AN16" s="4">
        <f t="shared" si="14"/>
        <v>12.5</v>
      </c>
      <c r="AO16" s="5">
        <f t="shared" si="24"/>
        <v>12.5</v>
      </c>
      <c r="AP16" s="5">
        <f t="shared" si="16"/>
        <v>17.55</v>
      </c>
      <c r="AQ16" s="8">
        <f t="shared" si="17"/>
        <v>298350</v>
      </c>
      <c r="AR16" s="9">
        <f t="shared" si="18"/>
        <v>0</v>
      </c>
      <c r="AS16" s="4">
        <f t="shared" si="19"/>
        <v>0</v>
      </c>
      <c r="AT16" s="4">
        <f t="shared" si="20"/>
        <v>0</v>
      </c>
      <c r="AU16" s="5">
        <f t="shared" si="25"/>
        <v>0</v>
      </c>
      <c r="AV16" s="5"/>
      <c r="AW16" s="8">
        <f t="shared" si="22"/>
        <v>0</v>
      </c>
      <c r="AX16" s="3">
        <f t="shared" si="1"/>
        <v>61</v>
      </c>
      <c r="AY16" s="3">
        <f t="shared" si="2"/>
        <v>0</v>
      </c>
      <c r="AZ16" s="3">
        <f t="shared" si="3"/>
        <v>51</v>
      </c>
      <c r="BA16" s="5">
        <f t="shared" si="26"/>
        <v>51</v>
      </c>
      <c r="BB16" s="709"/>
      <c r="BC16" s="711">
        <f t="shared" si="5"/>
        <v>259582.5</v>
      </c>
    </row>
    <row r="17" spans="1:55" ht="16.5" x14ac:dyDescent="0.3">
      <c r="A17" s="712" t="s">
        <v>11</v>
      </c>
      <c r="B17" s="9">
        <v>2332</v>
      </c>
      <c r="C17" s="4">
        <v>1166.4000000000001</v>
      </c>
      <c r="D17" s="4">
        <v>0</v>
      </c>
      <c r="E17" s="5">
        <f t="shared" si="6"/>
        <v>1166.4000000000001</v>
      </c>
      <c r="F17" s="5">
        <v>2268.6480000000001</v>
      </c>
      <c r="G17" s="8">
        <v>11664000</v>
      </c>
      <c r="H17" s="9"/>
      <c r="I17" s="4"/>
      <c r="J17" s="4"/>
      <c r="K17" s="5">
        <f t="shared" si="7"/>
        <v>0</v>
      </c>
      <c r="L17" s="5"/>
      <c r="M17" s="8"/>
      <c r="N17" s="9"/>
      <c r="O17" s="4"/>
      <c r="P17" s="4"/>
      <c r="Q17" s="5">
        <f t="shared" si="8"/>
        <v>0</v>
      </c>
      <c r="R17" s="5"/>
      <c r="S17" s="8"/>
      <c r="T17" s="9"/>
      <c r="U17" s="4"/>
      <c r="V17" s="4"/>
      <c r="W17" s="5">
        <f t="shared" si="9"/>
        <v>0</v>
      </c>
      <c r="X17" s="5"/>
      <c r="Y17" s="8"/>
      <c r="Z17" s="9" t="str">
        <f>IFERROR(VLOOKUP(A17,Glenda_leyte,2,FALSE),"")</f>
        <v/>
      </c>
      <c r="AA17" s="4" t="str">
        <f>IFERROR(VLOOKUP(A17,Glenda_leyte,5,FALSE),"")</f>
        <v/>
      </c>
      <c r="AB17" s="4" t="str">
        <f>IFERROR(VLOOKUP(A17,Glenda_leyte,6,FALSE),"")</f>
        <v/>
      </c>
      <c r="AC17" s="5">
        <f t="shared" si="10"/>
        <v>0</v>
      </c>
      <c r="AD17" s="5"/>
      <c r="AE17" s="8" t="str">
        <f>IFERROR(VLOOKUP(A17,Glenda_leyte,12,FALSE),"")</f>
        <v/>
      </c>
      <c r="AF17" s="9"/>
      <c r="AG17" s="4"/>
      <c r="AH17" s="4"/>
      <c r="AI17" s="5">
        <f t="shared" si="11"/>
        <v>0</v>
      </c>
      <c r="AJ17" s="5"/>
      <c r="AK17" s="8"/>
      <c r="AL17" s="9" t="str">
        <f t="shared" si="12"/>
        <v/>
      </c>
      <c r="AM17" s="4" t="str">
        <f t="shared" si="13"/>
        <v/>
      </c>
      <c r="AN17" s="4" t="str">
        <f t="shared" si="14"/>
        <v/>
      </c>
      <c r="AO17" s="5">
        <f t="shared" si="24"/>
        <v>0</v>
      </c>
      <c r="AP17" s="5" t="str">
        <f t="shared" si="16"/>
        <v/>
      </c>
      <c r="AQ17" s="8" t="str">
        <f t="shared" si="17"/>
        <v/>
      </c>
      <c r="AR17" s="9">
        <f t="shared" si="18"/>
        <v>79</v>
      </c>
      <c r="AS17" s="4">
        <f t="shared" si="19"/>
        <v>85</v>
      </c>
      <c r="AT17" s="4">
        <f t="shared" si="20"/>
        <v>0</v>
      </c>
      <c r="AU17" s="5">
        <f t="shared" si="25"/>
        <v>85</v>
      </c>
      <c r="AV17" s="5"/>
      <c r="AW17" s="8">
        <f t="shared" si="22"/>
        <v>1415248.3333333335</v>
      </c>
      <c r="AX17" s="3" t="str">
        <f t="shared" si="1"/>
        <v/>
      </c>
      <c r="AY17" s="3" t="str">
        <f t="shared" si="2"/>
        <v/>
      </c>
      <c r="AZ17" s="3" t="str">
        <f t="shared" si="3"/>
        <v/>
      </c>
      <c r="BA17" s="5">
        <f t="shared" si="26"/>
        <v>0</v>
      </c>
      <c r="BB17" s="709"/>
      <c r="BC17" s="711" t="str">
        <f t="shared" si="5"/>
        <v/>
      </c>
    </row>
    <row r="18" spans="1:55" ht="16.5" x14ac:dyDescent="0.3">
      <c r="A18" s="712" t="s">
        <v>12</v>
      </c>
      <c r="B18" s="9">
        <v>1100</v>
      </c>
      <c r="C18" s="4">
        <v>350</v>
      </c>
      <c r="D18" s="4">
        <v>0</v>
      </c>
      <c r="E18" s="5">
        <f t="shared" si="6"/>
        <v>350</v>
      </c>
      <c r="F18" s="5">
        <v>408.45</v>
      </c>
      <c r="G18" s="8">
        <v>2625000</v>
      </c>
      <c r="H18" s="9"/>
      <c r="I18" s="4"/>
      <c r="J18" s="4"/>
      <c r="K18" s="5">
        <f t="shared" si="7"/>
        <v>0</v>
      </c>
      <c r="L18" s="5"/>
      <c r="M18" s="8"/>
      <c r="N18" s="9"/>
      <c r="O18" s="4"/>
      <c r="P18" s="4"/>
      <c r="Q18" s="5">
        <f t="shared" si="8"/>
        <v>0</v>
      </c>
      <c r="R18" s="5"/>
      <c r="S18" s="8"/>
      <c r="T18" s="9"/>
      <c r="U18" s="4"/>
      <c r="V18" s="4"/>
      <c r="W18" s="5">
        <f t="shared" si="9"/>
        <v>0</v>
      </c>
      <c r="X18" s="5"/>
      <c r="Y18" s="8"/>
      <c r="Z18" s="9" t="str">
        <f>IFERROR(VLOOKUP(A18,Glenda_leyte,2,FALSE),"")</f>
        <v/>
      </c>
      <c r="AA18" s="4" t="str">
        <f>IFERROR(VLOOKUP(A18,Glenda_leyte,5,FALSE),"")</f>
        <v/>
      </c>
      <c r="AB18" s="4" t="str">
        <f>IFERROR(VLOOKUP(A18,Glenda_leyte,6,FALSE),"")</f>
        <v/>
      </c>
      <c r="AC18" s="5">
        <f t="shared" si="10"/>
        <v>0</v>
      </c>
      <c r="AD18" s="5"/>
      <c r="AE18" s="8" t="str">
        <f>IFERROR(VLOOKUP(A18,Glenda_leyte,12,FALSE),"")</f>
        <v/>
      </c>
      <c r="AF18" s="9"/>
      <c r="AG18" s="4"/>
      <c r="AH18" s="4"/>
      <c r="AI18" s="5">
        <f t="shared" si="11"/>
        <v>0</v>
      </c>
      <c r="AJ18" s="5"/>
      <c r="AK18" s="8"/>
      <c r="AL18" s="9">
        <f t="shared" si="12"/>
        <v>961</v>
      </c>
      <c r="AM18" s="4">
        <f t="shared" si="13"/>
        <v>726</v>
      </c>
      <c r="AN18" s="4">
        <f t="shared" si="14"/>
        <v>117</v>
      </c>
      <c r="AO18" s="5">
        <f t="shared" si="24"/>
        <v>843</v>
      </c>
      <c r="AP18" s="5">
        <f t="shared" si="16"/>
        <v>1141.452</v>
      </c>
      <c r="AQ18" s="8">
        <f t="shared" si="17"/>
        <v>19404684</v>
      </c>
      <c r="AR18" s="9">
        <f t="shared" si="18"/>
        <v>60</v>
      </c>
      <c r="AS18" s="4">
        <f t="shared" si="19"/>
        <v>60</v>
      </c>
      <c r="AT18" s="4">
        <f t="shared" si="20"/>
        <v>60</v>
      </c>
      <c r="AU18" s="5">
        <f t="shared" si="25"/>
        <v>120</v>
      </c>
      <c r="AV18" s="5"/>
      <c r="AW18" s="8">
        <f t="shared" si="22"/>
        <v>60</v>
      </c>
      <c r="AX18" s="3">
        <f t="shared" si="1"/>
        <v>11</v>
      </c>
      <c r="AY18" s="3">
        <f t="shared" si="2"/>
        <v>5</v>
      </c>
      <c r="AZ18" s="3">
        <f t="shared" si="3"/>
        <v>7</v>
      </c>
      <c r="BA18" s="5">
        <f t="shared" si="26"/>
        <v>12</v>
      </c>
      <c r="BB18" s="709"/>
      <c r="BC18" s="711">
        <f t="shared" si="5"/>
        <v>196960.15686274509</v>
      </c>
    </row>
    <row r="19" spans="1:55" ht="16.5" x14ac:dyDescent="0.3">
      <c r="A19" s="712" t="s">
        <v>13</v>
      </c>
      <c r="B19" s="9">
        <v>80</v>
      </c>
      <c r="C19" s="4">
        <v>39</v>
      </c>
      <c r="D19" s="4">
        <v>0</v>
      </c>
      <c r="E19" s="5">
        <f t="shared" si="6"/>
        <v>39</v>
      </c>
      <c r="F19" s="5">
        <v>45.512999999999998</v>
      </c>
      <c r="G19" s="8">
        <v>292500</v>
      </c>
      <c r="H19" s="9"/>
      <c r="I19" s="4"/>
      <c r="J19" s="4"/>
      <c r="K19" s="5">
        <f t="shared" si="7"/>
        <v>0</v>
      </c>
      <c r="L19" s="5"/>
      <c r="M19" s="8"/>
      <c r="N19" s="9"/>
      <c r="O19" s="4"/>
      <c r="P19" s="4"/>
      <c r="Q19" s="5">
        <f t="shared" si="8"/>
        <v>0</v>
      </c>
      <c r="R19" s="5"/>
      <c r="S19" s="8"/>
      <c r="T19" s="9"/>
      <c r="U19" s="4"/>
      <c r="V19" s="4"/>
      <c r="W19" s="5">
        <f t="shared" si="9"/>
        <v>0</v>
      </c>
      <c r="X19" s="5"/>
      <c r="Y19" s="8"/>
      <c r="Z19" s="9" t="str">
        <f>IFERROR(VLOOKUP(A19,Glenda_leyte,2,FALSE),"")</f>
        <v/>
      </c>
      <c r="AA19" s="4" t="str">
        <f>IFERROR(VLOOKUP(A19,Glenda_leyte,5,FALSE),"")</f>
        <v/>
      </c>
      <c r="AB19" s="4" t="str">
        <f>IFERROR(VLOOKUP(A19,Glenda_leyte,6,FALSE),"")</f>
        <v/>
      </c>
      <c r="AC19" s="5">
        <f t="shared" si="10"/>
        <v>0</v>
      </c>
      <c r="AD19" s="5"/>
      <c r="AE19" s="8" t="str">
        <f>IFERROR(VLOOKUP(A19,Glenda_leyte,12,FALSE),"")</f>
        <v/>
      </c>
      <c r="AF19" s="9"/>
      <c r="AG19" s="4"/>
      <c r="AH19" s="4"/>
      <c r="AI19" s="5">
        <f t="shared" si="11"/>
        <v>0</v>
      </c>
      <c r="AJ19" s="5"/>
      <c r="AK19" s="8"/>
      <c r="AL19" s="9">
        <f t="shared" si="12"/>
        <v>60</v>
      </c>
      <c r="AM19" s="4">
        <f t="shared" si="13"/>
        <v>21</v>
      </c>
      <c r="AN19" s="4">
        <f t="shared" si="14"/>
        <v>14</v>
      </c>
      <c r="AO19" s="5">
        <f t="shared" si="24"/>
        <v>35</v>
      </c>
      <c r="AP19" s="5">
        <f t="shared" si="16"/>
        <v>12.285</v>
      </c>
      <c r="AQ19" s="8">
        <f t="shared" si="17"/>
        <v>208845</v>
      </c>
      <c r="AR19" s="9">
        <f t="shared" si="18"/>
        <v>1978</v>
      </c>
      <c r="AS19" s="4">
        <f t="shared" si="19"/>
        <v>1742</v>
      </c>
      <c r="AT19" s="4">
        <f t="shared" si="20"/>
        <v>0</v>
      </c>
      <c r="AU19" s="5">
        <f t="shared" si="25"/>
        <v>1742</v>
      </c>
      <c r="AV19" s="5"/>
      <c r="AW19" s="8">
        <f t="shared" si="22"/>
        <v>13012740</v>
      </c>
      <c r="AX19" s="3">
        <f t="shared" si="1"/>
        <v>1300</v>
      </c>
      <c r="AY19" s="3">
        <f t="shared" si="2"/>
        <v>0</v>
      </c>
      <c r="AZ19" s="3">
        <f t="shared" si="3"/>
        <v>1200</v>
      </c>
      <c r="BA19" s="5">
        <f t="shared" si="26"/>
        <v>1200</v>
      </c>
      <c r="BB19" s="709"/>
      <c r="BC19" s="711">
        <f t="shared" si="5"/>
        <v>27361741.176470589</v>
      </c>
    </row>
    <row r="20" spans="1:55" ht="16.5" x14ac:dyDescent="0.3">
      <c r="A20" s="712" t="s">
        <v>271</v>
      </c>
      <c r="B20" s="9"/>
      <c r="C20" s="4"/>
      <c r="D20" s="4"/>
      <c r="G20" s="8"/>
      <c r="H20" s="9"/>
      <c r="I20" s="4"/>
      <c r="J20" s="4"/>
      <c r="K20" s="5"/>
      <c r="L20" s="5"/>
      <c r="M20" s="8"/>
      <c r="N20" s="9"/>
      <c r="O20" s="4"/>
      <c r="P20" s="4"/>
      <c r="Q20" s="5"/>
      <c r="R20" s="5"/>
      <c r="S20" s="8"/>
      <c r="T20" s="9"/>
      <c r="U20" s="4"/>
      <c r="V20" s="4"/>
      <c r="W20" s="5"/>
      <c r="X20" s="5"/>
      <c r="Y20" s="8"/>
      <c r="Z20" s="9"/>
      <c r="AA20" s="4"/>
      <c r="AB20" s="4"/>
      <c r="AC20" s="5"/>
      <c r="AD20" s="5"/>
      <c r="AE20" s="8"/>
      <c r="AF20" s="9"/>
      <c r="AG20" s="4"/>
      <c r="AH20" s="4"/>
      <c r="AI20" s="5"/>
      <c r="AJ20" s="5"/>
      <c r="AK20" s="8"/>
      <c r="AL20" s="9">
        <f t="shared" si="12"/>
        <v>6</v>
      </c>
      <c r="AM20" s="4">
        <f t="shared" si="13"/>
        <v>0.97499999999999998</v>
      </c>
      <c r="AN20" s="4">
        <f t="shared" si="14"/>
        <v>2.2799999999999998</v>
      </c>
      <c r="AO20" s="5">
        <f t="shared" si="24"/>
        <v>3.2549999999999999</v>
      </c>
      <c r="AP20" s="5">
        <f t="shared" si="16"/>
        <v>2.2850099999999998</v>
      </c>
      <c r="AQ20" s="8">
        <f t="shared" si="17"/>
        <v>38845.17</v>
      </c>
      <c r="AR20" s="9">
        <f t="shared" si="18"/>
        <v>0</v>
      </c>
      <c r="AS20" s="4">
        <f t="shared" si="19"/>
        <v>0</v>
      </c>
      <c r="AT20" s="4">
        <f t="shared" si="20"/>
        <v>0</v>
      </c>
      <c r="AU20" s="5">
        <f t="shared" si="25"/>
        <v>0</v>
      </c>
      <c r="AV20" s="5"/>
      <c r="AW20" s="8">
        <f t="shared" si="22"/>
        <v>0</v>
      </c>
      <c r="AX20" s="3" t="str">
        <f t="shared" si="1"/>
        <v/>
      </c>
      <c r="AY20" s="3" t="str">
        <f t="shared" si="2"/>
        <v/>
      </c>
      <c r="AZ20" s="3" t="str">
        <f t="shared" si="3"/>
        <v/>
      </c>
      <c r="BA20" s="5">
        <f t="shared" si="26"/>
        <v>0</v>
      </c>
      <c r="BB20" s="709"/>
      <c r="BC20" s="711" t="str">
        <f t="shared" si="5"/>
        <v/>
      </c>
    </row>
    <row r="21" spans="1:55" ht="16.5" x14ac:dyDescent="0.3">
      <c r="A21" s="712" t="s">
        <v>279</v>
      </c>
      <c r="B21" s="9"/>
      <c r="C21" s="4"/>
      <c r="D21" s="4"/>
      <c r="G21" s="8"/>
      <c r="H21" s="9"/>
      <c r="I21" s="4"/>
      <c r="J21" s="4"/>
      <c r="K21" s="5"/>
      <c r="L21" s="5"/>
      <c r="M21" s="8"/>
      <c r="N21" s="9"/>
      <c r="O21" s="4"/>
      <c r="P21" s="4"/>
      <c r="Q21" s="5"/>
      <c r="R21" s="5"/>
      <c r="S21" s="8"/>
      <c r="T21" s="9"/>
      <c r="U21" s="4"/>
      <c r="V21" s="4"/>
      <c r="W21" s="5"/>
      <c r="X21" s="5"/>
      <c r="Y21" s="8"/>
      <c r="Z21" s="9"/>
      <c r="AA21" s="4"/>
      <c r="AB21" s="4"/>
      <c r="AC21" s="5"/>
      <c r="AD21" s="5"/>
      <c r="AE21" s="8"/>
      <c r="AF21" s="9"/>
      <c r="AG21" s="4"/>
      <c r="AH21" s="4"/>
      <c r="AI21" s="5"/>
      <c r="AJ21" s="5"/>
      <c r="AK21" s="8"/>
      <c r="AL21" s="9" t="str">
        <f t="shared" si="12"/>
        <v/>
      </c>
      <c r="AM21" s="4" t="str">
        <f t="shared" si="13"/>
        <v/>
      </c>
      <c r="AN21" s="4" t="str">
        <f t="shared" si="14"/>
        <v/>
      </c>
      <c r="AO21" s="5">
        <f t="shared" si="24"/>
        <v>0</v>
      </c>
      <c r="AP21" s="5" t="str">
        <f t="shared" si="16"/>
        <v/>
      </c>
      <c r="AQ21" s="8" t="str">
        <f t="shared" si="17"/>
        <v/>
      </c>
      <c r="AR21" s="9">
        <f t="shared" si="18"/>
        <v>470.40000000000003</v>
      </c>
      <c r="AS21" s="4">
        <f t="shared" si="19"/>
        <v>588</v>
      </c>
      <c r="AT21" s="4">
        <f t="shared" si="20"/>
        <v>0</v>
      </c>
      <c r="AU21" s="5">
        <f t="shared" si="25"/>
        <v>588</v>
      </c>
      <c r="AV21" s="5"/>
      <c r="AW21" s="8">
        <f t="shared" si="22"/>
        <v>4392360</v>
      </c>
      <c r="AX21" s="3">
        <f t="shared" si="1"/>
        <v>588</v>
      </c>
      <c r="AY21" s="3">
        <f t="shared" si="2"/>
        <v>0</v>
      </c>
      <c r="AZ21" s="3">
        <f t="shared" si="3"/>
        <v>490</v>
      </c>
      <c r="BA21" s="5">
        <f t="shared" si="26"/>
        <v>490</v>
      </c>
      <c r="BB21" s="709"/>
      <c r="BC21" s="711">
        <f t="shared" si="5"/>
        <v>2494027.9411764708</v>
      </c>
    </row>
    <row r="22" spans="1:55" ht="16.5" x14ac:dyDescent="0.3">
      <c r="A22" s="712" t="s">
        <v>14</v>
      </c>
      <c r="B22" s="9">
        <v>700</v>
      </c>
      <c r="C22" s="4">
        <v>400</v>
      </c>
      <c r="D22" s="4">
        <v>0</v>
      </c>
      <c r="E22" s="5">
        <f t="shared" si="6"/>
        <v>400</v>
      </c>
      <c r="F22" s="5">
        <v>466.8</v>
      </c>
      <c r="G22" s="8">
        <v>3000000</v>
      </c>
      <c r="H22" s="9"/>
      <c r="I22" s="4"/>
      <c r="J22" s="4"/>
      <c r="K22" s="5">
        <f t="shared" si="7"/>
        <v>0</v>
      </c>
      <c r="L22" s="5"/>
      <c r="M22" s="8"/>
      <c r="N22" s="9"/>
      <c r="O22" s="4"/>
      <c r="P22" s="4"/>
      <c r="Q22" s="5">
        <f t="shared" si="8"/>
        <v>0</v>
      </c>
      <c r="R22" s="5"/>
      <c r="S22" s="8"/>
      <c r="T22" s="9"/>
      <c r="U22" s="4"/>
      <c r="V22" s="4"/>
      <c r="W22" s="5">
        <f t="shared" si="9"/>
        <v>0</v>
      </c>
      <c r="X22" s="5"/>
      <c r="Y22" s="8"/>
      <c r="Z22" s="9" t="str">
        <f>IFERROR(VLOOKUP(A22,Glenda_leyte,2,FALSE),"")</f>
        <v/>
      </c>
      <c r="AA22" s="4" t="str">
        <f>IFERROR(VLOOKUP(A22,Glenda_leyte,5,FALSE),"")</f>
        <v/>
      </c>
      <c r="AB22" s="4" t="str">
        <f>IFERROR(VLOOKUP(A22,Glenda_leyte,6,FALSE),"")</f>
        <v/>
      </c>
      <c r="AC22" s="5">
        <f t="shared" si="10"/>
        <v>0</v>
      </c>
      <c r="AD22" s="5"/>
      <c r="AE22" s="8" t="str">
        <f>IFERROR(VLOOKUP(A22,Glenda_leyte,12,FALSE),"")</f>
        <v/>
      </c>
      <c r="AF22" s="9"/>
      <c r="AG22" s="4"/>
      <c r="AH22" s="4"/>
      <c r="AI22" s="5">
        <f t="shared" si="11"/>
        <v>0</v>
      </c>
      <c r="AJ22" s="5"/>
      <c r="AK22" s="8"/>
      <c r="AL22" s="9">
        <f t="shared" si="12"/>
        <v>273</v>
      </c>
      <c r="AM22" s="4">
        <f t="shared" si="13"/>
        <v>35</v>
      </c>
      <c r="AN22" s="4">
        <f t="shared" si="14"/>
        <v>240.555555555555</v>
      </c>
      <c r="AO22" s="5">
        <f t="shared" si="24"/>
        <v>275.55555555555497</v>
      </c>
      <c r="AP22" s="5">
        <f t="shared" si="16"/>
        <v>168.86999999999961</v>
      </c>
      <c r="AQ22" s="8">
        <f t="shared" si="17"/>
        <v>2870789.9999999935</v>
      </c>
      <c r="AR22" s="9">
        <f t="shared" si="18"/>
        <v>286.40000000000003</v>
      </c>
      <c r="AS22" s="4">
        <f t="shared" si="19"/>
        <v>358</v>
      </c>
      <c r="AT22" s="4">
        <f t="shared" si="20"/>
        <v>0</v>
      </c>
      <c r="AU22" s="5">
        <f t="shared" si="25"/>
        <v>358</v>
      </c>
      <c r="AV22" s="5"/>
      <c r="AW22" s="8">
        <f t="shared" si="22"/>
        <v>2674260</v>
      </c>
      <c r="AX22" s="3">
        <f t="shared" si="1"/>
        <v>1241</v>
      </c>
      <c r="AY22" s="3">
        <f t="shared" si="2"/>
        <v>0</v>
      </c>
      <c r="AZ22" s="3">
        <f t="shared" si="3"/>
        <v>497</v>
      </c>
      <c r="BA22" s="5">
        <f t="shared" si="26"/>
        <v>497</v>
      </c>
      <c r="BB22" s="709"/>
      <c r="BC22" s="711">
        <f t="shared" si="5"/>
        <v>1856295</v>
      </c>
    </row>
    <row r="23" spans="1:55" ht="16.5" x14ac:dyDescent="0.3">
      <c r="A23" s="712" t="s">
        <v>15</v>
      </c>
      <c r="B23" s="9">
        <v>1568</v>
      </c>
      <c r="C23" s="4">
        <v>2405</v>
      </c>
      <c r="D23" s="4">
        <v>0</v>
      </c>
      <c r="E23" s="5">
        <f t="shared" si="6"/>
        <v>2405</v>
      </c>
      <c r="F23" s="5">
        <v>2806.6350000000002</v>
      </c>
      <c r="G23" s="8">
        <v>18037500</v>
      </c>
      <c r="H23" s="9"/>
      <c r="I23" s="4"/>
      <c r="J23" s="4"/>
      <c r="K23" s="5">
        <f t="shared" si="7"/>
        <v>0</v>
      </c>
      <c r="L23" s="5"/>
      <c r="M23" s="8"/>
      <c r="N23" s="9"/>
      <c r="O23" s="4"/>
      <c r="P23" s="4"/>
      <c r="Q23" s="5">
        <f t="shared" si="8"/>
        <v>0</v>
      </c>
      <c r="R23" s="5"/>
      <c r="S23" s="8"/>
      <c r="T23" s="9"/>
      <c r="U23" s="4"/>
      <c r="V23" s="4"/>
      <c r="W23" s="5">
        <f t="shared" si="9"/>
        <v>0</v>
      </c>
      <c r="X23" s="5"/>
      <c r="Y23" s="8"/>
      <c r="Z23" s="9" t="str">
        <f>IFERROR(VLOOKUP(A23,Glenda_leyte,2,FALSE),"")</f>
        <v/>
      </c>
      <c r="AA23" s="4" t="str">
        <f>IFERROR(VLOOKUP(A23,Glenda_leyte,5,FALSE),"")</f>
        <v/>
      </c>
      <c r="AB23" s="4" t="str">
        <f>IFERROR(VLOOKUP(A23,Glenda_leyte,6,FALSE),"")</f>
        <v/>
      </c>
      <c r="AC23" s="5">
        <f t="shared" si="10"/>
        <v>0</v>
      </c>
      <c r="AD23" s="5"/>
      <c r="AE23" s="8" t="str">
        <f>IFERROR(VLOOKUP(A23,Glenda_leyte,12,FALSE),"")</f>
        <v/>
      </c>
      <c r="AF23" s="9"/>
      <c r="AG23" s="4"/>
      <c r="AH23" s="4"/>
      <c r="AI23" s="5">
        <f t="shared" si="11"/>
        <v>0</v>
      </c>
      <c r="AJ23" s="5"/>
      <c r="AK23" s="8"/>
      <c r="AL23" s="9">
        <f t="shared" si="12"/>
        <v>750</v>
      </c>
      <c r="AM23" s="4">
        <f t="shared" si="13"/>
        <v>0</v>
      </c>
      <c r="AN23" s="4">
        <f t="shared" si="14"/>
        <v>744</v>
      </c>
      <c r="AO23" s="5">
        <f t="shared" si="24"/>
        <v>744</v>
      </c>
      <c r="AP23" s="5">
        <f t="shared" si="16"/>
        <v>522.28800000000001</v>
      </c>
      <c r="AQ23" s="8">
        <f t="shared" si="17"/>
        <v>8878896</v>
      </c>
      <c r="AR23" s="9">
        <f t="shared" si="18"/>
        <v>864</v>
      </c>
      <c r="AS23" s="4">
        <f t="shared" si="19"/>
        <v>925</v>
      </c>
      <c r="AT23" s="4">
        <f t="shared" si="20"/>
        <v>231</v>
      </c>
      <c r="AU23" s="5">
        <f t="shared" si="25"/>
        <v>1156</v>
      </c>
      <c r="AV23" s="5"/>
      <c r="AW23" s="8">
        <f t="shared" si="22"/>
        <v>8119340.7352941176</v>
      </c>
      <c r="AX23" s="3">
        <f t="shared" si="1"/>
        <v>65</v>
      </c>
      <c r="AY23" s="3">
        <f t="shared" si="2"/>
        <v>1.72</v>
      </c>
      <c r="AZ23" s="3">
        <f t="shared" si="3"/>
        <v>58.28</v>
      </c>
      <c r="BA23" s="5">
        <f t="shared" si="26"/>
        <v>60</v>
      </c>
      <c r="BB23" s="709"/>
      <c r="BC23" s="711">
        <f t="shared" si="5"/>
        <v>642539.52549019619</v>
      </c>
    </row>
    <row r="24" spans="1:55" ht="16.5" x14ac:dyDescent="0.3">
      <c r="A24" s="712" t="s">
        <v>307</v>
      </c>
      <c r="B24" s="9">
        <v>5</v>
      </c>
      <c r="C24" s="4">
        <v>4.75</v>
      </c>
      <c r="D24" s="4">
        <v>0</v>
      </c>
      <c r="E24" s="5">
        <f t="shared" si="6"/>
        <v>4.75</v>
      </c>
      <c r="F24" s="5">
        <v>5.5432500000000005</v>
      </c>
      <c r="G24" s="8">
        <v>35625</v>
      </c>
      <c r="H24" s="9"/>
      <c r="I24" s="4"/>
      <c r="J24" s="4"/>
      <c r="K24" s="5">
        <f t="shared" si="7"/>
        <v>0</v>
      </c>
      <c r="L24" s="5"/>
      <c r="M24" s="8"/>
      <c r="N24" s="9"/>
      <c r="O24" s="4"/>
      <c r="P24" s="4"/>
      <c r="Q24" s="5">
        <f t="shared" si="8"/>
        <v>0</v>
      </c>
      <c r="R24" s="5"/>
      <c r="S24" s="8"/>
      <c r="T24" s="9"/>
      <c r="U24" s="4"/>
      <c r="V24" s="4"/>
      <c r="W24" s="5">
        <f t="shared" si="9"/>
        <v>0</v>
      </c>
      <c r="X24" s="5"/>
      <c r="Y24" s="8"/>
      <c r="Z24" s="9" t="str">
        <f>IFERROR(VLOOKUP(A24,Glenda_leyte,2,FALSE),"")</f>
        <v/>
      </c>
      <c r="AA24" s="4" t="str">
        <f>IFERROR(VLOOKUP(A24,Glenda_leyte,5,FALSE),"")</f>
        <v/>
      </c>
      <c r="AB24" s="4" t="str">
        <f>IFERROR(VLOOKUP(A24,Glenda_leyte,6,FALSE),"")</f>
        <v/>
      </c>
      <c r="AC24" s="5">
        <f t="shared" si="10"/>
        <v>0</v>
      </c>
      <c r="AD24" s="5"/>
      <c r="AE24" s="8" t="str">
        <f>IFERROR(VLOOKUP(A24,Glenda_leyte,12,FALSE),"")</f>
        <v/>
      </c>
      <c r="AF24" s="9"/>
      <c r="AG24" s="4"/>
      <c r="AH24" s="4"/>
      <c r="AI24" s="5">
        <f t="shared" si="11"/>
        <v>0</v>
      </c>
      <c r="AJ24" s="5"/>
      <c r="AK24" s="8"/>
      <c r="AL24" s="9" t="str">
        <f t="shared" si="12"/>
        <v/>
      </c>
      <c r="AM24" s="4" t="str">
        <f t="shared" si="13"/>
        <v/>
      </c>
      <c r="AN24" s="4" t="str">
        <f t="shared" si="14"/>
        <v/>
      </c>
      <c r="AO24" s="5">
        <f t="shared" si="24"/>
        <v>0</v>
      </c>
      <c r="AP24" s="5" t="str">
        <f t="shared" si="16"/>
        <v/>
      </c>
      <c r="AQ24" s="8" t="str">
        <f t="shared" si="17"/>
        <v/>
      </c>
      <c r="AR24" s="9">
        <f t="shared" si="18"/>
        <v>47</v>
      </c>
      <c r="AS24" s="4">
        <f t="shared" si="19"/>
        <v>51</v>
      </c>
      <c r="AT24" s="4">
        <f t="shared" si="20"/>
        <v>0</v>
      </c>
      <c r="AU24" s="5">
        <f t="shared" si="25"/>
        <v>51</v>
      </c>
      <c r="AV24" s="5"/>
      <c r="AW24" s="8">
        <f t="shared" si="22"/>
        <v>380970</v>
      </c>
      <c r="AX24" s="3" t="str">
        <f t="shared" si="1"/>
        <v/>
      </c>
      <c r="AY24" s="3" t="str">
        <f t="shared" si="2"/>
        <v/>
      </c>
      <c r="AZ24" s="3" t="str">
        <f t="shared" si="3"/>
        <v/>
      </c>
      <c r="BA24" s="5">
        <f t="shared" si="26"/>
        <v>0</v>
      </c>
      <c r="BB24" s="709"/>
      <c r="BC24" s="711" t="str">
        <f t="shared" si="5"/>
        <v/>
      </c>
    </row>
    <row r="25" spans="1:55" ht="16.5" x14ac:dyDescent="0.3">
      <c r="A25" s="712" t="s">
        <v>269</v>
      </c>
      <c r="B25" s="9"/>
      <c r="C25" s="4"/>
      <c r="D25" s="4"/>
      <c r="G25" s="8"/>
      <c r="H25" s="9"/>
      <c r="I25" s="4"/>
      <c r="J25" s="4"/>
      <c r="K25" s="5"/>
      <c r="L25" s="5"/>
      <c r="M25" s="8"/>
      <c r="N25" s="9"/>
      <c r="O25" s="4"/>
      <c r="P25" s="4"/>
      <c r="Q25" s="5"/>
      <c r="R25" s="5"/>
      <c r="S25" s="8"/>
      <c r="T25" s="9"/>
      <c r="U25" s="4"/>
      <c r="V25" s="4"/>
      <c r="W25" s="5"/>
      <c r="X25" s="5"/>
      <c r="Y25" s="8"/>
      <c r="Z25" s="9"/>
      <c r="AA25" s="4"/>
      <c r="AB25" s="4"/>
      <c r="AC25" s="5"/>
      <c r="AD25" s="5"/>
      <c r="AE25" s="8"/>
      <c r="AF25" s="9"/>
      <c r="AG25" s="4"/>
      <c r="AH25" s="4"/>
      <c r="AI25" s="5"/>
      <c r="AJ25" s="5"/>
      <c r="AK25" s="8"/>
      <c r="AL25" s="9">
        <f t="shared" si="12"/>
        <v>45</v>
      </c>
      <c r="AM25" s="4">
        <f t="shared" si="13"/>
        <v>0</v>
      </c>
      <c r="AN25" s="4">
        <f t="shared" si="14"/>
        <v>44</v>
      </c>
      <c r="AO25" s="5">
        <f t="shared" si="24"/>
        <v>44</v>
      </c>
      <c r="AP25" s="5">
        <f t="shared" si="16"/>
        <v>30.888000000000002</v>
      </c>
      <c r="AQ25" s="8">
        <f t="shared" si="17"/>
        <v>525096</v>
      </c>
      <c r="AR25" s="9">
        <f t="shared" si="18"/>
        <v>175</v>
      </c>
      <c r="AS25" s="4">
        <f t="shared" si="19"/>
        <v>169</v>
      </c>
      <c r="AT25" s="4">
        <f t="shared" si="20"/>
        <v>0</v>
      </c>
      <c r="AU25" s="5">
        <f t="shared" si="25"/>
        <v>169</v>
      </c>
      <c r="AV25" s="5"/>
      <c r="AW25" s="8">
        <f t="shared" si="22"/>
        <v>0</v>
      </c>
      <c r="AX25" s="3" t="str">
        <f t="shared" si="1"/>
        <v/>
      </c>
      <c r="AY25" s="3" t="str">
        <f t="shared" si="2"/>
        <v/>
      </c>
      <c r="AZ25" s="3" t="str">
        <f t="shared" si="3"/>
        <v/>
      </c>
      <c r="BA25" s="5">
        <f t="shared" si="26"/>
        <v>0</v>
      </c>
      <c r="BB25" s="709"/>
      <c r="BC25" s="711" t="str">
        <f t="shared" si="5"/>
        <v/>
      </c>
    </row>
    <row r="26" spans="1:55" ht="16.5" x14ac:dyDescent="0.3">
      <c r="A26" s="712" t="s">
        <v>16</v>
      </c>
      <c r="B26" s="9">
        <v>1057</v>
      </c>
      <c r="C26" s="4">
        <v>765.25</v>
      </c>
      <c r="D26" s="4">
        <v>0</v>
      </c>
      <c r="E26" s="5">
        <f t="shared" si="6"/>
        <v>765.25</v>
      </c>
      <c r="F26" s="5">
        <v>893.04674999999997</v>
      </c>
      <c r="G26" s="8">
        <v>5739375</v>
      </c>
      <c r="H26" s="9"/>
      <c r="I26" s="4"/>
      <c r="J26" s="4"/>
      <c r="K26" s="5">
        <f t="shared" si="7"/>
        <v>0</v>
      </c>
      <c r="L26" s="5"/>
      <c r="M26" s="8"/>
      <c r="N26" s="9"/>
      <c r="O26" s="4"/>
      <c r="P26" s="4"/>
      <c r="Q26" s="5">
        <f t="shared" si="8"/>
        <v>0</v>
      </c>
      <c r="R26" s="5"/>
      <c r="S26" s="8"/>
      <c r="T26" s="9"/>
      <c r="U26" s="4"/>
      <c r="V26" s="4"/>
      <c r="W26" s="5">
        <f t="shared" si="9"/>
        <v>0</v>
      </c>
      <c r="X26" s="5"/>
      <c r="Y26" s="8"/>
      <c r="Z26" s="9" t="str">
        <f>IFERROR(VLOOKUP(A26,Glenda_leyte,2,FALSE),"")</f>
        <v/>
      </c>
      <c r="AA26" s="4" t="str">
        <f>IFERROR(VLOOKUP(A26,Glenda_leyte,5,FALSE),"")</f>
        <v/>
      </c>
      <c r="AB26" s="4" t="str">
        <f>IFERROR(VLOOKUP(A26,Glenda_leyte,6,FALSE),"")</f>
        <v/>
      </c>
      <c r="AC26" s="5">
        <f t="shared" si="10"/>
        <v>0</v>
      </c>
      <c r="AD26" s="5"/>
      <c r="AE26" s="8" t="str">
        <f>IFERROR(VLOOKUP(A26,Glenda_leyte,12,FALSE),"")</f>
        <v/>
      </c>
      <c r="AF26" s="9"/>
      <c r="AG26" s="4"/>
      <c r="AH26" s="4"/>
      <c r="AI26" s="5">
        <f t="shared" si="11"/>
        <v>0</v>
      </c>
      <c r="AJ26" s="5"/>
      <c r="AK26" s="8"/>
      <c r="AL26" s="9">
        <f t="shared" si="12"/>
        <v>62</v>
      </c>
      <c r="AM26" s="4">
        <f t="shared" si="13"/>
        <v>0</v>
      </c>
      <c r="AN26" s="4">
        <f t="shared" si="14"/>
        <v>61</v>
      </c>
      <c r="AO26" s="5">
        <f t="shared" si="24"/>
        <v>61</v>
      </c>
      <c r="AP26" s="5">
        <f t="shared" si="16"/>
        <v>37.556999999999995</v>
      </c>
      <c r="AQ26" s="8">
        <f t="shared" si="17"/>
        <v>638468.99999999988</v>
      </c>
      <c r="AR26" s="9">
        <f t="shared" si="18"/>
        <v>0</v>
      </c>
      <c r="AS26" s="4">
        <f t="shared" si="19"/>
        <v>0</v>
      </c>
      <c r="AT26" s="4">
        <f t="shared" si="20"/>
        <v>0</v>
      </c>
      <c r="AU26" s="5">
        <f t="shared" si="25"/>
        <v>0</v>
      </c>
      <c r="AV26" s="5"/>
      <c r="AW26" s="8">
        <f t="shared" si="22"/>
        <v>0</v>
      </c>
      <c r="AX26" s="3">
        <f t="shared" si="1"/>
        <v>275</v>
      </c>
      <c r="AY26" s="3">
        <f t="shared" si="2"/>
        <v>0</v>
      </c>
      <c r="AZ26" s="3">
        <f t="shared" si="3"/>
        <v>247</v>
      </c>
      <c r="BA26" s="5">
        <f t="shared" si="26"/>
        <v>247</v>
      </c>
      <c r="BB26" s="709"/>
      <c r="BC26" s="711">
        <f t="shared" si="5"/>
        <v>1257193.6764705882</v>
      </c>
    </row>
    <row r="27" spans="1:55" ht="16.5" x14ac:dyDescent="0.3">
      <c r="A27" s="712" t="s">
        <v>268</v>
      </c>
      <c r="B27" s="9"/>
      <c r="C27" s="4"/>
      <c r="D27" s="4"/>
      <c r="G27" s="8"/>
      <c r="H27" s="9"/>
      <c r="I27" s="4"/>
      <c r="J27" s="4"/>
      <c r="K27" s="5"/>
      <c r="L27" s="5"/>
      <c r="M27" s="8"/>
      <c r="N27" s="9"/>
      <c r="O27" s="4"/>
      <c r="P27" s="4"/>
      <c r="Q27" s="5"/>
      <c r="R27" s="5"/>
      <c r="S27" s="8"/>
      <c r="T27" s="9"/>
      <c r="U27" s="4"/>
      <c r="V27" s="4"/>
      <c r="W27" s="5"/>
      <c r="X27" s="5"/>
      <c r="Y27" s="8"/>
      <c r="Z27" s="9"/>
      <c r="AA27" s="4"/>
      <c r="AB27" s="4"/>
      <c r="AC27" s="5"/>
      <c r="AD27" s="5"/>
      <c r="AE27" s="8"/>
      <c r="AF27" s="9"/>
      <c r="AG27" s="4"/>
      <c r="AH27" s="4"/>
      <c r="AI27" s="5"/>
      <c r="AJ27" s="5"/>
      <c r="AK27" s="8"/>
      <c r="AL27" s="9">
        <f t="shared" si="12"/>
        <v>1619</v>
      </c>
      <c r="AM27" s="4">
        <f t="shared" si="13"/>
        <v>834.11</v>
      </c>
      <c r="AN27" s="4">
        <f t="shared" si="14"/>
        <v>1420</v>
      </c>
      <c r="AO27" s="5">
        <f t="shared" si="24"/>
        <v>2254.11</v>
      </c>
      <c r="AP27" s="5">
        <f t="shared" si="16"/>
        <v>791.19261000000006</v>
      </c>
      <c r="AQ27" s="8">
        <f t="shared" si="17"/>
        <v>13450274.370000001</v>
      </c>
      <c r="AR27" s="9">
        <f t="shared" si="18"/>
        <v>738</v>
      </c>
      <c r="AS27" s="4">
        <f t="shared" si="19"/>
        <v>481</v>
      </c>
      <c r="AT27" s="4">
        <f t="shared" si="20"/>
        <v>0</v>
      </c>
      <c r="AU27" s="5">
        <f t="shared" si="25"/>
        <v>481</v>
      </c>
      <c r="AV27" s="5"/>
      <c r="AW27" s="8">
        <f t="shared" si="22"/>
        <v>3593070</v>
      </c>
      <c r="AX27" s="3">
        <f t="shared" si="1"/>
        <v>54</v>
      </c>
      <c r="AY27" s="3">
        <f t="shared" si="2"/>
        <v>34</v>
      </c>
      <c r="AZ27" s="3">
        <f t="shared" si="3"/>
        <v>0</v>
      </c>
      <c r="BA27" s="5">
        <f t="shared" si="26"/>
        <v>34</v>
      </c>
      <c r="BB27" s="709"/>
      <c r="BC27" s="711">
        <f t="shared" si="5"/>
        <v>1516540</v>
      </c>
    </row>
    <row r="28" spans="1:55" ht="16.5" x14ac:dyDescent="0.3">
      <c r="A28" s="712" t="s">
        <v>17</v>
      </c>
      <c r="B28" s="9">
        <v>755</v>
      </c>
      <c r="C28" s="4">
        <v>765.25</v>
      </c>
      <c r="D28" s="4">
        <v>488.3</v>
      </c>
      <c r="E28" s="5">
        <f t="shared" si="6"/>
        <v>1253.55</v>
      </c>
      <c r="F28" s="5">
        <v>1462.89285</v>
      </c>
      <c r="G28" s="8">
        <v>9401625</v>
      </c>
      <c r="H28" s="9"/>
      <c r="I28" s="4"/>
      <c r="J28" s="4"/>
      <c r="K28" s="5">
        <f t="shared" si="7"/>
        <v>0</v>
      </c>
      <c r="L28" s="5"/>
      <c r="M28" s="8"/>
      <c r="N28" s="9"/>
      <c r="O28" s="4"/>
      <c r="P28" s="4"/>
      <c r="Q28" s="5">
        <f t="shared" si="8"/>
        <v>0</v>
      </c>
      <c r="R28" s="5"/>
      <c r="S28" s="8"/>
      <c r="T28" s="9"/>
      <c r="U28" s="4"/>
      <c r="V28" s="4"/>
      <c r="W28" s="5">
        <f t="shared" si="9"/>
        <v>0</v>
      </c>
      <c r="X28" s="5"/>
      <c r="Y28" s="8"/>
      <c r="Z28" s="9" t="str">
        <f>IFERROR(VLOOKUP(A28,Glenda_leyte,2,FALSE),"")</f>
        <v/>
      </c>
      <c r="AA28" s="4" t="str">
        <f>IFERROR(VLOOKUP(A28,Glenda_leyte,5,FALSE),"")</f>
        <v/>
      </c>
      <c r="AB28" s="4" t="str">
        <f>IFERROR(VLOOKUP(A28,Glenda_leyte,6,FALSE),"")</f>
        <v/>
      </c>
      <c r="AC28" s="5">
        <f t="shared" si="10"/>
        <v>0</v>
      </c>
      <c r="AD28" s="5"/>
      <c r="AE28" s="8" t="str">
        <f>IFERROR(VLOOKUP(A28,Glenda_leyte,12,FALSE),"")</f>
        <v/>
      </c>
      <c r="AF28" s="9"/>
      <c r="AG28" s="4"/>
      <c r="AH28" s="4"/>
      <c r="AI28" s="5">
        <f t="shared" si="11"/>
        <v>0</v>
      </c>
      <c r="AJ28" s="5"/>
      <c r="AK28" s="8"/>
      <c r="AL28" s="9" t="str">
        <f t="shared" si="12"/>
        <v/>
      </c>
      <c r="AM28" s="4" t="str">
        <f t="shared" si="13"/>
        <v/>
      </c>
      <c r="AN28" s="4" t="str">
        <f t="shared" si="14"/>
        <v/>
      </c>
      <c r="AO28" s="5">
        <f t="shared" si="24"/>
        <v>0</v>
      </c>
      <c r="AP28" s="5" t="str">
        <f t="shared" si="16"/>
        <v/>
      </c>
      <c r="AQ28" s="8" t="str">
        <f t="shared" si="17"/>
        <v/>
      </c>
      <c r="AR28" s="9">
        <f t="shared" si="18"/>
        <v>0</v>
      </c>
      <c r="AS28" s="4">
        <f t="shared" si="19"/>
        <v>0</v>
      </c>
      <c r="AT28" s="4">
        <f t="shared" si="20"/>
        <v>0</v>
      </c>
      <c r="AU28" s="5">
        <f t="shared" si="25"/>
        <v>0</v>
      </c>
      <c r="AV28" s="5"/>
      <c r="AW28" s="8">
        <f t="shared" si="22"/>
        <v>0</v>
      </c>
      <c r="AX28" s="3" t="str">
        <f t="shared" si="1"/>
        <v/>
      </c>
      <c r="AY28" s="3" t="str">
        <f t="shared" si="2"/>
        <v/>
      </c>
      <c r="AZ28" s="3" t="str">
        <f t="shared" si="3"/>
        <v/>
      </c>
      <c r="BA28" s="5">
        <f t="shared" si="26"/>
        <v>0</v>
      </c>
      <c r="BB28" s="709"/>
      <c r="BC28" s="711" t="str">
        <f t="shared" si="5"/>
        <v/>
      </c>
    </row>
    <row r="29" spans="1:55" ht="16.5" x14ac:dyDescent="0.3">
      <c r="A29" s="712" t="s">
        <v>18</v>
      </c>
      <c r="B29" s="9">
        <v>861</v>
      </c>
      <c r="C29" s="4">
        <v>425</v>
      </c>
      <c r="D29" s="4">
        <v>0</v>
      </c>
      <c r="E29" s="5">
        <f t="shared" si="6"/>
        <v>425</v>
      </c>
      <c r="F29" s="5">
        <v>495.97500000000002</v>
      </c>
      <c r="G29" s="8">
        <v>3187500</v>
      </c>
      <c r="H29" s="9">
        <v>17</v>
      </c>
      <c r="I29" s="4">
        <v>15</v>
      </c>
      <c r="J29" s="4"/>
      <c r="K29" s="5">
        <f t="shared" si="7"/>
        <v>15</v>
      </c>
      <c r="L29" s="5">
        <v>61.2</v>
      </c>
      <c r="M29" s="8">
        <v>1101600</v>
      </c>
      <c r="N29" s="9"/>
      <c r="O29" s="4"/>
      <c r="P29" s="4"/>
      <c r="Q29" s="5">
        <f t="shared" si="8"/>
        <v>0</v>
      </c>
      <c r="R29" s="5"/>
      <c r="S29" s="8"/>
      <c r="T29" s="9"/>
      <c r="U29" s="4"/>
      <c r="V29" s="4"/>
      <c r="W29" s="5">
        <f t="shared" si="9"/>
        <v>0</v>
      </c>
      <c r="X29" s="5"/>
      <c r="Y29" s="8"/>
      <c r="Z29" s="9" t="str">
        <f>IFERROR(VLOOKUP(A29,Glenda_leyte,2,FALSE),"")</f>
        <v/>
      </c>
      <c r="AA29" s="4" t="str">
        <f>IFERROR(VLOOKUP(A29,Glenda_leyte,5,FALSE),"")</f>
        <v/>
      </c>
      <c r="AB29" s="4" t="str">
        <f>IFERROR(VLOOKUP(A29,Glenda_leyte,6,FALSE),"")</f>
        <v/>
      </c>
      <c r="AC29" s="5">
        <f t="shared" si="10"/>
        <v>0</v>
      </c>
      <c r="AD29" s="5"/>
      <c r="AE29" s="8" t="str">
        <f>IFERROR(VLOOKUP(A29,Glenda_leyte,12,FALSE),"")</f>
        <v/>
      </c>
      <c r="AF29" s="9"/>
      <c r="AG29" s="4"/>
      <c r="AH29" s="4"/>
      <c r="AI29" s="5">
        <f t="shared" si="11"/>
        <v>0</v>
      </c>
      <c r="AJ29" s="5"/>
      <c r="AK29" s="8"/>
      <c r="AL29" s="9" t="str">
        <f t="shared" si="12"/>
        <v/>
      </c>
      <c r="AM29" s="4" t="str">
        <f t="shared" si="13"/>
        <v/>
      </c>
      <c r="AN29" s="4" t="str">
        <f t="shared" si="14"/>
        <v/>
      </c>
      <c r="AO29" s="5">
        <f t="shared" si="24"/>
        <v>0</v>
      </c>
      <c r="AP29" s="5" t="str">
        <f t="shared" si="16"/>
        <v/>
      </c>
      <c r="AQ29" s="8" t="str">
        <f t="shared" si="17"/>
        <v/>
      </c>
      <c r="AR29" s="9">
        <f t="shared" si="18"/>
        <v>210</v>
      </c>
      <c r="AS29" s="4">
        <f t="shared" si="19"/>
        <v>100</v>
      </c>
      <c r="AT29" s="4">
        <f t="shared" si="20"/>
        <v>100</v>
      </c>
      <c r="AU29" s="5">
        <f t="shared" si="25"/>
        <v>200</v>
      </c>
      <c r="AV29" s="5"/>
      <c r="AW29" s="8">
        <f t="shared" si="22"/>
        <v>3718069.1176470588</v>
      </c>
      <c r="AX29" s="3">
        <f t="shared" si="1"/>
        <v>450</v>
      </c>
      <c r="AY29" s="3">
        <f t="shared" si="2"/>
        <v>0</v>
      </c>
      <c r="AZ29" s="3">
        <f t="shared" si="3"/>
        <v>434</v>
      </c>
      <c r="BA29" s="5">
        <f t="shared" si="26"/>
        <v>434</v>
      </c>
      <c r="BB29" s="709"/>
      <c r="BC29" s="711">
        <f t="shared" si="5"/>
        <v>7212825.8039215691</v>
      </c>
    </row>
    <row r="30" spans="1:55" ht="16.5" x14ac:dyDescent="0.3">
      <c r="A30" s="712" t="s">
        <v>305</v>
      </c>
      <c r="B30" s="9"/>
      <c r="C30" s="4"/>
      <c r="D30" s="4"/>
      <c r="G30" s="8"/>
      <c r="H30" s="9"/>
      <c r="I30" s="4"/>
      <c r="J30" s="4"/>
      <c r="K30" s="5"/>
      <c r="L30" s="5"/>
      <c r="M30" s="8"/>
      <c r="N30" s="9"/>
      <c r="O30" s="4"/>
      <c r="P30" s="4"/>
      <c r="Q30" s="5"/>
      <c r="R30" s="5"/>
      <c r="S30" s="8"/>
      <c r="T30" s="9"/>
      <c r="U30" s="4"/>
      <c r="V30" s="4"/>
      <c r="W30" s="5"/>
      <c r="X30" s="5"/>
      <c r="Y30" s="8"/>
      <c r="Z30" s="9"/>
      <c r="AA30" s="4"/>
      <c r="AB30" s="4"/>
      <c r="AC30" s="5"/>
      <c r="AD30" s="5"/>
      <c r="AE30" s="8"/>
      <c r="AF30" s="9"/>
      <c r="AG30" s="4"/>
      <c r="AH30" s="4"/>
      <c r="AI30" s="5"/>
      <c r="AJ30" s="5"/>
      <c r="AK30" s="8"/>
      <c r="AL30" s="9"/>
      <c r="AM30" s="4"/>
      <c r="AN30" s="4"/>
      <c r="AO30" s="5"/>
      <c r="AP30" s="5"/>
      <c r="AQ30" s="8"/>
      <c r="AR30" s="9">
        <f t="shared" si="18"/>
        <v>540</v>
      </c>
      <c r="AS30" s="4">
        <f t="shared" si="19"/>
        <v>487</v>
      </c>
      <c r="AT30" s="4">
        <f t="shared" si="20"/>
        <v>191</v>
      </c>
      <c r="AU30" s="5">
        <f t="shared" ref="AU30" si="27">SUM(AS30:AT30)</f>
        <v>678</v>
      </c>
      <c r="AV30" s="5"/>
      <c r="AW30" s="8">
        <f t="shared" si="22"/>
        <v>4638027.7941176472</v>
      </c>
      <c r="AX30" s="3">
        <f t="shared" si="1"/>
        <v>514</v>
      </c>
      <c r="AY30" s="3">
        <f t="shared" si="2"/>
        <v>495.75</v>
      </c>
      <c r="AZ30" s="3">
        <f t="shared" si="3"/>
        <v>1.25</v>
      </c>
      <c r="BA30" s="5">
        <f t="shared" si="26"/>
        <v>497</v>
      </c>
      <c r="BB30" s="709"/>
      <c r="BC30" s="711">
        <f t="shared" si="5"/>
        <v>16675775</v>
      </c>
    </row>
    <row r="31" spans="1:55" ht="16.5" x14ac:dyDescent="0.3">
      <c r="A31" s="712" t="s">
        <v>304</v>
      </c>
      <c r="B31" s="9"/>
      <c r="C31" s="4"/>
      <c r="D31" s="4"/>
      <c r="G31" s="8"/>
      <c r="H31" s="9"/>
      <c r="I31" s="4"/>
      <c r="J31" s="4"/>
      <c r="K31" s="5"/>
      <c r="L31" s="5"/>
      <c r="M31" s="8"/>
      <c r="N31" s="9"/>
      <c r="O31" s="4"/>
      <c r="P31" s="4"/>
      <c r="Q31" s="5"/>
      <c r="R31" s="5"/>
      <c r="S31" s="8"/>
      <c r="T31" s="9"/>
      <c r="U31" s="4"/>
      <c r="V31" s="4"/>
      <c r="W31" s="5"/>
      <c r="X31" s="5"/>
      <c r="Y31" s="8"/>
      <c r="Z31" s="9"/>
      <c r="AA31" s="4"/>
      <c r="AB31" s="4"/>
      <c r="AC31" s="5"/>
      <c r="AD31" s="5"/>
      <c r="AE31" s="8"/>
      <c r="AF31" s="9"/>
      <c r="AG31" s="4"/>
      <c r="AH31" s="4"/>
      <c r="AI31" s="5"/>
      <c r="AJ31" s="5"/>
      <c r="AK31" s="8"/>
      <c r="AL31" s="9"/>
      <c r="AM31" s="4"/>
      <c r="AN31" s="4"/>
      <c r="AO31" s="5"/>
      <c r="AP31" s="5"/>
      <c r="AQ31" s="8"/>
      <c r="AR31" s="9">
        <f t="shared" si="18"/>
        <v>30</v>
      </c>
      <c r="AS31" s="4">
        <f t="shared" si="19"/>
        <v>23</v>
      </c>
      <c r="AT31" s="4">
        <f t="shared" si="20"/>
        <v>0</v>
      </c>
      <c r="AU31" s="5">
        <f t="shared" ref="AU31" si="28">SUM(AS31:AT31)</f>
        <v>23</v>
      </c>
      <c r="AV31" s="5"/>
      <c r="AW31" s="8">
        <f t="shared" si="22"/>
        <v>639702</v>
      </c>
      <c r="AX31" s="3" t="str">
        <f t="shared" si="1"/>
        <v/>
      </c>
      <c r="AY31" s="3" t="str">
        <f t="shared" si="2"/>
        <v/>
      </c>
      <c r="AZ31" s="3" t="str">
        <f t="shared" si="3"/>
        <v/>
      </c>
      <c r="BA31" s="5">
        <f t="shared" si="26"/>
        <v>0</v>
      </c>
      <c r="BB31" s="709"/>
      <c r="BC31" s="711" t="str">
        <f t="shared" si="5"/>
        <v/>
      </c>
    </row>
    <row r="32" spans="1:55" ht="16.5" x14ac:dyDescent="0.3">
      <c r="A32" s="712" t="s">
        <v>19</v>
      </c>
      <c r="B32" s="9">
        <v>400</v>
      </c>
      <c r="C32" s="4">
        <v>141</v>
      </c>
      <c r="D32" s="4">
        <v>600</v>
      </c>
      <c r="E32" s="5">
        <f t="shared" si="6"/>
        <v>741</v>
      </c>
      <c r="F32" s="5">
        <v>864.74699999999996</v>
      </c>
      <c r="G32" s="8">
        <v>5557500</v>
      </c>
      <c r="H32" s="9"/>
      <c r="I32" s="4"/>
      <c r="J32" s="4"/>
      <c r="K32" s="5">
        <f t="shared" si="7"/>
        <v>0</v>
      </c>
      <c r="L32" s="5"/>
      <c r="M32" s="8"/>
      <c r="N32" s="9"/>
      <c r="O32" s="4"/>
      <c r="P32" s="4"/>
      <c r="Q32" s="5">
        <f t="shared" si="8"/>
        <v>0</v>
      </c>
      <c r="R32" s="5"/>
      <c r="S32" s="8"/>
      <c r="T32" s="9"/>
      <c r="U32" s="4"/>
      <c r="V32" s="4"/>
      <c r="W32" s="5">
        <f t="shared" si="9"/>
        <v>0</v>
      </c>
      <c r="X32" s="5"/>
      <c r="Y32" s="8"/>
      <c r="Z32" s="9" t="str">
        <f>IFERROR(VLOOKUP(A32,Glenda_leyte,2,FALSE),"")</f>
        <v/>
      </c>
      <c r="AA32" s="4" t="str">
        <f>IFERROR(VLOOKUP(A32,Glenda_leyte,5,FALSE),"")</f>
        <v/>
      </c>
      <c r="AB32" s="4" t="str">
        <f>IFERROR(VLOOKUP(A32,Glenda_leyte,6,FALSE),"")</f>
        <v/>
      </c>
      <c r="AC32" s="5">
        <f t="shared" si="10"/>
        <v>0</v>
      </c>
      <c r="AD32" s="5"/>
      <c r="AE32" s="8" t="str">
        <f>IFERROR(VLOOKUP(A32,Glenda_leyte,12,FALSE),"")</f>
        <v/>
      </c>
      <c r="AF32" s="9"/>
      <c r="AG32" s="4"/>
      <c r="AH32" s="4"/>
      <c r="AI32" s="5">
        <f t="shared" si="11"/>
        <v>0</v>
      </c>
      <c r="AJ32" s="5"/>
      <c r="AK32" s="8"/>
      <c r="AL32" s="9">
        <f>IFERROR(VLOOKUP(A32,Ruby_Leyte,3,FALSE),"")</f>
        <v>93</v>
      </c>
      <c r="AM32" s="4">
        <f>IFERROR(VLOOKUP(A32,Ruby_Leyte,6,FALSE),"")</f>
        <v>12.05</v>
      </c>
      <c r="AN32" s="4">
        <f>IFERROR(VLOOKUP(A32,Ruby_Leyte,7,FALSE),"")</f>
        <v>72.2</v>
      </c>
      <c r="AO32" s="5">
        <f t="shared" si="24"/>
        <v>84.25</v>
      </c>
      <c r="AP32" s="5">
        <f>IFERROR(VLOOKUP(A32,Ruby_Leyte,14,FALSE),"")</f>
        <v>111.70574999999999</v>
      </c>
      <c r="AQ32" s="8">
        <f>IFERROR(VLOOKUP(A32,Ruby_Leyte,16,FALSE),"")</f>
        <v>1898997.75</v>
      </c>
      <c r="AR32" s="9">
        <f t="shared" si="18"/>
        <v>160</v>
      </c>
      <c r="AS32" s="4">
        <f t="shared" si="19"/>
        <v>200</v>
      </c>
      <c r="AT32" s="4">
        <f t="shared" si="20"/>
        <v>0</v>
      </c>
      <c r="AU32" s="5">
        <f t="shared" si="25"/>
        <v>200</v>
      </c>
      <c r="AV32" s="5"/>
      <c r="AW32" s="8">
        <f t="shared" si="22"/>
        <v>1494000</v>
      </c>
      <c r="AX32" s="3">
        <f t="shared" si="1"/>
        <v>2</v>
      </c>
      <c r="AY32" s="3">
        <f t="shared" si="2"/>
        <v>0</v>
      </c>
      <c r="AZ32" s="3">
        <f t="shared" si="3"/>
        <v>4</v>
      </c>
      <c r="BA32" s="5">
        <f t="shared" si="26"/>
        <v>4</v>
      </c>
      <c r="BB32" s="709"/>
      <c r="BC32" s="711">
        <f t="shared" si="5"/>
        <v>14940</v>
      </c>
    </row>
    <row r="33" spans="1:55" ht="16.5" x14ac:dyDescent="0.3">
      <c r="A33" s="712" t="s">
        <v>20</v>
      </c>
      <c r="B33" s="9">
        <v>113</v>
      </c>
      <c r="C33" s="4">
        <v>196</v>
      </c>
      <c r="D33" s="4">
        <v>106</v>
      </c>
      <c r="E33" s="5">
        <f t="shared" si="6"/>
        <v>302</v>
      </c>
      <c r="F33" s="5">
        <v>352.43399999999997</v>
      </c>
      <c r="G33" s="8">
        <v>2265000</v>
      </c>
      <c r="H33" s="9"/>
      <c r="I33" s="4"/>
      <c r="J33" s="4"/>
      <c r="K33" s="5">
        <f t="shared" si="7"/>
        <v>0</v>
      </c>
      <c r="L33" s="5"/>
      <c r="M33" s="8"/>
      <c r="N33" s="9"/>
      <c r="O33" s="4"/>
      <c r="P33" s="4"/>
      <c r="Q33" s="5">
        <f t="shared" si="8"/>
        <v>0</v>
      </c>
      <c r="R33" s="5"/>
      <c r="S33" s="8"/>
      <c r="T33" s="9"/>
      <c r="U33" s="4"/>
      <c r="V33" s="4"/>
      <c r="W33" s="5">
        <f t="shared" si="9"/>
        <v>0</v>
      </c>
      <c r="X33" s="5"/>
      <c r="Y33" s="8"/>
      <c r="Z33" s="9" t="str">
        <f>IFERROR(VLOOKUP(A33,Glenda_leyte,2,FALSE),"")</f>
        <v/>
      </c>
      <c r="AA33" s="4" t="str">
        <f>IFERROR(VLOOKUP(A33,Glenda_leyte,5,FALSE),"")</f>
        <v/>
      </c>
      <c r="AB33" s="4" t="str">
        <f>IFERROR(VLOOKUP(A33,Glenda_leyte,6,FALSE),"")</f>
        <v/>
      </c>
      <c r="AC33" s="5">
        <f t="shared" si="10"/>
        <v>0</v>
      </c>
      <c r="AD33" s="5"/>
      <c r="AE33" s="8" t="str">
        <f>IFERROR(VLOOKUP(A33,Glenda_leyte,12,FALSE),"")</f>
        <v/>
      </c>
      <c r="AF33" s="9"/>
      <c r="AG33" s="4"/>
      <c r="AH33" s="4"/>
      <c r="AI33" s="5">
        <f t="shared" si="11"/>
        <v>0</v>
      </c>
      <c r="AJ33" s="5"/>
      <c r="AK33" s="8"/>
      <c r="AL33" s="9" t="str">
        <f>IFERROR(VLOOKUP(A33,Ruby_Leyte,3,FALSE),"")</f>
        <v/>
      </c>
      <c r="AM33" s="4" t="str">
        <f>IFERROR(VLOOKUP(A33,Ruby_Leyte,6,FALSE),"")</f>
        <v/>
      </c>
      <c r="AN33" s="4" t="str">
        <f>IFERROR(VLOOKUP(A33,Ruby_Leyte,7,FALSE),"")</f>
        <v/>
      </c>
      <c r="AO33" s="5">
        <f t="shared" si="24"/>
        <v>0</v>
      </c>
      <c r="AP33" s="5" t="str">
        <f>IFERROR(VLOOKUP(A33,Ruby_Leyte,14,FALSE),"")</f>
        <v/>
      </c>
      <c r="AQ33" s="8" t="str">
        <f>IFERROR(VLOOKUP(A33,Ruby_Leyte,16,FALSE),"")</f>
        <v/>
      </c>
      <c r="AR33" s="9">
        <f t="shared" si="18"/>
        <v>549</v>
      </c>
      <c r="AS33" s="4">
        <f t="shared" si="19"/>
        <v>379</v>
      </c>
      <c r="AT33" s="4">
        <f t="shared" si="20"/>
        <v>0</v>
      </c>
      <c r="AU33" s="5">
        <f t="shared" si="25"/>
        <v>379</v>
      </c>
      <c r="AV33" s="5"/>
      <c r="AW33" s="8">
        <f t="shared" si="22"/>
        <v>2831130</v>
      </c>
      <c r="AX33" s="3">
        <f t="shared" si="1"/>
        <v>35</v>
      </c>
      <c r="AY33" s="3">
        <f t="shared" si="2"/>
        <v>28</v>
      </c>
      <c r="AZ33" s="3">
        <f t="shared" si="3"/>
        <v>0</v>
      </c>
      <c r="BA33" s="5">
        <f t="shared" si="26"/>
        <v>28</v>
      </c>
      <c r="BB33" s="709"/>
      <c r="BC33" s="711">
        <f t="shared" si="5"/>
        <v>644868</v>
      </c>
    </row>
    <row r="34" spans="1:55" ht="16.5" x14ac:dyDescent="0.3">
      <c r="A34" s="712" t="s">
        <v>21</v>
      </c>
      <c r="B34" s="9">
        <v>690</v>
      </c>
      <c r="C34" s="4">
        <v>704</v>
      </c>
      <c r="D34" s="4">
        <v>0</v>
      </c>
      <c r="E34" s="5">
        <f t="shared" si="6"/>
        <v>704</v>
      </c>
      <c r="F34" s="5">
        <v>821.56799999999998</v>
      </c>
      <c r="G34" s="8">
        <v>5280000</v>
      </c>
      <c r="H34" s="9"/>
      <c r="I34" s="4"/>
      <c r="J34" s="4"/>
      <c r="K34" s="5">
        <f t="shared" si="7"/>
        <v>0</v>
      </c>
      <c r="L34" s="5"/>
      <c r="M34" s="8"/>
      <c r="N34" s="9"/>
      <c r="O34" s="4"/>
      <c r="P34" s="4"/>
      <c r="Q34" s="5">
        <f t="shared" si="8"/>
        <v>0</v>
      </c>
      <c r="R34" s="5"/>
      <c r="S34" s="8"/>
      <c r="T34" s="9"/>
      <c r="U34" s="4"/>
      <c r="V34" s="4"/>
      <c r="W34" s="5">
        <f t="shared" si="9"/>
        <v>0</v>
      </c>
      <c r="X34" s="5"/>
      <c r="Y34" s="8"/>
      <c r="Z34" s="9" t="str">
        <f>IFERROR(VLOOKUP(A34,Glenda_leyte,2,FALSE),"")</f>
        <v/>
      </c>
      <c r="AA34" s="4" t="str">
        <f>IFERROR(VLOOKUP(A34,Glenda_leyte,5,FALSE),"")</f>
        <v/>
      </c>
      <c r="AB34" s="4" t="str">
        <f>IFERROR(VLOOKUP(A34,Glenda_leyte,6,FALSE),"")</f>
        <v/>
      </c>
      <c r="AC34" s="5">
        <f t="shared" si="10"/>
        <v>0</v>
      </c>
      <c r="AD34" s="5"/>
      <c r="AE34" s="8" t="str">
        <f>IFERROR(VLOOKUP(A34,Glenda_leyte,12,FALSE),"")</f>
        <v/>
      </c>
      <c r="AF34" s="9"/>
      <c r="AG34" s="4"/>
      <c r="AH34" s="4"/>
      <c r="AI34" s="5">
        <f t="shared" si="11"/>
        <v>0</v>
      </c>
      <c r="AJ34" s="5"/>
      <c r="AK34" s="8"/>
      <c r="AL34" s="9">
        <f>IFERROR(VLOOKUP(A34,Ruby_Leyte,3,FALSE),"")</f>
        <v>350</v>
      </c>
      <c r="AM34" s="4">
        <f>IFERROR(VLOOKUP(A34,Ruby_Leyte,6,FALSE),"")</f>
        <v>0</v>
      </c>
      <c r="AN34" s="4">
        <f>IFERROR(VLOOKUP(A34,Ruby_Leyte,7,FALSE),"")</f>
        <v>300</v>
      </c>
      <c r="AO34" s="5">
        <f t="shared" si="24"/>
        <v>300</v>
      </c>
      <c r="AP34" s="5">
        <f>IFERROR(VLOOKUP(A34,Ruby_Leyte,14,FALSE),"")</f>
        <v>210.60000000000002</v>
      </c>
      <c r="AQ34" s="8">
        <f>IFERROR(VLOOKUP(A34,Ruby_Leyte,16,FALSE),"")</f>
        <v>3580200.0000000005</v>
      </c>
      <c r="AR34" s="9">
        <f t="shared" si="18"/>
        <v>285</v>
      </c>
      <c r="AS34" s="4">
        <f t="shared" si="19"/>
        <v>300</v>
      </c>
      <c r="AT34" s="4">
        <f t="shared" si="20"/>
        <v>0</v>
      </c>
      <c r="AU34" s="5">
        <f t="shared" si="25"/>
        <v>300</v>
      </c>
      <c r="AV34" s="5"/>
      <c r="AW34" s="8">
        <f t="shared" si="22"/>
        <v>2241000</v>
      </c>
      <c r="AX34" s="3" t="str">
        <f t="shared" si="1"/>
        <v/>
      </c>
      <c r="AY34" s="3" t="str">
        <f t="shared" si="2"/>
        <v/>
      </c>
      <c r="AZ34" s="3" t="str">
        <f t="shared" si="3"/>
        <v/>
      </c>
      <c r="BA34" s="5">
        <f t="shared" si="26"/>
        <v>0</v>
      </c>
      <c r="BB34" s="709"/>
      <c r="BC34" s="711" t="str">
        <f t="shared" si="5"/>
        <v/>
      </c>
    </row>
    <row r="35" spans="1:55" ht="16.5" x14ac:dyDescent="0.3">
      <c r="A35" s="712" t="s">
        <v>303</v>
      </c>
      <c r="B35" s="9"/>
      <c r="C35" s="4"/>
      <c r="D35" s="4"/>
      <c r="G35" s="8"/>
      <c r="H35" s="9"/>
      <c r="I35" s="4"/>
      <c r="J35" s="4"/>
      <c r="K35" s="5"/>
      <c r="L35" s="5"/>
      <c r="M35" s="8"/>
      <c r="N35" s="9"/>
      <c r="O35" s="4"/>
      <c r="P35" s="4"/>
      <c r="Q35" s="5"/>
      <c r="R35" s="5"/>
      <c r="S35" s="8"/>
      <c r="T35" s="9"/>
      <c r="U35" s="4"/>
      <c r="V35" s="4"/>
      <c r="W35" s="5"/>
      <c r="X35" s="5"/>
      <c r="Y35" s="8"/>
      <c r="Z35" s="9"/>
      <c r="AA35" s="4"/>
      <c r="AB35" s="4"/>
      <c r="AC35" s="5"/>
      <c r="AD35" s="5"/>
      <c r="AE35" s="8"/>
      <c r="AF35" s="9"/>
      <c r="AG35" s="4"/>
      <c r="AH35" s="4"/>
      <c r="AI35" s="5"/>
      <c r="AJ35" s="5"/>
      <c r="AK35" s="8"/>
      <c r="AL35" s="9"/>
      <c r="AM35" s="4"/>
      <c r="AN35" s="4"/>
      <c r="AO35" s="5"/>
      <c r="AP35" s="5"/>
      <c r="AQ35" s="8"/>
      <c r="AR35" s="9">
        <f t="shared" si="18"/>
        <v>18</v>
      </c>
      <c r="AS35" s="4">
        <f t="shared" si="19"/>
        <v>15</v>
      </c>
      <c r="AT35" s="4">
        <f t="shared" si="20"/>
        <v>0</v>
      </c>
      <c r="AU35" s="5">
        <f t="shared" ref="AU35" si="29">SUM(AS35:AT35)</f>
        <v>15</v>
      </c>
      <c r="AV35" s="5"/>
      <c r="AW35" s="8">
        <f t="shared" si="22"/>
        <v>112050</v>
      </c>
      <c r="AX35" s="3" t="str">
        <f t="shared" si="1"/>
        <v/>
      </c>
      <c r="AY35" s="3" t="str">
        <f t="shared" si="2"/>
        <v/>
      </c>
      <c r="AZ35" s="3" t="str">
        <f t="shared" si="3"/>
        <v/>
      </c>
      <c r="BA35" s="5">
        <f t="shared" si="26"/>
        <v>0</v>
      </c>
      <c r="BB35" s="709"/>
      <c r="BC35" s="711" t="str">
        <f t="shared" si="5"/>
        <v/>
      </c>
    </row>
    <row r="36" spans="1:55" ht="16.5" x14ac:dyDescent="0.3">
      <c r="A36" s="712" t="s">
        <v>105</v>
      </c>
      <c r="B36" s="9"/>
      <c r="C36" s="4"/>
      <c r="D36" s="4"/>
      <c r="G36" s="8"/>
      <c r="H36" s="9">
        <v>5</v>
      </c>
      <c r="I36" s="4">
        <v>5</v>
      </c>
      <c r="J36" s="4"/>
      <c r="K36" s="5">
        <f t="shared" si="7"/>
        <v>5</v>
      </c>
      <c r="L36" s="5">
        <v>20.399999999999999</v>
      </c>
      <c r="M36" s="8">
        <v>367200</v>
      </c>
      <c r="N36" s="9"/>
      <c r="O36" s="4"/>
      <c r="P36" s="4"/>
      <c r="Q36" s="5"/>
      <c r="R36" s="5"/>
      <c r="S36" s="8"/>
      <c r="T36" s="9"/>
      <c r="U36" s="4"/>
      <c r="V36" s="4"/>
      <c r="W36" s="5"/>
      <c r="X36" s="5"/>
      <c r="Y36" s="8"/>
      <c r="Z36" s="9" t="str">
        <f>IFERROR(VLOOKUP(A36,Glenda_leyte,2,FALSE),"")</f>
        <v/>
      </c>
      <c r="AA36" s="4" t="str">
        <f>IFERROR(VLOOKUP(A36,Glenda_leyte,5,FALSE),"")</f>
        <v/>
      </c>
      <c r="AB36" s="4" t="str">
        <f>IFERROR(VLOOKUP(A36,Glenda_leyte,6,FALSE),"")</f>
        <v/>
      </c>
      <c r="AC36" s="5"/>
      <c r="AD36" s="5"/>
      <c r="AE36" s="8" t="str">
        <f>IFERROR(VLOOKUP(A36,Glenda_leyte,12,FALSE),"")</f>
        <v/>
      </c>
      <c r="AF36" s="9"/>
      <c r="AG36" s="4"/>
      <c r="AH36" s="4"/>
      <c r="AI36" s="5"/>
      <c r="AJ36" s="5"/>
      <c r="AK36" s="8"/>
      <c r="AL36" s="9">
        <f t="shared" ref="AL36:AL43" si="30">IFERROR(VLOOKUP(A36,Ruby_Leyte,3,FALSE),"")</f>
        <v>1450</v>
      </c>
      <c r="AM36" s="4">
        <f t="shared" ref="AM36:AM43" si="31">IFERROR(VLOOKUP(A36,Ruby_Leyte,6,FALSE),"")</f>
        <v>0</v>
      </c>
      <c r="AN36" s="4">
        <f t="shared" ref="AN36:AN43" si="32">IFERROR(VLOOKUP(A36,Ruby_Leyte,7,FALSE),"")</f>
        <v>1426.4</v>
      </c>
      <c r="AO36" s="5">
        <f t="shared" si="24"/>
        <v>1426.4</v>
      </c>
      <c r="AP36" s="5">
        <f t="shared" ref="AP36:AP43" si="33">IFERROR(VLOOKUP(A36,Ruby_Leyte,14,FALSE),"")</f>
        <v>1001.3328</v>
      </c>
      <c r="AQ36" s="8">
        <f t="shared" ref="AQ36:AQ43" si="34">IFERROR(VLOOKUP(A36,Ruby_Leyte,16,FALSE),"")</f>
        <v>17022657.600000001</v>
      </c>
      <c r="AR36" s="9">
        <f t="shared" si="18"/>
        <v>385</v>
      </c>
      <c r="AS36" s="4">
        <f t="shared" si="19"/>
        <v>426</v>
      </c>
      <c r="AT36" s="4">
        <f t="shared" si="20"/>
        <v>0</v>
      </c>
      <c r="AU36" s="5">
        <f t="shared" si="25"/>
        <v>426</v>
      </c>
      <c r="AV36" s="5"/>
      <c r="AW36" s="8">
        <f t="shared" si="22"/>
        <v>3182220</v>
      </c>
      <c r="AX36" s="3" t="str">
        <f t="shared" si="1"/>
        <v/>
      </c>
      <c r="AY36" s="3" t="str">
        <f t="shared" si="2"/>
        <v/>
      </c>
      <c r="AZ36" s="3" t="str">
        <f t="shared" si="3"/>
        <v/>
      </c>
      <c r="BA36" s="5">
        <f t="shared" si="26"/>
        <v>0</v>
      </c>
      <c r="BB36" s="709"/>
      <c r="BC36" s="711" t="str">
        <f t="shared" si="5"/>
        <v/>
      </c>
    </row>
    <row r="37" spans="1:55" ht="16.5" x14ac:dyDescent="0.3">
      <c r="A37" s="712" t="s">
        <v>22</v>
      </c>
      <c r="B37" s="9">
        <v>107.5</v>
      </c>
      <c r="C37" s="4">
        <v>1514.95</v>
      </c>
      <c r="D37" s="4">
        <v>0</v>
      </c>
      <c r="E37" s="5">
        <f t="shared" si="6"/>
        <v>1514.95</v>
      </c>
      <c r="F37" s="5">
        <v>1767.9466500000001</v>
      </c>
      <c r="G37" s="8">
        <v>11362125</v>
      </c>
      <c r="H37" s="9"/>
      <c r="I37" s="4"/>
      <c r="J37" s="4"/>
      <c r="K37" s="5">
        <f t="shared" si="7"/>
        <v>0</v>
      </c>
      <c r="L37" s="5"/>
      <c r="M37" s="8"/>
      <c r="N37" s="9"/>
      <c r="O37" s="4"/>
      <c r="P37" s="4"/>
      <c r="Q37" s="5">
        <f t="shared" si="8"/>
        <v>0</v>
      </c>
      <c r="R37" s="5"/>
      <c r="S37" s="8"/>
      <c r="T37" s="9"/>
      <c r="U37" s="4"/>
      <c r="V37" s="4"/>
      <c r="W37" s="5">
        <f t="shared" si="9"/>
        <v>0</v>
      </c>
      <c r="X37" s="5"/>
      <c r="Y37" s="8"/>
      <c r="Z37" s="9" t="str">
        <f>IFERROR(VLOOKUP(A37,Glenda_leyte,2,FALSE),"")</f>
        <v/>
      </c>
      <c r="AA37" s="4" t="str">
        <f>IFERROR(VLOOKUP(A37,Glenda_leyte,5,FALSE),"")</f>
        <v/>
      </c>
      <c r="AB37" s="4" t="str">
        <f>IFERROR(VLOOKUP(A37,Glenda_leyte,6,FALSE),"")</f>
        <v/>
      </c>
      <c r="AC37" s="5">
        <f t="shared" si="10"/>
        <v>0</v>
      </c>
      <c r="AD37" s="5"/>
      <c r="AE37" s="8" t="str">
        <f>IFERROR(VLOOKUP(A37,Glenda_leyte,12,FALSE),"")</f>
        <v/>
      </c>
      <c r="AF37" s="9"/>
      <c r="AG37" s="4"/>
      <c r="AH37" s="4"/>
      <c r="AI37" s="5">
        <f t="shared" si="11"/>
        <v>0</v>
      </c>
      <c r="AJ37" s="5"/>
      <c r="AK37" s="8"/>
      <c r="AL37" s="9">
        <f t="shared" si="30"/>
        <v>320</v>
      </c>
      <c r="AM37" s="4">
        <f t="shared" si="31"/>
        <v>89</v>
      </c>
      <c r="AN37" s="4">
        <f t="shared" si="32"/>
        <v>214</v>
      </c>
      <c r="AO37" s="5">
        <f t="shared" si="24"/>
        <v>303</v>
      </c>
      <c r="AP37" s="5">
        <f t="shared" si="33"/>
        <v>330.642</v>
      </c>
      <c r="AQ37" s="8">
        <f t="shared" si="34"/>
        <v>5620914</v>
      </c>
      <c r="AR37" s="9">
        <f t="shared" si="18"/>
        <v>450</v>
      </c>
      <c r="AS37" s="4">
        <f t="shared" si="19"/>
        <v>500</v>
      </c>
      <c r="AT37" s="4">
        <f t="shared" si="20"/>
        <v>0</v>
      </c>
      <c r="AU37" s="5">
        <f t="shared" si="25"/>
        <v>500</v>
      </c>
      <c r="AV37" s="5"/>
      <c r="AW37" s="8">
        <f t="shared" si="22"/>
        <v>3735000</v>
      </c>
      <c r="AX37" s="3">
        <f t="shared" si="1"/>
        <v>600</v>
      </c>
      <c r="AY37" s="3">
        <f t="shared" si="2"/>
        <v>0</v>
      </c>
      <c r="AZ37" s="3">
        <f t="shared" si="3"/>
        <v>500</v>
      </c>
      <c r="BA37" s="5">
        <f t="shared" si="26"/>
        <v>500</v>
      </c>
      <c r="BB37" s="709"/>
      <c r="BC37" s="711">
        <f t="shared" si="5"/>
        <v>9098217.7450980395</v>
      </c>
    </row>
    <row r="38" spans="1:55" ht="16.5" x14ac:dyDescent="0.3">
      <c r="A38" s="712" t="s">
        <v>23</v>
      </c>
      <c r="B38" s="9">
        <v>552</v>
      </c>
      <c r="C38" s="4">
        <v>284</v>
      </c>
      <c r="D38" s="4">
        <v>0</v>
      </c>
      <c r="E38" s="5">
        <f t="shared" si="6"/>
        <v>284</v>
      </c>
      <c r="F38" s="5">
        <v>331.428</v>
      </c>
      <c r="G38" s="8">
        <v>2130000</v>
      </c>
      <c r="H38" s="9"/>
      <c r="I38" s="4"/>
      <c r="J38" s="4"/>
      <c r="K38" s="5">
        <f t="shared" si="7"/>
        <v>0</v>
      </c>
      <c r="L38" s="5"/>
      <c r="M38" s="8"/>
      <c r="N38" s="9"/>
      <c r="O38" s="4"/>
      <c r="P38" s="4"/>
      <c r="Q38" s="5">
        <f t="shared" si="8"/>
        <v>0</v>
      </c>
      <c r="R38" s="5"/>
      <c r="S38" s="8"/>
      <c r="T38" s="9"/>
      <c r="U38" s="4"/>
      <c r="V38" s="4"/>
      <c r="W38" s="5">
        <f t="shared" si="9"/>
        <v>0</v>
      </c>
      <c r="X38" s="5"/>
      <c r="Y38" s="8"/>
      <c r="Z38" s="9" t="str">
        <f>IFERROR(VLOOKUP(A38,Glenda_leyte,2,FALSE),"")</f>
        <v/>
      </c>
      <c r="AA38" s="4" t="str">
        <f>IFERROR(VLOOKUP(A38,Glenda_leyte,5,FALSE),"")</f>
        <v/>
      </c>
      <c r="AB38" s="4" t="str">
        <f>IFERROR(VLOOKUP(A38,Glenda_leyte,6,FALSE),"")</f>
        <v/>
      </c>
      <c r="AC38" s="5">
        <f t="shared" si="10"/>
        <v>0</v>
      </c>
      <c r="AD38" s="5"/>
      <c r="AE38" s="8" t="str">
        <f>IFERROR(VLOOKUP(A38,Glenda_leyte,12,FALSE),"")</f>
        <v/>
      </c>
      <c r="AF38" s="9"/>
      <c r="AG38" s="4"/>
      <c r="AH38" s="4"/>
      <c r="AI38" s="5">
        <f t="shared" si="11"/>
        <v>0</v>
      </c>
      <c r="AJ38" s="5"/>
      <c r="AK38" s="8"/>
      <c r="AL38" s="9">
        <f t="shared" si="30"/>
        <v>400</v>
      </c>
      <c r="AM38" s="4">
        <f t="shared" si="31"/>
        <v>0</v>
      </c>
      <c r="AN38" s="4">
        <f t="shared" si="32"/>
        <v>404</v>
      </c>
      <c r="AO38" s="5">
        <f t="shared" si="24"/>
        <v>404</v>
      </c>
      <c r="AP38" s="5">
        <f t="shared" si="33"/>
        <v>283.608</v>
      </c>
      <c r="AQ38" s="8">
        <f t="shared" si="34"/>
        <v>4821336</v>
      </c>
      <c r="AR38" s="9">
        <f t="shared" si="18"/>
        <v>0</v>
      </c>
      <c r="AS38" s="4">
        <f t="shared" si="19"/>
        <v>0</v>
      </c>
      <c r="AT38" s="4">
        <f t="shared" si="20"/>
        <v>0</v>
      </c>
      <c r="AU38" s="5">
        <f t="shared" si="25"/>
        <v>0</v>
      </c>
      <c r="AV38" s="5"/>
      <c r="AW38" s="8">
        <f t="shared" si="22"/>
        <v>0</v>
      </c>
      <c r="AX38" s="3" t="str">
        <f t="shared" si="1"/>
        <v/>
      </c>
      <c r="AY38" s="3" t="str">
        <f t="shared" si="2"/>
        <v/>
      </c>
      <c r="AZ38" s="3" t="str">
        <f t="shared" si="3"/>
        <v/>
      </c>
      <c r="BA38" s="5">
        <f t="shared" si="26"/>
        <v>0</v>
      </c>
      <c r="BB38" s="709"/>
      <c r="BC38" s="711" t="str">
        <f t="shared" si="5"/>
        <v/>
      </c>
    </row>
    <row r="39" spans="1:55" ht="16.5" x14ac:dyDescent="0.3">
      <c r="A39" s="712" t="s">
        <v>24</v>
      </c>
      <c r="B39" s="9">
        <v>935</v>
      </c>
      <c r="C39" s="4">
        <v>900</v>
      </c>
      <c r="D39" s="4">
        <v>0</v>
      </c>
      <c r="E39" s="5">
        <f t="shared" si="6"/>
        <v>900</v>
      </c>
      <c r="F39" s="5">
        <v>1050.3</v>
      </c>
      <c r="G39" s="8">
        <v>6750000</v>
      </c>
      <c r="H39" s="9"/>
      <c r="I39" s="4"/>
      <c r="J39" s="4"/>
      <c r="K39" s="5">
        <f t="shared" si="7"/>
        <v>0</v>
      </c>
      <c r="L39" s="5"/>
      <c r="M39" s="8"/>
      <c r="N39" s="9"/>
      <c r="O39" s="4"/>
      <c r="P39" s="4"/>
      <c r="Q39" s="5">
        <f t="shared" si="8"/>
        <v>0</v>
      </c>
      <c r="R39" s="5"/>
      <c r="S39" s="8"/>
      <c r="T39" s="9"/>
      <c r="U39" s="4"/>
      <c r="V39" s="4"/>
      <c r="W39" s="5">
        <f t="shared" si="9"/>
        <v>0</v>
      </c>
      <c r="X39" s="5"/>
      <c r="Y39" s="8"/>
      <c r="Z39" s="9" t="str">
        <f>IFERROR(VLOOKUP(A39,Glenda_leyte,2,FALSE),"")</f>
        <v/>
      </c>
      <c r="AA39" s="4" t="str">
        <f>IFERROR(VLOOKUP(A39,Glenda_leyte,5,FALSE),"")</f>
        <v/>
      </c>
      <c r="AB39" s="4" t="str">
        <f>IFERROR(VLOOKUP(A39,Glenda_leyte,6,FALSE),"")</f>
        <v/>
      </c>
      <c r="AC39" s="5">
        <f t="shared" si="10"/>
        <v>0</v>
      </c>
      <c r="AD39" s="5"/>
      <c r="AE39" s="8" t="str">
        <f>IFERROR(VLOOKUP(A39,Glenda_leyte,12,FALSE),"")</f>
        <v/>
      </c>
      <c r="AF39" s="9"/>
      <c r="AG39" s="4"/>
      <c r="AH39" s="4"/>
      <c r="AI39" s="5">
        <f t="shared" si="11"/>
        <v>0</v>
      </c>
      <c r="AJ39" s="5"/>
      <c r="AK39" s="8"/>
      <c r="AL39" s="9">
        <f t="shared" si="30"/>
        <v>0</v>
      </c>
      <c r="AM39" s="4">
        <f t="shared" si="31"/>
        <v>113.5</v>
      </c>
      <c r="AN39" s="4">
        <f t="shared" si="32"/>
        <v>183.5</v>
      </c>
      <c r="AO39" s="5">
        <f t="shared" si="24"/>
        <v>297</v>
      </c>
      <c r="AP39" s="5">
        <f t="shared" si="33"/>
        <v>129.51900000000001</v>
      </c>
      <c r="AQ39" s="8">
        <f t="shared" si="34"/>
        <v>2201823</v>
      </c>
      <c r="AR39" s="9">
        <f t="shared" si="18"/>
        <v>730</v>
      </c>
      <c r="AS39" s="4">
        <f t="shared" si="19"/>
        <v>1875</v>
      </c>
      <c r="AT39" s="4">
        <f t="shared" si="20"/>
        <v>0</v>
      </c>
      <c r="AU39" s="5">
        <f t="shared" si="25"/>
        <v>1875</v>
      </c>
      <c r="AV39" s="5"/>
      <c r="AW39" s="8">
        <f t="shared" si="22"/>
        <v>14006250</v>
      </c>
      <c r="AX39" s="3">
        <f t="shared" si="1"/>
        <v>1165</v>
      </c>
      <c r="AY39" s="3">
        <f t="shared" si="2"/>
        <v>671</v>
      </c>
      <c r="AZ39" s="3">
        <f t="shared" si="3"/>
        <v>314</v>
      </c>
      <c r="BA39" s="5">
        <f t="shared" si="26"/>
        <v>985</v>
      </c>
      <c r="BB39" s="709"/>
      <c r="BC39" s="711">
        <f t="shared" si="5"/>
        <v>20641864.696078431</v>
      </c>
    </row>
    <row r="40" spans="1:55" ht="16.5" x14ac:dyDescent="0.3">
      <c r="A40" s="712" t="s">
        <v>25</v>
      </c>
      <c r="B40" s="9">
        <v>1522</v>
      </c>
      <c r="C40" s="4">
        <v>1522</v>
      </c>
      <c r="D40" s="4">
        <v>0</v>
      </c>
      <c r="E40" s="5">
        <f t="shared" si="6"/>
        <v>1522</v>
      </c>
      <c r="F40" s="5">
        <v>1776.174</v>
      </c>
      <c r="G40" s="8">
        <v>11415000</v>
      </c>
      <c r="H40" s="9"/>
      <c r="I40" s="4"/>
      <c r="J40" s="4"/>
      <c r="K40" s="5">
        <f t="shared" si="7"/>
        <v>0</v>
      </c>
      <c r="L40" s="5"/>
      <c r="M40" s="8"/>
      <c r="N40" s="9"/>
      <c r="O40" s="4"/>
      <c r="P40" s="4"/>
      <c r="Q40" s="5">
        <f t="shared" si="8"/>
        <v>0</v>
      </c>
      <c r="R40" s="5"/>
      <c r="S40" s="8"/>
      <c r="T40" s="9"/>
      <c r="U40" s="4"/>
      <c r="V40" s="4"/>
      <c r="W40" s="5">
        <f t="shared" si="9"/>
        <v>0</v>
      </c>
      <c r="X40" s="5"/>
      <c r="Y40" s="8"/>
      <c r="Z40" s="9">
        <f>IFERROR(VLOOKUP(A40,Glenda_leyte,2,FALSE),"")</f>
        <v>1619</v>
      </c>
      <c r="AA40" s="4">
        <f>IFERROR(VLOOKUP(A40,Glenda_leyte,5,FALSE),"")</f>
        <v>0</v>
      </c>
      <c r="AB40" s="4">
        <f>IFERROR(VLOOKUP(A40,Glenda_leyte,6,FALSE),"")</f>
        <v>523</v>
      </c>
      <c r="AC40" s="5">
        <f t="shared" si="10"/>
        <v>523</v>
      </c>
      <c r="AD40" s="5"/>
      <c r="AE40" s="8">
        <f>IFERROR(VLOOKUP(A40,Glenda_leyte,12,FALSE),"")</f>
        <v>969292.90681576775</v>
      </c>
      <c r="AF40" s="9"/>
      <c r="AG40" s="4"/>
      <c r="AH40" s="4"/>
      <c r="AI40" s="5">
        <f t="shared" si="11"/>
        <v>0</v>
      </c>
      <c r="AJ40" s="5"/>
      <c r="AK40" s="8"/>
      <c r="AL40" s="9">
        <f t="shared" si="30"/>
        <v>33.5</v>
      </c>
      <c r="AM40" s="4">
        <f t="shared" si="31"/>
        <v>55.7</v>
      </c>
      <c r="AN40" s="4">
        <f t="shared" si="32"/>
        <v>8.8000000000000007</v>
      </c>
      <c r="AO40" s="5">
        <f t="shared" si="24"/>
        <v>64.5</v>
      </c>
      <c r="AP40" s="5">
        <f t="shared" si="33"/>
        <v>43.524000000000001</v>
      </c>
      <c r="AQ40" s="8">
        <f t="shared" si="34"/>
        <v>739908</v>
      </c>
      <c r="AR40" s="9">
        <f t="shared" si="18"/>
        <v>112</v>
      </c>
      <c r="AS40" s="4">
        <f t="shared" si="19"/>
        <v>140</v>
      </c>
      <c r="AT40" s="4">
        <f t="shared" si="20"/>
        <v>0</v>
      </c>
      <c r="AU40" s="5">
        <f t="shared" si="25"/>
        <v>140</v>
      </c>
      <c r="AV40" s="5"/>
      <c r="AW40" s="8">
        <f t="shared" si="22"/>
        <v>1045800</v>
      </c>
      <c r="AX40" s="3">
        <f t="shared" si="1"/>
        <v>380</v>
      </c>
      <c r="AY40" s="3">
        <f t="shared" si="2"/>
        <v>320.18</v>
      </c>
      <c r="AZ40" s="3">
        <f t="shared" si="3"/>
        <v>0</v>
      </c>
      <c r="BA40" s="5">
        <f t="shared" si="26"/>
        <v>320.18</v>
      </c>
      <c r="BB40" s="709"/>
      <c r="BC40" s="711">
        <f t="shared" si="5"/>
        <v>2391744.6</v>
      </c>
    </row>
    <row r="41" spans="1:55" ht="16.5" x14ac:dyDescent="0.3">
      <c r="A41" s="712" t="s">
        <v>270</v>
      </c>
      <c r="B41" s="9"/>
      <c r="C41" s="4"/>
      <c r="D41" s="4"/>
      <c r="G41" s="8"/>
      <c r="H41" s="9"/>
      <c r="I41" s="4"/>
      <c r="J41" s="4"/>
      <c r="K41" s="5"/>
      <c r="L41" s="5"/>
      <c r="M41" s="8"/>
      <c r="N41" s="9"/>
      <c r="O41" s="4"/>
      <c r="P41" s="4"/>
      <c r="Q41" s="5"/>
      <c r="R41" s="5"/>
      <c r="S41" s="8"/>
      <c r="T41" s="9"/>
      <c r="U41" s="4"/>
      <c r="V41" s="4"/>
      <c r="W41" s="5"/>
      <c r="X41" s="5"/>
      <c r="Y41" s="8"/>
      <c r="Z41" s="9"/>
      <c r="AA41" s="4"/>
      <c r="AB41" s="4"/>
      <c r="AC41" s="5"/>
      <c r="AD41" s="5"/>
      <c r="AE41" s="8"/>
      <c r="AF41" s="9"/>
      <c r="AG41" s="4"/>
      <c r="AH41" s="4"/>
      <c r="AI41" s="5"/>
      <c r="AJ41" s="5"/>
      <c r="AK41" s="8"/>
      <c r="AL41" s="9">
        <f t="shared" si="30"/>
        <v>1205</v>
      </c>
      <c r="AM41" s="4">
        <f t="shared" si="31"/>
        <v>0</v>
      </c>
      <c r="AN41" s="4">
        <f t="shared" si="32"/>
        <v>1202</v>
      </c>
      <c r="AO41" s="5">
        <f t="shared" si="24"/>
        <v>1202</v>
      </c>
      <c r="AP41" s="5">
        <f t="shared" si="33"/>
        <v>843.80399999999997</v>
      </c>
      <c r="AQ41" s="8">
        <f t="shared" si="34"/>
        <v>14344668</v>
      </c>
      <c r="AR41" s="9">
        <f t="shared" si="18"/>
        <v>121</v>
      </c>
      <c r="AS41" s="4">
        <f t="shared" si="19"/>
        <v>102</v>
      </c>
      <c r="AT41" s="4">
        <f t="shared" si="20"/>
        <v>0</v>
      </c>
      <c r="AU41" s="5">
        <f t="shared" si="25"/>
        <v>102</v>
      </c>
      <c r="AV41" s="5"/>
      <c r="AW41" s="8">
        <f t="shared" si="22"/>
        <v>3413328</v>
      </c>
      <c r="AX41" s="3" t="str">
        <f t="shared" si="1"/>
        <v/>
      </c>
      <c r="AY41" s="3" t="str">
        <f t="shared" si="2"/>
        <v/>
      </c>
      <c r="AZ41" s="3" t="str">
        <f t="shared" si="3"/>
        <v/>
      </c>
      <c r="BA41" s="5">
        <f t="shared" si="26"/>
        <v>0</v>
      </c>
      <c r="BB41" s="709"/>
      <c r="BC41" s="711" t="str">
        <f t="shared" si="5"/>
        <v/>
      </c>
    </row>
    <row r="42" spans="1:55" ht="16.5" x14ac:dyDescent="0.3">
      <c r="A42" s="712" t="s">
        <v>26</v>
      </c>
      <c r="B42" s="9">
        <v>700</v>
      </c>
      <c r="C42" s="4">
        <v>733</v>
      </c>
      <c r="D42" s="4">
        <v>0</v>
      </c>
      <c r="E42" s="5">
        <f t="shared" si="6"/>
        <v>733</v>
      </c>
      <c r="F42" s="5">
        <v>855.41100000000006</v>
      </c>
      <c r="G42" s="8">
        <v>5497500</v>
      </c>
      <c r="H42" s="9"/>
      <c r="I42" s="4"/>
      <c r="J42" s="4"/>
      <c r="K42" s="5">
        <f t="shared" si="7"/>
        <v>0</v>
      </c>
      <c r="L42" s="5"/>
      <c r="M42" s="8"/>
      <c r="N42" s="9"/>
      <c r="O42" s="4"/>
      <c r="P42" s="4"/>
      <c r="Q42" s="5">
        <f t="shared" si="8"/>
        <v>0</v>
      </c>
      <c r="R42" s="5"/>
      <c r="S42" s="8"/>
      <c r="T42" s="9"/>
      <c r="U42" s="4"/>
      <c r="V42" s="4"/>
      <c r="W42" s="5">
        <f t="shared" si="9"/>
        <v>0</v>
      </c>
      <c r="X42" s="5"/>
      <c r="Y42" s="8"/>
      <c r="Z42" s="9" t="str">
        <f>IFERROR(VLOOKUP(A42,Glenda_leyte,2,FALSE),"")</f>
        <v/>
      </c>
      <c r="AA42" s="4" t="str">
        <f>IFERROR(VLOOKUP(A42,Glenda_leyte,5,FALSE),"")</f>
        <v/>
      </c>
      <c r="AB42" s="4" t="str">
        <f>IFERROR(VLOOKUP(A42,Glenda_leyte,6,FALSE),"")</f>
        <v/>
      </c>
      <c r="AC42" s="5">
        <f t="shared" ref="AC42:AC52" si="35">SUM(AA42:AB42)</f>
        <v>0</v>
      </c>
      <c r="AD42" s="5"/>
      <c r="AE42" s="8" t="str">
        <f>IFERROR(VLOOKUP(A42,Glenda_leyte,12,FALSE),"")</f>
        <v/>
      </c>
      <c r="AF42" s="9"/>
      <c r="AG42" s="4"/>
      <c r="AH42" s="4"/>
      <c r="AI42" s="5">
        <f t="shared" si="11"/>
        <v>0</v>
      </c>
      <c r="AJ42" s="5"/>
      <c r="AK42" s="8"/>
      <c r="AL42" s="9" t="str">
        <f t="shared" si="30"/>
        <v/>
      </c>
      <c r="AM42" s="4" t="str">
        <f t="shared" si="31"/>
        <v/>
      </c>
      <c r="AN42" s="4" t="str">
        <f t="shared" si="32"/>
        <v/>
      </c>
      <c r="AO42" s="5">
        <f t="shared" si="24"/>
        <v>0</v>
      </c>
      <c r="AP42" s="5" t="str">
        <f t="shared" si="33"/>
        <v/>
      </c>
      <c r="AQ42" s="8" t="str">
        <f t="shared" si="34"/>
        <v/>
      </c>
      <c r="AR42" s="9">
        <f t="shared" si="18"/>
        <v>210</v>
      </c>
      <c r="AS42" s="4">
        <f t="shared" si="19"/>
        <v>250</v>
      </c>
      <c r="AT42" s="4">
        <f t="shared" si="20"/>
        <v>0</v>
      </c>
      <c r="AU42" s="5">
        <f t="shared" si="25"/>
        <v>250</v>
      </c>
      <c r="AV42" s="5"/>
      <c r="AW42" s="8">
        <f t="shared" si="22"/>
        <v>1867500</v>
      </c>
      <c r="AX42" s="3">
        <f t="shared" si="1"/>
        <v>270</v>
      </c>
      <c r="AY42" s="3">
        <f t="shared" si="2"/>
        <v>0</v>
      </c>
      <c r="AZ42" s="3">
        <f t="shared" si="3"/>
        <v>220</v>
      </c>
      <c r="BA42" s="5">
        <f t="shared" si="26"/>
        <v>220</v>
      </c>
      <c r="BB42" s="709"/>
      <c r="BC42" s="711">
        <f t="shared" si="5"/>
        <v>1012364.5098039216</v>
      </c>
    </row>
    <row r="43" spans="1:55" ht="16.5" x14ac:dyDescent="0.3">
      <c r="A43" s="712" t="s">
        <v>4</v>
      </c>
      <c r="B43" s="9">
        <v>100</v>
      </c>
      <c r="C43" s="4">
        <v>164.9</v>
      </c>
      <c r="D43" s="4">
        <v>0</v>
      </c>
      <c r="E43" s="5">
        <f t="shared" si="6"/>
        <v>164.9</v>
      </c>
      <c r="F43" s="5">
        <v>192.4383</v>
      </c>
      <c r="G43" s="8">
        <v>1236750</v>
      </c>
      <c r="H43" s="9">
        <v>51</v>
      </c>
      <c r="I43" s="4"/>
      <c r="J43" s="4">
        <v>56.75</v>
      </c>
      <c r="K43" s="5">
        <f t="shared" si="7"/>
        <v>56.75</v>
      </c>
      <c r="L43" s="5">
        <v>158.84</v>
      </c>
      <c r="M43" s="8">
        <v>2675664</v>
      </c>
      <c r="N43" s="9"/>
      <c r="O43" s="4"/>
      <c r="P43" s="4"/>
      <c r="Q43" s="5">
        <f t="shared" si="8"/>
        <v>0</v>
      </c>
      <c r="R43" s="5"/>
      <c r="S43" s="8"/>
      <c r="T43" s="9"/>
      <c r="U43" s="4"/>
      <c r="V43" s="4"/>
      <c r="W43" s="5">
        <f t="shared" si="9"/>
        <v>0</v>
      </c>
      <c r="X43" s="5"/>
      <c r="Y43" s="8"/>
      <c r="Z43" s="9" t="str">
        <f>IFERROR(VLOOKUP(A43,Glenda_leyte,2,FALSE),"")</f>
        <v/>
      </c>
      <c r="AA43" s="4" t="str">
        <f>IFERROR(VLOOKUP(A43,Glenda_leyte,5,FALSE),"")</f>
        <v/>
      </c>
      <c r="AB43" s="4" t="str">
        <f>IFERROR(VLOOKUP(A43,Glenda_leyte,6,FALSE),"")</f>
        <v/>
      </c>
      <c r="AC43" s="5">
        <f t="shared" si="35"/>
        <v>0</v>
      </c>
      <c r="AD43" s="5"/>
      <c r="AE43" s="8" t="str">
        <f>IFERROR(VLOOKUP(A43,Glenda_leyte,12,FALSE),"")</f>
        <v/>
      </c>
      <c r="AF43" s="9"/>
      <c r="AG43" s="4"/>
      <c r="AH43" s="4"/>
      <c r="AI43" s="5">
        <f t="shared" si="11"/>
        <v>0</v>
      </c>
      <c r="AJ43" s="5"/>
      <c r="AK43" s="8"/>
      <c r="AL43" s="9" t="str">
        <f t="shared" si="30"/>
        <v/>
      </c>
      <c r="AM43" s="4" t="str">
        <f t="shared" si="31"/>
        <v/>
      </c>
      <c r="AN43" s="4" t="str">
        <f t="shared" si="32"/>
        <v/>
      </c>
      <c r="AO43" s="5">
        <f t="shared" si="24"/>
        <v>0</v>
      </c>
      <c r="AP43" s="5" t="str">
        <f t="shared" si="33"/>
        <v/>
      </c>
      <c r="AQ43" s="8" t="str">
        <f t="shared" si="34"/>
        <v/>
      </c>
      <c r="AR43" s="9">
        <f t="shared" si="18"/>
        <v>1217</v>
      </c>
      <c r="AS43" s="4">
        <f t="shared" si="19"/>
        <v>1636</v>
      </c>
      <c r="AT43" s="4">
        <f t="shared" si="20"/>
        <v>0</v>
      </c>
      <c r="AU43" s="5">
        <f t="shared" si="25"/>
        <v>1636</v>
      </c>
      <c r="AV43" s="5"/>
      <c r="AW43" s="8">
        <f t="shared" si="22"/>
        <v>13706280</v>
      </c>
      <c r="AX43" s="3">
        <f t="shared" si="1"/>
        <v>460</v>
      </c>
      <c r="AY43" s="3">
        <f t="shared" si="2"/>
        <v>429</v>
      </c>
      <c r="AZ43" s="3">
        <f t="shared" si="3"/>
        <v>0</v>
      </c>
      <c r="BA43" s="5">
        <f t="shared" si="26"/>
        <v>429</v>
      </c>
      <c r="BB43" s="709"/>
      <c r="BC43" s="711">
        <f t="shared" si="5"/>
        <v>3204630</v>
      </c>
    </row>
    <row r="44" spans="1:55" ht="16.5" x14ac:dyDescent="0.3">
      <c r="A44" s="712" t="s">
        <v>95</v>
      </c>
      <c r="B44" s="9"/>
      <c r="C44" s="4"/>
      <c r="D44" s="4"/>
      <c r="G44" s="8"/>
      <c r="H44" s="9"/>
      <c r="I44" s="4"/>
      <c r="J44" s="4"/>
      <c r="K44" s="5"/>
      <c r="L44" s="5"/>
      <c r="M44" s="8"/>
      <c r="N44" s="9"/>
      <c r="O44" s="4"/>
      <c r="P44" s="4"/>
      <c r="Q44" s="5"/>
      <c r="R44" s="5"/>
      <c r="S44" s="8"/>
      <c r="T44" s="9"/>
      <c r="U44" s="4"/>
      <c r="V44" s="4"/>
      <c r="W44" s="5"/>
      <c r="X44" s="5"/>
      <c r="Y44" s="8"/>
      <c r="Z44" s="9"/>
      <c r="AA44" s="4"/>
      <c r="AB44" s="4"/>
      <c r="AC44" s="5"/>
      <c r="AD44" s="5"/>
      <c r="AE44" s="8"/>
      <c r="AF44" s="9"/>
      <c r="AG44" s="4"/>
      <c r="AH44" s="4"/>
      <c r="AI44" s="5"/>
      <c r="AJ44" s="5"/>
      <c r="AK44" s="8"/>
      <c r="AL44" s="9"/>
      <c r="AM44" s="4"/>
      <c r="AN44" s="4"/>
      <c r="AO44" s="5"/>
      <c r="AP44" s="5"/>
      <c r="AQ44" s="8"/>
      <c r="AR44" s="9">
        <f t="shared" si="18"/>
        <v>155.20000000000002</v>
      </c>
      <c r="AS44" s="4">
        <f t="shared" si="19"/>
        <v>194</v>
      </c>
      <c r="AT44" s="4">
        <f t="shared" si="20"/>
        <v>0</v>
      </c>
      <c r="AU44" s="5">
        <f t="shared" ref="AU44" si="36">SUM(AS44:AT44)</f>
        <v>194</v>
      </c>
      <c r="AV44" s="5"/>
      <c r="AW44" s="8">
        <f t="shared" si="22"/>
        <v>1449180</v>
      </c>
      <c r="AX44" s="3" t="str">
        <f t="shared" si="1"/>
        <v/>
      </c>
      <c r="AY44" s="3" t="str">
        <f t="shared" si="2"/>
        <v/>
      </c>
      <c r="AZ44" s="3" t="str">
        <f t="shared" si="3"/>
        <v/>
      </c>
      <c r="BA44" s="5">
        <f t="shared" si="26"/>
        <v>0</v>
      </c>
      <c r="BB44" s="709"/>
      <c r="BC44" s="711" t="str">
        <f t="shared" si="5"/>
        <v/>
      </c>
    </row>
    <row r="45" spans="1:55" ht="16.5" x14ac:dyDescent="0.3">
      <c r="A45" s="712" t="s">
        <v>27</v>
      </c>
      <c r="B45" s="9">
        <v>283</v>
      </c>
      <c r="C45" s="4">
        <v>1084.05</v>
      </c>
      <c r="D45" s="4">
        <v>0</v>
      </c>
      <c r="E45" s="5">
        <f t="shared" si="6"/>
        <v>1084.05</v>
      </c>
      <c r="F45" s="5">
        <v>1265.08635</v>
      </c>
      <c r="G45" s="8">
        <v>8130375</v>
      </c>
      <c r="H45" s="9"/>
      <c r="I45" s="4"/>
      <c r="J45" s="4"/>
      <c r="K45" s="5">
        <f t="shared" si="7"/>
        <v>0</v>
      </c>
      <c r="L45" s="5"/>
      <c r="M45" s="8"/>
      <c r="N45" s="9"/>
      <c r="O45" s="4"/>
      <c r="P45" s="4"/>
      <c r="Q45" s="5">
        <f t="shared" si="8"/>
        <v>0</v>
      </c>
      <c r="R45" s="5"/>
      <c r="S45" s="8"/>
      <c r="T45" s="9"/>
      <c r="U45" s="4"/>
      <c r="V45" s="4"/>
      <c r="W45" s="5">
        <f t="shared" si="9"/>
        <v>0</v>
      </c>
      <c r="X45" s="5"/>
      <c r="Y45" s="8"/>
      <c r="Z45" s="9" t="str">
        <f>IFERROR(VLOOKUP(A45,Glenda_leyte,2,FALSE),"")</f>
        <v/>
      </c>
      <c r="AA45" s="4" t="str">
        <f>IFERROR(VLOOKUP(A45,Glenda_leyte,5,FALSE),"")</f>
        <v/>
      </c>
      <c r="AB45" s="4" t="str">
        <f>IFERROR(VLOOKUP(A45,Glenda_leyte,6,FALSE),"")</f>
        <v/>
      </c>
      <c r="AC45" s="5">
        <f t="shared" si="35"/>
        <v>0</v>
      </c>
      <c r="AD45" s="5"/>
      <c r="AE45" s="8" t="str">
        <f>IFERROR(VLOOKUP(A45,Glenda_leyte,12,FALSE),"")</f>
        <v/>
      </c>
      <c r="AF45" s="9"/>
      <c r="AG45" s="4"/>
      <c r="AH45" s="4"/>
      <c r="AI45" s="5">
        <f t="shared" si="11"/>
        <v>0</v>
      </c>
      <c r="AJ45" s="5"/>
      <c r="AK45" s="8"/>
      <c r="AL45" s="9">
        <f>IFERROR(VLOOKUP(A45,Ruby_Leyte,3,FALSE),"")</f>
        <v>13</v>
      </c>
      <c r="AM45" s="4">
        <f>IFERROR(VLOOKUP(A45,Ruby_Leyte,6,FALSE),"")</f>
        <v>9</v>
      </c>
      <c r="AN45" s="4">
        <f>IFERROR(VLOOKUP(A45,Ruby_Leyte,7,FALSE),"")</f>
        <v>4</v>
      </c>
      <c r="AO45" s="5">
        <f t="shared" si="24"/>
        <v>13</v>
      </c>
      <c r="AP45" s="5">
        <f>IFERROR(VLOOKUP(A45,Ruby_Leyte,14,FALSE),"")</f>
        <v>4.5629999999999997</v>
      </c>
      <c r="AQ45" s="8">
        <f>IFERROR(VLOOKUP(A45,Ruby_Leyte,16,FALSE),"")</f>
        <v>77571</v>
      </c>
      <c r="AR45" s="9">
        <f t="shared" si="18"/>
        <v>600</v>
      </c>
      <c r="AS45" s="4">
        <f t="shared" si="19"/>
        <v>750</v>
      </c>
      <c r="AT45" s="4">
        <f t="shared" si="20"/>
        <v>0</v>
      </c>
      <c r="AU45" s="5">
        <f t="shared" si="25"/>
        <v>750</v>
      </c>
      <c r="AV45" s="5"/>
      <c r="AW45" s="8">
        <f t="shared" si="22"/>
        <v>5602500</v>
      </c>
      <c r="AX45" s="3">
        <f t="shared" si="1"/>
        <v>482</v>
      </c>
      <c r="AY45" s="3">
        <f t="shared" si="2"/>
        <v>390.45</v>
      </c>
      <c r="AZ45" s="3">
        <f t="shared" si="3"/>
        <v>13.3</v>
      </c>
      <c r="BA45" s="5">
        <f t="shared" si="26"/>
        <v>403.75</v>
      </c>
      <c r="BB45" s="709"/>
      <c r="BC45" s="711">
        <f t="shared" si="5"/>
        <v>13441070.098039215</v>
      </c>
    </row>
    <row r="46" spans="1:55" ht="16.5" x14ac:dyDescent="0.3">
      <c r="A46" s="712" t="s">
        <v>28</v>
      </c>
      <c r="B46" s="9">
        <v>300</v>
      </c>
      <c r="C46" s="4">
        <v>29</v>
      </c>
      <c r="D46" s="4">
        <v>486</v>
      </c>
      <c r="E46" s="5">
        <f t="shared" si="6"/>
        <v>515</v>
      </c>
      <c r="F46" s="5">
        <v>601.005</v>
      </c>
      <c r="G46" s="8">
        <v>3862500</v>
      </c>
      <c r="H46" s="9"/>
      <c r="I46" s="4"/>
      <c r="J46" s="4"/>
      <c r="K46" s="5">
        <f t="shared" si="7"/>
        <v>0</v>
      </c>
      <c r="L46" s="5"/>
      <c r="M46" s="8"/>
      <c r="N46" s="9"/>
      <c r="O46" s="4"/>
      <c r="P46" s="4"/>
      <c r="Q46" s="5">
        <f t="shared" si="8"/>
        <v>0</v>
      </c>
      <c r="R46" s="5"/>
      <c r="S46" s="8"/>
      <c r="T46" s="9"/>
      <c r="U46" s="4"/>
      <c r="V46" s="4"/>
      <c r="W46" s="5">
        <f t="shared" si="9"/>
        <v>0</v>
      </c>
      <c r="X46" s="5"/>
      <c r="Y46" s="8"/>
      <c r="Z46" s="9" t="str">
        <f>IFERROR(VLOOKUP(A46,Glenda_leyte,2,FALSE),"")</f>
        <v/>
      </c>
      <c r="AA46" s="4" t="str">
        <f>IFERROR(VLOOKUP(A46,Glenda_leyte,5,FALSE),"")</f>
        <v/>
      </c>
      <c r="AB46" s="4" t="str">
        <f>IFERROR(VLOOKUP(A46,Glenda_leyte,6,FALSE),"")</f>
        <v/>
      </c>
      <c r="AC46" s="5">
        <f t="shared" si="35"/>
        <v>0</v>
      </c>
      <c r="AD46" s="5"/>
      <c r="AE46" s="8" t="str">
        <f>IFERROR(VLOOKUP(A46,Glenda_leyte,12,FALSE),"")</f>
        <v/>
      </c>
      <c r="AF46" s="9"/>
      <c r="AG46" s="4"/>
      <c r="AH46" s="4"/>
      <c r="AI46" s="5">
        <f t="shared" si="11"/>
        <v>0</v>
      </c>
      <c r="AJ46" s="5"/>
      <c r="AK46" s="8"/>
      <c r="AL46" s="9">
        <f>IFERROR(VLOOKUP(A46,Ruby_Leyte,3,FALSE),"")</f>
        <v>15</v>
      </c>
      <c r="AM46" s="4">
        <f>IFERROR(VLOOKUP(A46,Ruby_Leyte,6,FALSE),"")</f>
        <v>0</v>
      </c>
      <c r="AN46" s="4">
        <f>IFERROR(VLOOKUP(A46,Ruby_Leyte,7,FALSE),"")</f>
        <v>17.5</v>
      </c>
      <c r="AO46" s="5">
        <f t="shared" si="24"/>
        <v>17.5</v>
      </c>
      <c r="AP46" s="5">
        <f>IFERROR(VLOOKUP(A46,Ruby_Leyte,14,FALSE),"")</f>
        <v>12.285</v>
      </c>
      <c r="AQ46" s="8">
        <f>IFERROR(VLOOKUP(A46,Ruby_Leyte,16,FALSE),"")</f>
        <v>208845</v>
      </c>
      <c r="AR46" s="9">
        <f t="shared" si="18"/>
        <v>32</v>
      </c>
      <c r="AS46" s="4">
        <f t="shared" si="19"/>
        <v>25</v>
      </c>
      <c r="AT46" s="4">
        <f t="shared" si="20"/>
        <v>0</v>
      </c>
      <c r="AU46" s="5">
        <f t="shared" si="25"/>
        <v>25</v>
      </c>
      <c r="AV46" s="5"/>
      <c r="AW46" s="8">
        <f t="shared" si="22"/>
        <v>186750</v>
      </c>
      <c r="AX46" s="3" t="str">
        <f t="shared" si="1"/>
        <v/>
      </c>
      <c r="AY46" s="3" t="str">
        <f t="shared" si="2"/>
        <v/>
      </c>
      <c r="AZ46" s="3" t="str">
        <f t="shared" si="3"/>
        <v/>
      </c>
      <c r="BA46" s="5">
        <f t="shared" si="26"/>
        <v>0</v>
      </c>
      <c r="BB46" s="709"/>
      <c r="BC46" s="711" t="str">
        <f t="shared" si="5"/>
        <v/>
      </c>
    </row>
    <row r="47" spans="1:55" ht="16.5" x14ac:dyDescent="0.3">
      <c r="A47" s="712" t="s">
        <v>29</v>
      </c>
      <c r="B47" s="9">
        <v>410</v>
      </c>
      <c r="C47" s="4">
        <v>393</v>
      </c>
      <c r="D47" s="4">
        <v>0</v>
      </c>
      <c r="E47" s="5">
        <f t="shared" si="6"/>
        <v>393</v>
      </c>
      <c r="F47" s="5">
        <v>458.63099999999997</v>
      </c>
      <c r="G47" s="8">
        <v>2947500</v>
      </c>
      <c r="H47" s="9"/>
      <c r="I47" s="4"/>
      <c r="J47" s="4"/>
      <c r="K47" s="5">
        <f t="shared" si="7"/>
        <v>0</v>
      </c>
      <c r="L47" s="5"/>
      <c r="M47" s="8"/>
      <c r="N47" s="9"/>
      <c r="O47" s="4"/>
      <c r="P47" s="4"/>
      <c r="Q47" s="5">
        <f t="shared" si="8"/>
        <v>0</v>
      </c>
      <c r="R47" s="5"/>
      <c r="S47" s="8"/>
      <c r="T47" s="9"/>
      <c r="U47" s="4"/>
      <c r="V47" s="4"/>
      <c r="W47" s="5">
        <f t="shared" si="9"/>
        <v>0</v>
      </c>
      <c r="X47" s="5"/>
      <c r="Y47" s="8"/>
      <c r="Z47" s="9" t="str">
        <f>IFERROR(VLOOKUP(A47,Glenda_leyte,2,FALSE),"")</f>
        <v/>
      </c>
      <c r="AA47" s="4" t="str">
        <f>IFERROR(VLOOKUP(A47,Glenda_leyte,5,FALSE),"")</f>
        <v/>
      </c>
      <c r="AB47" s="4" t="str">
        <f>IFERROR(VLOOKUP(A47,Glenda_leyte,6,FALSE),"")</f>
        <v/>
      </c>
      <c r="AC47" s="5">
        <f t="shared" si="35"/>
        <v>0</v>
      </c>
      <c r="AD47" s="5"/>
      <c r="AE47" s="8" t="str">
        <f>IFERROR(VLOOKUP(A47,Glenda_leyte,12,FALSE),"")</f>
        <v/>
      </c>
      <c r="AF47" s="9"/>
      <c r="AG47" s="4"/>
      <c r="AH47" s="4"/>
      <c r="AI47" s="5">
        <f t="shared" si="11"/>
        <v>0</v>
      </c>
      <c r="AJ47" s="5"/>
      <c r="AK47" s="8"/>
      <c r="AL47" s="9">
        <f>IFERROR(VLOOKUP(A47,Ruby_Leyte,3,FALSE),"")</f>
        <v>7</v>
      </c>
      <c r="AM47" s="4">
        <f>IFERROR(VLOOKUP(A47,Ruby_Leyte,6,FALSE),"")</f>
        <v>0</v>
      </c>
      <c r="AN47" s="4">
        <f>IFERROR(VLOOKUP(A47,Ruby_Leyte,7,FALSE),"")</f>
        <v>6</v>
      </c>
      <c r="AO47" s="5">
        <f t="shared" si="24"/>
        <v>6</v>
      </c>
      <c r="AP47" s="5">
        <f>IFERROR(VLOOKUP(A47,Ruby_Leyte,14,FALSE),"")</f>
        <v>4.2119999999999997</v>
      </c>
      <c r="AQ47" s="8">
        <f>IFERROR(VLOOKUP(A47,Ruby_Leyte,16,FALSE),"")</f>
        <v>71604</v>
      </c>
      <c r="AR47" s="9">
        <f t="shared" si="18"/>
        <v>92</v>
      </c>
      <c r="AS47" s="4">
        <f t="shared" si="19"/>
        <v>51</v>
      </c>
      <c r="AT47" s="4">
        <f t="shared" si="20"/>
        <v>31</v>
      </c>
      <c r="AU47" s="5">
        <f t="shared" si="25"/>
        <v>82</v>
      </c>
      <c r="AV47" s="5"/>
      <c r="AW47" s="8">
        <f t="shared" si="22"/>
        <v>243214.4117647059</v>
      </c>
      <c r="AX47" s="3" t="str">
        <f t="shared" si="1"/>
        <v/>
      </c>
      <c r="AY47" s="3" t="str">
        <f t="shared" si="2"/>
        <v/>
      </c>
      <c r="AZ47" s="3" t="str">
        <f t="shared" si="3"/>
        <v/>
      </c>
      <c r="BA47" s="5">
        <f t="shared" si="26"/>
        <v>0</v>
      </c>
      <c r="BB47" s="709"/>
      <c r="BC47" s="711" t="str">
        <f t="shared" si="5"/>
        <v/>
      </c>
    </row>
    <row r="48" spans="1:55" ht="16.5" x14ac:dyDescent="0.3">
      <c r="A48" s="712" t="s">
        <v>30</v>
      </c>
      <c r="B48" s="9">
        <v>171</v>
      </c>
      <c r="C48" s="4">
        <v>150</v>
      </c>
      <c r="D48" s="4">
        <v>0</v>
      </c>
      <c r="E48" s="5">
        <f t="shared" si="6"/>
        <v>150</v>
      </c>
      <c r="F48" s="5">
        <v>175.05</v>
      </c>
      <c r="G48" s="8">
        <v>1125000</v>
      </c>
      <c r="H48" s="9"/>
      <c r="I48" s="4"/>
      <c r="J48" s="4"/>
      <c r="K48" s="5">
        <f t="shared" si="7"/>
        <v>0</v>
      </c>
      <c r="L48" s="5"/>
      <c r="M48" s="8"/>
      <c r="N48" s="9"/>
      <c r="O48" s="4"/>
      <c r="P48" s="4"/>
      <c r="Q48" s="5">
        <f t="shared" si="8"/>
        <v>0</v>
      </c>
      <c r="R48" s="5"/>
      <c r="S48" s="8"/>
      <c r="T48" s="9"/>
      <c r="U48" s="4"/>
      <c r="V48" s="4"/>
      <c r="W48" s="5">
        <f t="shared" si="9"/>
        <v>0</v>
      </c>
      <c r="X48" s="5"/>
      <c r="Y48" s="8"/>
      <c r="Z48" s="9" t="str">
        <f>IFERROR(VLOOKUP(A48,Glenda_leyte,2,FALSE),"")</f>
        <v/>
      </c>
      <c r="AA48" s="4" t="str">
        <f>IFERROR(VLOOKUP(A48,Glenda_leyte,5,FALSE),"")</f>
        <v/>
      </c>
      <c r="AB48" s="4" t="str">
        <f>IFERROR(VLOOKUP(A48,Glenda_leyte,6,FALSE),"")</f>
        <v/>
      </c>
      <c r="AC48" s="5">
        <f t="shared" si="35"/>
        <v>0</v>
      </c>
      <c r="AD48" s="5"/>
      <c r="AE48" s="8" t="str">
        <f>IFERROR(VLOOKUP(A48,Glenda_leyte,12,FALSE),"")</f>
        <v/>
      </c>
      <c r="AF48" s="9"/>
      <c r="AG48" s="4"/>
      <c r="AH48" s="4"/>
      <c r="AI48" s="5">
        <f t="shared" si="11"/>
        <v>0</v>
      </c>
      <c r="AJ48" s="5"/>
      <c r="AK48" s="8"/>
      <c r="AL48" s="9">
        <f>IFERROR(VLOOKUP(A48,Ruby_Leyte,3,FALSE),"")</f>
        <v>49</v>
      </c>
      <c r="AM48" s="4">
        <f>IFERROR(VLOOKUP(A48,Ruby_Leyte,6,FALSE),"")</f>
        <v>5.36</v>
      </c>
      <c r="AN48" s="4">
        <f>IFERROR(VLOOKUP(A48,Ruby_Leyte,7,FALSE),"")</f>
        <v>1.34</v>
      </c>
      <c r="AO48" s="5">
        <f t="shared" si="24"/>
        <v>6.7</v>
      </c>
      <c r="AP48" s="5">
        <f>IFERROR(VLOOKUP(A48,Ruby_Leyte,14,FALSE),"")</f>
        <v>4.7034000000000002</v>
      </c>
      <c r="AQ48" s="8">
        <f>IFERROR(VLOOKUP(A48,Ruby_Leyte,16,FALSE),"")</f>
        <v>79957.8</v>
      </c>
      <c r="AR48" s="9">
        <f t="shared" si="18"/>
        <v>241</v>
      </c>
      <c r="AS48" s="4">
        <f t="shared" si="19"/>
        <v>347</v>
      </c>
      <c r="AT48" s="4">
        <f t="shared" si="20"/>
        <v>0</v>
      </c>
      <c r="AU48" s="5">
        <f t="shared" si="25"/>
        <v>347</v>
      </c>
      <c r="AV48" s="5"/>
      <c r="AW48" s="8">
        <f t="shared" si="22"/>
        <v>2592090</v>
      </c>
      <c r="AX48" s="3" t="str">
        <f t="shared" si="1"/>
        <v/>
      </c>
      <c r="AY48" s="3" t="str">
        <f t="shared" si="2"/>
        <v/>
      </c>
      <c r="AZ48" s="3" t="str">
        <f t="shared" si="3"/>
        <v/>
      </c>
      <c r="BA48" s="5">
        <f t="shared" si="26"/>
        <v>0</v>
      </c>
      <c r="BB48" s="709"/>
      <c r="BC48" s="711" t="str">
        <f t="shared" si="5"/>
        <v/>
      </c>
    </row>
    <row r="49" spans="1:55" ht="16.5" x14ac:dyDescent="0.3">
      <c r="A49" s="712" t="s">
        <v>31</v>
      </c>
      <c r="B49" s="9">
        <v>176</v>
      </c>
      <c r="C49" s="4">
        <v>392</v>
      </c>
      <c r="D49" s="4">
        <v>0</v>
      </c>
      <c r="E49" s="5">
        <f t="shared" si="6"/>
        <v>392</v>
      </c>
      <c r="F49" s="5">
        <v>457.464</v>
      </c>
      <c r="G49" s="8">
        <v>2940000</v>
      </c>
      <c r="H49" s="9"/>
      <c r="I49" s="4"/>
      <c r="J49" s="4"/>
      <c r="K49" s="5">
        <f t="shared" si="7"/>
        <v>0</v>
      </c>
      <c r="L49" s="5"/>
      <c r="M49" s="8"/>
      <c r="N49" s="9"/>
      <c r="O49" s="4"/>
      <c r="P49" s="4"/>
      <c r="Q49" s="5">
        <f t="shared" si="8"/>
        <v>0</v>
      </c>
      <c r="R49" s="5"/>
      <c r="S49" s="8"/>
      <c r="T49" s="9"/>
      <c r="U49" s="4"/>
      <c r="V49" s="4"/>
      <c r="W49" s="5">
        <f t="shared" si="9"/>
        <v>0</v>
      </c>
      <c r="X49" s="5"/>
      <c r="Y49" s="8"/>
      <c r="Z49" s="9" t="str">
        <f>IFERROR(VLOOKUP(A49,Glenda_leyte,2,FALSE),"")</f>
        <v/>
      </c>
      <c r="AA49" s="4" t="str">
        <f>IFERROR(VLOOKUP(A49,Glenda_leyte,5,FALSE),"")</f>
        <v/>
      </c>
      <c r="AB49" s="4" t="str">
        <f>IFERROR(VLOOKUP(A49,Glenda_leyte,6,FALSE),"")</f>
        <v/>
      </c>
      <c r="AC49" s="5">
        <f t="shared" si="35"/>
        <v>0</v>
      </c>
      <c r="AD49" s="5"/>
      <c r="AE49" s="8" t="str">
        <f>IFERROR(VLOOKUP(A49,Glenda_leyte,12,FALSE),"")</f>
        <v/>
      </c>
      <c r="AF49" s="9"/>
      <c r="AG49" s="4"/>
      <c r="AH49" s="4"/>
      <c r="AI49" s="5">
        <f t="shared" si="11"/>
        <v>0</v>
      </c>
      <c r="AJ49" s="5"/>
      <c r="AK49" s="8"/>
      <c r="AL49" s="9">
        <f>IFERROR(VLOOKUP(A49,Ruby_Leyte,3,FALSE),"")</f>
        <v>489</v>
      </c>
      <c r="AM49" s="4">
        <f>IFERROR(VLOOKUP(A49,Ruby_Leyte,6,FALSE),"")</f>
        <v>21.771000000000001</v>
      </c>
      <c r="AN49" s="4">
        <f>IFERROR(VLOOKUP(A49,Ruby_Leyte,7,FALSE),"")</f>
        <v>552</v>
      </c>
      <c r="AO49" s="5">
        <f t="shared" si="24"/>
        <v>573.77099999999996</v>
      </c>
      <c r="AP49" s="5">
        <f>IFERROR(VLOOKUP(A49,Ruby_Leyte,14,FALSE),"")</f>
        <v>805.57448399999987</v>
      </c>
      <c r="AQ49" s="8">
        <f>IFERROR(VLOOKUP(A49,Ruby_Leyte,16,FALSE),"")</f>
        <v>13694766.227999996</v>
      </c>
      <c r="AR49" s="9">
        <f t="shared" si="18"/>
        <v>500</v>
      </c>
      <c r="AS49" s="4">
        <f t="shared" si="19"/>
        <v>342</v>
      </c>
      <c r="AT49" s="4">
        <f t="shared" si="20"/>
        <v>0</v>
      </c>
      <c r="AU49" s="5">
        <f t="shared" si="25"/>
        <v>342</v>
      </c>
      <c r="AV49" s="5"/>
      <c r="AW49" s="8">
        <f t="shared" si="22"/>
        <v>2554740</v>
      </c>
      <c r="AX49" s="3">
        <f t="shared" si="1"/>
        <v>1280</v>
      </c>
      <c r="AY49" s="3">
        <f t="shared" si="2"/>
        <v>245</v>
      </c>
      <c r="AZ49" s="3">
        <f t="shared" si="3"/>
        <v>866.1</v>
      </c>
      <c r="BA49" s="5">
        <f t="shared" si="26"/>
        <v>1111.0999999999999</v>
      </c>
      <c r="BB49" s="709"/>
      <c r="BC49" s="711">
        <f t="shared" si="5"/>
        <v>14304180.473529413</v>
      </c>
    </row>
    <row r="50" spans="1:55" ht="16.5" x14ac:dyDescent="0.3">
      <c r="A50" s="712" t="s">
        <v>308</v>
      </c>
      <c r="B50" s="9"/>
      <c r="C50" s="4"/>
      <c r="D50" s="4"/>
      <c r="G50" s="8"/>
      <c r="H50" s="9"/>
      <c r="I50" s="4"/>
      <c r="J50" s="4"/>
      <c r="K50" s="5"/>
      <c r="L50" s="5"/>
      <c r="M50" s="8"/>
      <c r="N50" s="9"/>
      <c r="O50" s="4"/>
      <c r="P50" s="4"/>
      <c r="Q50" s="5"/>
      <c r="R50" s="5"/>
      <c r="S50" s="8"/>
      <c r="T50" s="9"/>
      <c r="U50" s="4"/>
      <c r="V50" s="4"/>
      <c r="W50" s="5"/>
      <c r="X50" s="5"/>
      <c r="Y50" s="8"/>
      <c r="Z50" s="9"/>
      <c r="AA50" s="4"/>
      <c r="AB50" s="4"/>
      <c r="AC50" s="5"/>
      <c r="AD50" s="5"/>
      <c r="AE50" s="8"/>
      <c r="AF50" s="9"/>
      <c r="AG50" s="4"/>
      <c r="AH50" s="4"/>
      <c r="AI50" s="5"/>
      <c r="AJ50" s="5"/>
      <c r="AK50" s="8"/>
      <c r="AL50" s="9"/>
      <c r="AM50" s="4"/>
      <c r="AN50" s="4"/>
      <c r="AO50" s="5"/>
      <c r="AP50" s="5"/>
      <c r="AQ50" s="8"/>
      <c r="AR50" s="9">
        <f t="shared" si="18"/>
        <v>438</v>
      </c>
      <c r="AS50" s="4">
        <f t="shared" si="19"/>
        <v>391</v>
      </c>
      <c r="AT50" s="4">
        <f t="shared" si="20"/>
        <v>0</v>
      </c>
      <c r="AU50" s="5">
        <f t="shared" ref="AU50" si="37">SUM(AS50:AT50)</f>
        <v>391</v>
      </c>
      <c r="AV50" s="5"/>
      <c r="AW50" s="8">
        <f t="shared" si="22"/>
        <v>2920770</v>
      </c>
      <c r="AX50" s="3">
        <f t="shared" si="1"/>
        <v>595</v>
      </c>
      <c r="AY50" s="3">
        <f t="shared" si="2"/>
        <v>65</v>
      </c>
      <c r="AZ50" s="3">
        <f t="shared" si="3"/>
        <v>446</v>
      </c>
      <c r="BA50" s="5">
        <f t="shared" si="26"/>
        <v>511</v>
      </c>
      <c r="BB50" s="709"/>
      <c r="BC50" s="711">
        <f t="shared" si="5"/>
        <v>8841533.3725490198</v>
      </c>
    </row>
    <row r="51" spans="1:55" ht="16.5" x14ac:dyDescent="0.3">
      <c r="A51" s="712" t="s">
        <v>32</v>
      </c>
      <c r="B51" s="9">
        <v>400</v>
      </c>
      <c r="C51" s="4">
        <v>379</v>
      </c>
      <c r="D51" s="4">
        <v>0</v>
      </c>
      <c r="E51" s="5">
        <f t="shared" si="6"/>
        <v>379</v>
      </c>
      <c r="F51" s="5">
        <v>442.29300000000001</v>
      </c>
      <c r="G51" s="8">
        <v>2842500</v>
      </c>
      <c r="H51" s="9"/>
      <c r="I51" s="4"/>
      <c r="J51" s="4"/>
      <c r="K51" s="5">
        <f t="shared" si="7"/>
        <v>0</v>
      </c>
      <c r="L51" s="5"/>
      <c r="M51" s="8"/>
      <c r="N51" s="9"/>
      <c r="O51" s="4"/>
      <c r="P51" s="4"/>
      <c r="Q51" s="5">
        <f t="shared" si="8"/>
        <v>0</v>
      </c>
      <c r="R51" s="5"/>
      <c r="S51" s="8"/>
      <c r="T51" s="9"/>
      <c r="U51" s="4"/>
      <c r="V51" s="4"/>
      <c r="W51" s="5">
        <f t="shared" si="9"/>
        <v>0</v>
      </c>
      <c r="X51" s="5"/>
      <c r="Y51" s="8"/>
      <c r="Z51" s="9" t="str">
        <f>IFERROR(VLOOKUP(A51,Glenda_leyte,2,FALSE),"")</f>
        <v/>
      </c>
      <c r="AA51" s="4" t="str">
        <f>IFERROR(VLOOKUP(A51,Glenda_leyte,5,FALSE),"")</f>
        <v/>
      </c>
      <c r="AB51" s="4" t="str">
        <f>IFERROR(VLOOKUP(A51,Glenda_leyte,6,FALSE),"")</f>
        <v/>
      </c>
      <c r="AC51" s="5">
        <f t="shared" si="35"/>
        <v>0</v>
      </c>
      <c r="AD51" s="5"/>
      <c r="AE51" s="8" t="str">
        <f>IFERROR(VLOOKUP(A51,Glenda_leyte,12,FALSE),"")</f>
        <v/>
      </c>
      <c r="AF51" s="9"/>
      <c r="AG51" s="4"/>
      <c r="AH51" s="4"/>
      <c r="AI51" s="5">
        <f t="shared" si="11"/>
        <v>0</v>
      </c>
      <c r="AJ51" s="5"/>
      <c r="AK51" s="8"/>
      <c r="AL51" s="9" t="str">
        <f>IFERROR(VLOOKUP(A51,Ruby_Leyte,3,FALSE),"")</f>
        <v/>
      </c>
      <c r="AM51" s="4" t="str">
        <f>IFERROR(VLOOKUP(A51,Ruby_Leyte,6,FALSE),"")</f>
        <v/>
      </c>
      <c r="AN51" s="4" t="str">
        <f>IFERROR(VLOOKUP(A51,Ruby_Leyte,7,FALSE),"")</f>
        <v/>
      </c>
      <c r="AO51" s="5">
        <f t="shared" si="24"/>
        <v>0</v>
      </c>
      <c r="AP51" s="5" t="str">
        <f>IFERROR(VLOOKUP(A51,Ruby_Leyte,14,FALSE),"")</f>
        <v/>
      </c>
      <c r="AQ51" s="8" t="str">
        <f>IFERROR(VLOOKUP(A51,Ruby_Leyte,16,FALSE),"")</f>
        <v/>
      </c>
      <c r="AR51" s="9">
        <f t="shared" si="18"/>
        <v>0</v>
      </c>
      <c r="AS51" s="4">
        <f t="shared" si="19"/>
        <v>0</v>
      </c>
      <c r="AT51" s="4">
        <f t="shared" si="20"/>
        <v>0</v>
      </c>
      <c r="AU51" s="5">
        <f t="shared" si="25"/>
        <v>0</v>
      </c>
      <c r="AV51" s="5"/>
      <c r="AW51" s="8">
        <f t="shared" si="22"/>
        <v>0</v>
      </c>
      <c r="AX51" s="3" t="str">
        <f t="shared" si="1"/>
        <v/>
      </c>
      <c r="AY51" s="3" t="str">
        <f t="shared" si="2"/>
        <v/>
      </c>
      <c r="AZ51" s="3" t="str">
        <f t="shared" si="3"/>
        <v/>
      </c>
      <c r="BA51" s="5">
        <f t="shared" si="26"/>
        <v>0</v>
      </c>
      <c r="BB51" s="709"/>
      <c r="BC51" s="711" t="str">
        <f t="shared" si="5"/>
        <v/>
      </c>
    </row>
    <row r="52" spans="1:55" ht="16.5" x14ac:dyDescent="0.3">
      <c r="A52" s="712" t="s">
        <v>33</v>
      </c>
      <c r="B52" s="9">
        <v>200</v>
      </c>
      <c r="C52" s="4">
        <v>95</v>
      </c>
      <c r="D52" s="4">
        <v>0</v>
      </c>
      <c r="E52" s="5">
        <f t="shared" si="6"/>
        <v>95</v>
      </c>
      <c r="F52" s="5">
        <v>110.86500000000001</v>
      </c>
      <c r="G52" s="8">
        <v>712500</v>
      </c>
      <c r="H52" s="9"/>
      <c r="I52" s="4"/>
      <c r="J52" s="4"/>
      <c r="K52" s="5">
        <f t="shared" si="7"/>
        <v>0</v>
      </c>
      <c r="L52" s="5"/>
      <c r="M52" s="8"/>
      <c r="N52" s="9"/>
      <c r="O52" s="4"/>
      <c r="P52" s="4"/>
      <c r="Q52" s="5">
        <f t="shared" si="8"/>
        <v>0</v>
      </c>
      <c r="R52" s="5"/>
      <c r="S52" s="8"/>
      <c r="T52" s="9"/>
      <c r="U52" s="4"/>
      <c r="V52" s="4"/>
      <c r="W52" s="5">
        <f t="shared" si="9"/>
        <v>0</v>
      </c>
      <c r="X52" s="5"/>
      <c r="Y52" s="8"/>
      <c r="Z52" s="9" t="str">
        <f>IFERROR(VLOOKUP(A52,Glenda_leyte,2,FALSE),"")</f>
        <v/>
      </c>
      <c r="AA52" s="4" t="str">
        <f>IFERROR(VLOOKUP(A52,Glenda_leyte,5,FALSE),"")</f>
        <v/>
      </c>
      <c r="AB52" s="4" t="str">
        <f>IFERROR(VLOOKUP(A52,Glenda_leyte,6,FALSE),"")</f>
        <v/>
      </c>
      <c r="AC52" s="5">
        <f t="shared" si="35"/>
        <v>0</v>
      </c>
      <c r="AD52" s="5"/>
      <c r="AE52" s="8" t="str">
        <f>IFERROR(VLOOKUP(A52,Glenda_leyte,12,FALSE),"")</f>
        <v/>
      </c>
      <c r="AF52" s="9"/>
      <c r="AG52" s="4"/>
      <c r="AH52" s="4"/>
      <c r="AI52" s="5">
        <f t="shared" si="11"/>
        <v>0</v>
      </c>
      <c r="AJ52" s="5"/>
      <c r="AK52" s="8"/>
      <c r="AL52" s="9" t="str">
        <f>IFERROR(VLOOKUP(A52,Ruby_Leyte,3,FALSE),"")</f>
        <v/>
      </c>
      <c r="AM52" s="4" t="str">
        <f>IFERROR(VLOOKUP(A52,Ruby_Leyte,6,FALSE),"")</f>
        <v/>
      </c>
      <c r="AN52" s="4" t="str">
        <f>IFERROR(VLOOKUP(A52,Ruby_Leyte,7,FALSE),"")</f>
        <v/>
      </c>
      <c r="AO52" s="5">
        <f t="shared" si="24"/>
        <v>0</v>
      </c>
      <c r="AP52" s="5" t="str">
        <f>IFERROR(VLOOKUP(A52,Ruby_Leyte,14,FALSE),"")</f>
        <v/>
      </c>
      <c r="AQ52" s="8" t="str">
        <f>IFERROR(VLOOKUP(A52,Ruby_Leyte,16,FALSE),"")</f>
        <v/>
      </c>
      <c r="AR52" s="9">
        <f t="shared" si="18"/>
        <v>360</v>
      </c>
      <c r="AS52" s="4">
        <f t="shared" si="19"/>
        <v>450</v>
      </c>
      <c r="AT52" s="4">
        <f t="shared" si="20"/>
        <v>0</v>
      </c>
      <c r="AU52" s="5">
        <f t="shared" si="25"/>
        <v>450</v>
      </c>
      <c r="AV52" s="5"/>
      <c r="AW52" s="8">
        <f t="shared" si="22"/>
        <v>3361500</v>
      </c>
      <c r="AX52" s="3" t="str">
        <f t="shared" si="1"/>
        <v/>
      </c>
      <c r="AY52" s="3" t="str">
        <f t="shared" si="2"/>
        <v/>
      </c>
      <c r="AZ52" s="3" t="str">
        <f t="shared" si="3"/>
        <v/>
      </c>
      <c r="BA52" s="5">
        <f t="shared" si="26"/>
        <v>0</v>
      </c>
      <c r="BB52" s="709"/>
      <c r="BC52" s="711" t="str">
        <f t="shared" si="5"/>
        <v/>
      </c>
    </row>
    <row r="53" spans="1:55" ht="16.5" x14ac:dyDescent="0.3">
      <c r="A53" s="713"/>
      <c r="B53" s="9"/>
      <c r="C53" s="4"/>
      <c r="D53" s="4"/>
      <c r="E53" s="5">
        <f t="shared" si="6"/>
        <v>0</v>
      </c>
      <c r="G53" s="8"/>
      <c r="H53" s="9"/>
      <c r="I53" s="4"/>
      <c r="J53" s="4"/>
      <c r="K53" s="5">
        <f t="shared" si="7"/>
        <v>0</v>
      </c>
      <c r="L53" s="5"/>
      <c r="M53" s="8"/>
      <c r="N53" s="9"/>
      <c r="O53" s="4"/>
      <c r="P53" s="4"/>
      <c r="Q53" s="5">
        <f t="shared" si="8"/>
        <v>0</v>
      </c>
      <c r="R53" s="5"/>
      <c r="S53" s="8"/>
      <c r="T53" s="9"/>
      <c r="U53" s="4"/>
      <c r="V53" s="4"/>
      <c r="W53" s="5">
        <f t="shared" si="9"/>
        <v>0</v>
      </c>
      <c r="X53" s="5"/>
      <c r="Y53" s="8"/>
      <c r="Z53" s="9"/>
      <c r="AA53" s="4"/>
      <c r="AB53" s="4"/>
      <c r="AC53" s="5">
        <f t="shared" si="10"/>
        <v>0</v>
      </c>
      <c r="AD53" s="5"/>
      <c r="AE53" s="8"/>
      <c r="AF53" s="9"/>
      <c r="AG53" s="4"/>
      <c r="AH53" s="4"/>
      <c r="AI53" s="5">
        <f t="shared" si="11"/>
        <v>0</v>
      </c>
      <c r="AJ53" s="5"/>
      <c r="AK53" s="8"/>
      <c r="AL53" s="9"/>
      <c r="AM53" s="4"/>
      <c r="AN53" s="4"/>
      <c r="AO53" s="5">
        <f t="shared" si="15"/>
        <v>0</v>
      </c>
      <c r="AP53" s="5"/>
      <c r="AQ53" s="8"/>
      <c r="AR53" s="9"/>
      <c r="AS53" s="4"/>
      <c r="AT53" s="4"/>
      <c r="AU53" s="5">
        <f t="shared" si="21"/>
        <v>0</v>
      </c>
      <c r="AV53" s="5"/>
      <c r="AW53" s="8"/>
      <c r="AX53" s="3"/>
      <c r="AY53" s="4"/>
      <c r="AZ53" s="4"/>
      <c r="BA53" s="5">
        <f t="shared" si="23"/>
        <v>0</v>
      </c>
      <c r="BB53" s="5"/>
      <c r="BC53" s="711"/>
    </row>
    <row r="54" spans="1:55" s="735" customFormat="1" ht="16.5" x14ac:dyDescent="0.3">
      <c r="A54" s="736" t="s">
        <v>34</v>
      </c>
      <c r="B54" s="737">
        <f>SUM(B55:B68)</f>
        <v>922</v>
      </c>
      <c r="C54" s="738">
        <f t="shared" ref="C54:BC54" si="38">SUM(C55:C68)</f>
        <v>1103.1300000000001</v>
      </c>
      <c r="D54" s="738">
        <f t="shared" si="38"/>
        <v>0</v>
      </c>
      <c r="E54" s="731">
        <f t="shared" si="38"/>
        <v>1103.1300000000001</v>
      </c>
      <c r="F54" s="731">
        <f t="shared" si="38"/>
        <v>1399.8719700000001</v>
      </c>
      <c r="G54" s="732">
        <f t="shared" si="38"/>
        <v>8273475</v>
      </c>
      <c r="H54" s="737">
        <f t="shared" si="38"/>
        <v>2</v>
      </c>
      <c r="I54" s="738">
        <f t="shared" si="38"/>
        <v>0</v>
      </c>
      <c r="J54" s="738">
        <f t="shared" si="38"/>
        <v>0.5</v>
      </c>
      <c r="K54" s="731">
        <f t="shared" si="38"/>
        <v>0.5</v>
      </c>
      <c r="L54" s="731">
        <f t="shared" si="38"/>
        <v>1.3617500000000002</v>
      </c>
      <c r="M54" s="732">
        <f t="shared" si="38"/>
        <v>24511.500000000004</v>
      </c>
      <c r="N54" s="737">
        <f t="shared" si="38"/>
        <v>0</v>
      </c>
      <c r="O54" s="738">
        <f t="shared" si="38"/>
        <v>0</v>
      </c>
      <c r="P54" s="738">
        <f t="shared" si="38"/>
        <v>0</v>
      </c>
      <c r="Q54" s="731">
        <f t="shared" si="38"/>
        <v>0</v>
      </c>
      <c r="R54" s="731">
        <f t="shared" si="38"/>
        <v>0</v>
      </c>
      <c r="S54" s="732">
        <f t="shared" si="38"/>
        <v>0</v>
      </c>
      <c r="T54" s="737">
        <f t="shared" si="38"/>
        <v>0</v>
      </c>
      <c r="U54" s="738">
        <f t="shared" si="38"/>
        <v>0</v>
      </c>
      <c r="V54" s="738">
        <f t="shared" si="38"/>
        <v>0</v>
      </c>
      <c r="W54" s="731">
        <f t="shared" si="38"/>
        <v>0</v>
      </c>
      <c r="X54" s="731">
        <f t="shared" si="38"/>
        <v>0</v>
      </c>
      <c r="Y54" s="732">
        <f t="shared" si="38"/>
        <v>0</v>
      </c>
      <c r="Z54" s="737">
        <f t="shared" si="38"/>
        <v>0</v>
      </c>
      <c r="AA54" s="738">
        <f t="shared" si="38"/>
        <v>0</v>
      </c>
      <c r="AB54" s="738">
        <f t="shared" si="38"/>
        <v>0</v>
      </c>
      <c r="AC54" s="731">
        <f t="shared" si="38"/>
        <v>0</v>
      </c>
      <c r="AD54" s="731">
        <f t="shared" si="38"/>
        <v>0</v>
      </c>
      <c r="AE54" s="732">
        <f t="shared" si="38"/>
        <v>0</v>
      </c>
      <c r="AF54" s="737">
        <f t="shared" si="38"/>
        <v>0</v>
      </c>
      <c r="AG54" s="738">
        <f t="shared" si="38"/>
        <v>0</v>
      </c>
      <c r="AH54" s="738">
        <f t="shared" si="38"/>
        <v>0</v>
      </c>
      <c r="AI54" s="731">
        <f t="shared" si="38"/>
        <v>0</v>
      </c>
      <c r="AJ54" s="731">
        <f t="shared" si="38"/>
        <v>0</v>
      </c>
      <c r="AK54" s="732">
        <f t="shared" si="38"/>
        <v>0</v>
      </c>
      <c r="AL54" s="737">
        <f t="shared" si="38"/>
        <v>0</v>
      </c>
      <c r="AM54" s="738">
        <f t="shared" si="38"/>
        <v>0</v>
      </c>
      <c r="AN54" s="738">
        <f t="shared" si="38"/>
        <v>0</v>
      </c>
      <c r="AO54" s="731">
        <f t="shared" si="38"/>
        <v>0</v>
      </c>
      <c r="AP54" s="731">
        <f t="shared" si="38"/>
        <v>0</v>
      </c>
      <c r="AQ54" s="732">
        <f t="shared" si="38"/>
        <v>0</v>
      </c>
      <c r="AR54" s="737">
        <f t="shared" si="38"/>
        <v>65</v>
      </c>
      <c r="AS54" s="738">
        <f t="shared" si="38"/>
        <v>123</v>
      </c>
      <c r="AT54" s="738">
        <f t="shared" si="38"/>
        <v>0</v>
      </c>
      <c r="AU54" s="731">
        <f t="shared" si="38"/>
        <v>123</v>
      </c>
      <c r="AV54" s="731">
        <f t="shared" si="38"/>
        <v>0</v>
      </c>
      <c r="AW54" s="732">
        <f t="shared" si="38"/>
        <v>2595584</v>
      </c>
      <c r="AX54" s="739">
        <f t="shared" si="38"/>
        <v>0</v>
      </c>
      <c r="AY54" s="738">
        <f t="shared" si="38"/>
        <v>0</v>
      </c>
      <c r="AZ54" s="738">
        <f t="shared" si="38"/>
        <v>0</v>
      </c>
      <c r="BA54" s="731">
        <f t="shared" si="38"/>
        <v>0</v>
      </c>
      <c r="BB54" s="731">
        <f t="shared" si="38"/>
        <v>0</v>
      </c>
      <c r="BC54" s="734">
        <f t="shared" si="38"/>
        <v>0</v>
      </c>
    </row>
    <row r="55" spans="1:55" ht="16.5" x14ac:dyDescent="0.3">
      <c r="A55" s="712" t="s">
        <v>35</v>
      </c>
      <c r="B55" s="9">
        <f>C55</f>
        <v>2</v>
      </c>
      <c r="C55" s="4">
        <v>2</v>
      </c>
      <c r="D55" s="4">
        <v>0</v>
      </c>
      <c r="E55" s="5">
        <f t="shared" si="6"/>
        <v>2</v>
      </c>
      <c r="F55" s="5">
        <v>2.5380000000000003</v>
      </c>
      <c r="G55" s="8">
        <v>15000</v>
      </c>
      <c r="H55" s="9"/>
      <c r="I55" s="4"/>
      <c r="J55" s="4"/>
      <c r="K55" s="5">
        <f t="shared" si="7"/>
        <v>0</v>
      </c>
      <c r="L55" s="5"/>
      <c r="M55" s="8"/>
      <c r="N55" s="9"/>
      <c r="O55" s="4"/>
      <c r="P55" s="4"/>
      <c r="Q55" s="5">
        <f t="shared" si="8"/>
        <v>0</v>
      </c>
      <c r="R55" s="5"/>
      <c r="S55" s="8"/>
      <c r="T55" s="9"/>
      <c r="U55" s="4"/>
      <c r="V55" s="4"/>
      <c r="W55" s="5">
        <f t="shared" si="9"/>
        <v>0</v>
      </c>
      <c r="X55" s="5"/>
      <c r="Y55" s="8"/>
      <c r="Z55" s="9" t="str">
        <f>IFERROR(VLOOKUP(A55,Glenda_leyte,2,FALSE),"")</f>
        <v/>
      </c>
      <c r="AA55" s="4" t="str">
        <f>IFERROR(VLOOKUP(A55,Glenda_leyte,5,FALSE),"")</f>
        <v/>
      </c>
      <c r="AB55" s="4" t="str">
        <f>IFERROR(VLOOKUP(A55,Glenda_leyte,6,FALSE),"")</f>
        <v/>
      </c>
      <c r="AC55" s="5">
        <f t="shared" ref="AC55" si="39">SUM(AA55:AB55)</f>
        <v>0</v>
      </c>
      <c r="AD55" s="5"/>
      <c r="AE55" s="8"/>
      <c r="AF55" s="9"/>
      <c r="AG55" s="4"/>
      <c r="AH55" s="4"/>
      <c r="AI55" s="5">
        <f t="shared" si="11"/>
        <v>0</v>
      </c>
      <c r="AJ55" s="5"/>
      <c r="AK55" s="8"/>
      <c r="AL55" s="9" t="str">
        <f>IFERROR(VLOOKUP(A55,Ruby_Leyte,3,FALSE),"")</f>
        <v/>
      </c>
      <c r="AM55" s="4" t="str">
        <f>IFERROR(VLOOKUP(A55,Ruby_Leyte,6,FALSE),"")</f>
        <v/>
      </c>
      <c r="AN55" s="4" t="str">
        <f>IFERROR(VLOOKUP(A55,Ruby_Leyte,7,FALSE),"")</f>
        <v/>
      </c>
      <c r="AO55" s="5">
        <f t="shared" si="15"/>
        <v>0</v>
      </c>
      <c r="AP55" s="5" t="str">
        <f>IFERROR(VLOOKUP(A55,Ruby_Leyte,14,FALSE),"")</f>
        <v/>
      </c>
      <c r="AQ55" s="8" t="str">
        <f>IFERROR(VLOOKUP(A55,Ruby_Leyte,16,FALSE),"")</f>
        <v/>
      </c>
      <c r="AR55" s="9" t="str">
        <f t="shared" ref="AR55:AR68" si="40">IFERROR(VLOOKUP(A55,Urduja_SLeyte,3,FALSE),"")</f>
        <v/>
      </c>
      <c r="AS55" s="4" t="str">
        <f t="shared" ref="AS55:AS68" si="41">IFERROR(VLOOKUP(A55,Urduja_SLeyte,6,FALSE),"")</f>
        <v/>
      </c>
      <c r="AT55" s="4" t="str">
        <f t="shared" ref="AT55:AT68" si="42">IFERROR(VLOOKUP(A55,Urduja_SLeyte,7,FALSE),"")</f>
        <v/>
      </c>
      <c r="AU55" s="5">
        <f t="shared" si="21"/>
        <v>0</v>
      </c>
      <c r="AV55" s="5"/>
      <c r="AW55" s="8" t="str">
        <f t="shared" ref="AW55:AW68" si="43">IFERROR(VLOOKUP(A55,Urduja_SLeyte,17,FALSE),"")</f>
        <v/>
      </c>
      <c r="AX55" s="3" t="str">
        <f>IFERROR(VLOOKUP(A55,Ursula_SLeyte,3,FALSE),"")</f>
        <v/>
      </c>
      <c r="AY55" s="3" t="str">
        <f>IFERROR(VLOOKUP(A55,Ursula_SLeyte,6,FALSE),"")</f>
        <v/>
      </c>
      <c r="AZ55" s="3" t="str">
        <f>IFERROR(VLOOKUP(A55,Ursula_SLeyte,7,FALSE),"")</f>
        <v/>
      </c>
      <c r="BA55" s="5">
        <f t="shared" si="23"/>
        <v>0</v>
      </c>
      <c r="BB55" s="709"/>
      <c r="BC55" s="711" t="str">
        <f>IFERROR(VLOOKUP(A55,Ursula_SLeyte,13,FALSE),"")</f>
        <v/>
      </c>
    </row>
    <row r="56" spans="1:55" ht="16.5" x14ac:dyDescent="0.3">
      <c r="A56" s="712" t="s">
        <v>36</v>
      </c>
      <c r="B56" s="9">
        <f>200</f>
        <v>200</v>
      </c>
      <c r="C56" s="4">
        <v>210</v>
      </c>
      <c r="D56" s="4">
        <v>0</v>
      </c>
      <c r="E56" s="5">
        <f t="shared" si="6"/>
        <v>210</v>
      </c>
      <c r="F56" s="5">
        <v>266.49</v>
      </c>
      <c r="G56" s="8">
        <v>1575000</v>
      </c>
      <c r="H56" s="9"/>
      <c r="I56" s="4"/>
      <c r="J56" s="4"/>
      <c r="K56" s="5">
        <f t="shared" si="7"/>
        <v>0</v>
      </c>
      <c r="L56" s="5"/>
      <c r="M56" s="8"/>
      <c r="N56" s="9"/>
      <c r="O56" s="4"/>
      <c r="P56" s="4"/>
      <c r="Q56" s="5">
        <f t="shared" si="8"/>
        <v>0</v>
      </c>
      <c r="R56" s="5"/>
      <c r="S56" s="8"/>
      <c r="T56" s="9"/>
      <c r="U56" s="4"/>
      <c r="V56" s="4"/>
      <c r="W56" s="5">
        <f t="shared" si="9"/>
        <v>0</v>
      </c>
      <c r="X56" s="5"/>
      <c r="Y56" s="8"/>
      <c r="Z56" s="9"/>
      <c r="AA56" s="4"/>
      <c r="AB56" s="4"/>
      <c r="AC56" s="5">
        <f t="shared" si="10"/>
        <v>0</v>
      </c>
      <c r="AD56" s="5"/>
      <c r="AE56" s="8"/>
      <c r="AF56" s="9"/>
      <c r="AG56" s="4"/>
      <c r="AH56" s="4"/>
      <c r="AI56" s="5">
        <f t="shared" si="11"/>
        <v>0</v>
      </c>
      <c r="AJ56" s="5"/>
      <c r="AK56" s="8"/>
      <c r="AL56" s="9"/>
      <c r="AM56" s="4"/>
      <c r="AN56" s="4"/>
      <c r="AO56" s="5">
        <f t="shared" si="15"/>
        <v>0</v>
      </c>
      <c r="AP56" s="5"/>
      <c r="AQ56" s="8"/>
      <c r="AR56" s="9" t="str">
        <f t="shared" si="40"/>
        <v/>
      </c>
      <c r="AS56" s="4" t="str">
        <f t="shared" si="41"/>
        <v/>
      </c>
      <c r="AT56" s="4" t="str">
        <f t="shared" si="42"/>
        <v/>
      </c>
      <c r="AU56" s="5">
        <f t="shared" ref="AU56:AU68" si="44">SUM(AS56:AT56)</f>
        <v>0</v>
      </c>
      <c r="AV56" s="5"/>
      <c r="AW56" s="8" t="str">
        <f t="shared" si="43"/>
        <v/>
      </c>
      <c r="AX56" s="3" t="str">
        <f>IFERROR(VLOOKUP(A56,Ursula_SLeyte,3,FALSE),"")</f>
        <v/>
      </c>
      <c r="AY56" s="3" t="str">
        <f>IFERROR(VLOOKUP(A56,Ursula_SLeyte,6,FALSE),"")</f>
        <v/>
      </c>
      <c r="AZ56" s="3" t="str">
        <f>IFERROR(VLOOKUP(A56,Ursula_SLeyte,7,FALSE),"")</f>
        <v/>
      </c>
      <c r="BA56" s="5">
        <f t="shared" ref="BA56:BA68" si="45">SUM(AY56:AZ56)</f>
        <v>0</v>
      </c>
      <c r="BB56" s="709"/>
      <c r="BC56" s="711" t="str">
        <f>IFERROR(VLOOKUP(A56,Ursula_SLeyte,13,FALSE),"")</f>
        <v/>
      </c>
    </row>
    <row r="57" spans="1:55" ht="16.5" x14ac:dyDescent="0.3">
      <c r="A57" s="712" t="s">
        <v>37</v>
      </c>
      <c r="B57" s="9">
        <v>320</v>
      </c>
      <c r="C57" s="4">
        <v>380</v>
      </c>
      <c r="D57" s="4">
        <v>0</v>
      </c>
      <c r="E57" s="5">
        <f t="shared" si="6"/>
        <v>380</v>
      </c>
      <c r="F57" s="5">
        <v>482.22</v>
      </c>
      <c r="G57" s="8">
        <v>2850000</v>
      </c>
      <c r="H57" s="9"/>
      <c r="I57" s="4"/>
      <c r="J57" s="4"/>
      <c r="K57" s="5">
        <f t="shared" si="7"/>
        <v>0</v>
      </c>
      <c r="L57" s="5"/>
      <c r="M57" s="8"/>
      <c r="N57" s="9"/>
      <c r="O57" s="4"/>
      <c r="P57" s="4"/>
      <c r="Q57" s="5">
        <f t="shared" si="8"/>
        <v>0</v>
      </c>
      <c r="R57" s="5"/>
      <c r="S57" s="8"/>
      <c r="T57" s="9"/>
      <c r="U57" s="4"/>
      <c r="V57" s="4"/>
      <c r="W57" s="5">
        <f t="shared" si="9"/>
        <v>0</v>
      </c>
      <c r="X57" s="5"/>
      <c r="Y57" s="8"/>
      <c r="Z57" s="9"/>
      <c r="AA57" s="4"/>
      <c r="AB57" s="4"/>
      <c r="AC57" s="5">
        <f t="shared" si="10"/>
        <v>0</v>
      </c>
      <c r="AD57" s="5"/>
      <c r="AE57" s="8"/>
      <c r="AF57" s="9"/>
      <c r="AG57" s="4"/>
      <c r="AH57" s="4"/>
      <c r="AI57" s="5">
        <f t="shared" si="11"/>
        <v>0</v>
      </c>
      <c r="AJ57" s="5"/>
      <c r="AK57" s="8"/>
      <c r="AL57" s="9"/>
      <c r="AM57" s="4"/>
      <c r="AN57" s="4"/>
      <c r="AO57" s="5">
        <f t="shared" si="15"/>
        <v>0</v>
      </c>
      <c r="AP57" s="5"/>
      <c r="AQ57" s="8"/>
      <c r="AR57" s="9">
        <f t="shared" si="40"/>
        <v>12</v>
      </c>
      <c r="AS57" s="4">
        <f t="shared" si="41"/>
        <v>61</v>
      </c>
      <c r="AT57" s="4">
        <f t="shared" si="42"/>
        <v>0</v>
      </c>
      <c r="AU57" s="5">
        <f t="shared" si="44"/>
        <v>61</v>
      </c>
      <c r="AV57" s="5"/>
      <c r="AW57" s="8">
        <f t="shared" si="43"/>
        <v>2041304</v>
      </c>
      <c r="AX57" s="3" t="str">
        <f>IFERROR(VLOOKUP(A57,Ursula_SLeyte,3,FALSE),"")</f>
        <v/>
      </c>
      <c r="AY57" s="3" t="str">
        <f>IFERROR(VLOOKUP(A57,Ursula_SLeyte,6,FALSE),"")</f>
        <v/>
      </c>
      <c r="AZ57" s="3" t="str">
        <f>IFERROR(VLOOKUP(A57,Ursula_SLeyte,7,FALSE),"")</f>
        <v/>
      </c>
      <c r="BA57" s="5">
        <f t="shared" si="45"/>
        <v>0</v>
      </c>
      <c r="BB57" s="709"/>
      <c r="BC57" s="711" t="str">
        <f>IFERROR(VLOOKUP(A57,Ursula_SLeyte,13,FALSE),"")</f>
        <v/>
      </c>
    </row>
    <row r="58" spans="1:55" ht="16.5" x14ac:dyDescent="0.3">
      <c r="A58" s="712" t="s">
        <v>38</v>
      </c>
      <c r="B58" s="9">
        <v>1</v>
      </c>
      <c r="C58" s="4">
        <v>0.88</v>
      </c>
      <c r="D58" s="4">
        <v>0</v>
      </c>
      <c r="E58" s="5">
        <f t="shared" si="6"/>
        <v>0.88</v>
      </c>
      <c r="F58" s="5">
        <v>1.1167200000000002</v>
      </c>
      <c r="G58" s="8">
        <v>6600</v>
      </c>
      <c r="H58" s="9"/>
      <c r="I58" s="4"/>
      <c r="J58" s="4"/>
      <c r="K58" s="5">
        <f t="shared" si="7"/>
        <v>0</v>
      </c>
      <c r="L58" s="5"/>
      <c r="M58" s="8"/>
      <c r="N58" s="9"/>
      <c r="O58" s="4"/>
      <c r="P58" s="4"/>
      <c r="Q58" s="5">
        <f t="shared" si="8"/>
        <v>0</v>
      </c>
      <c r="R58" s="5"/>
      <c r="S58" s="8"/>
      <c r="T58" s="9"/>
      <c r="U58" s="4"/>
      <c r="V58" s="4"/>
      <c r="W58" s="5">
        <f t="shared" si="9"/>
        <v>0</v>
      </c>
      <c r="X58" s="5"/>
      <c r="Y58" s="8"/>
      <c r="Z58" s="9"/>
      <c r="AA58" s="4"/>
      <c r="AB58" s="4"/>
      <c r="AC58" s="5">
        <f t="shared" si="10"/>
        <v>0</v>
      </c>
      <c r="AD58" s="5"/>
      <c r="AE58" s="8"/>
      <c r="AF58" s="9"/>
      <c r="AG58" s="4"/>
      <c r="AH58" s="4"/>
      <c r="AI58" s="5">
        <f t="shared" si="11"/>
        <v>0</v>
      </c>
      <c r="AJ58" s="5"/>
      <c r="AK58" s="8"/>
      <c r="AL58" s="9"/>
      <c r="AM58" s="4"/>
      <c r="AN58" s="4"/>
      <c r="AO58" s="5">
        <f t="shared" si="15"/>
        <v>0</v>
      </c>
      <c r="AP58" s="5"/>
      <c r="AQ58" s="8"/>
      <c r="AR58" s="9">
        <f t="shared" si="40"/>
        <v>0</v>
      </c>
      <c r="AS58" s="4">
        <f t="shared" si="41"/>
        <v>0</v>
      </c>
      <c r="AT58" s="4">
        <f t="shared" si="42"/>
        <v>0</v>
      </c>
      <c r="AU58" s="5">
        <f t="shared" si="44"/>
        <v>0</v>
      </c>
      <c r="AV58" s="5"/>
      <c r="AW58" s="8">
        <f t="shared" si="43"/>
        <v>0</v>
      </c>
      <c r="AX58" s="3" t="str">
        <f>IFERROR(VLOOKUP(A58,Ursula_SLeyte,3,FALSE),"")</f>
        <v/>
      </c>
      <c r="AY58" s="3" t="str">
        <f>IFERROR(VLOOKUP(A58,Ursula_SLeyte,6,FALSE),"")</f>
        <v/>
      </c>
      <c r="AZ58" s="3" t="str">
        <f>IFERROR(VLOOKUP(A58,Ursula_SLeyte,7,FALSE),"")</f>
        <v/>
      </c>
      <c r="BA58" s="5">
        <f t="shared" si="45"/>
        <v>0</v>
      </c>
      <c r="BB58" s="709"/>
      <c r="BC58" s="711" t="str">
        <f>IFERROR(VLOOKUP(A58,Ursula_SLeyte,13,FALSE),"")</f>
        <v/>
      </c>
    </row>
    <row r="59" spans="1:55" ht="16.5" x14ac:dyDescent="0.3">
      <c r="A59" s="712" t="s">
        <v>39</v>
      </c>
      <c r="B59" s="9">
        <v>200</v>
      </c>
      <c r="C59" s="4">
        <v>237</v>
      </c>
      <c r="D59" s="4">
        <v>0</v>
      </c>
      <c r="E59" s="5">
        <f t="shared" si="6"/>
        <v>237</v>
      </c>
      <c r="F59" s="5">
        <v>300.75299999999999</v>
      </c>
      <c r="G59" s="8">
        <v>1777500</v>
      </c>
      <c r="H59" s="9"/>
      <c r="I59" s="4"/>
      <c r="J59" s="4"/>
      <c r="K59" s="5">
        <f t="shared" si="7"/>
        <v>0</v>
      </c>
      <c r="L59" s="5"/>
      <c r="M59" s="8"/>
      <c r="N59" s="9"/>
      <c r="O59" s="4"/>
      <c r="P59" s="4"/>
      <c r="Q59" s="5">
        <f t="shared" si="8"/>
        <v>0</v>
      </c>
      <c r="R59" s="5"/>
      <c r="S59" s="8"/>
      <c r="T59" s="9"/>
      <c r="U59" s="4"/>
      <c r="V59" s="4"/>
      <c r="W59" s="5">
        <f t="shared" si="9"/>
        <v>0</v>
      </c>
      <c r="X59" s="5"/>
      <c r="Y59" s="8"/>
      <c r="Z59" s="9"/>
      <c r="AA59" s="4"/>
      <c r="AB59" s="4"/>
      <c r="AC59" s="5">
        <f t="shared" si="10"/>
        <v>0</v>
      </c>
      <c r="AD59" s="5"/>
      <c r="AE59" s="8"/>
      <c r="AF59" s="9"/>
      <c r="AG59" s="4"/>
      <c r="AH59" s="4"/>
      <c r="AI59" s="5">
        <f t="shared" si="11"/>
        <v>0</v>
      </c>
      <c r="AJ59" s="5"/>
      <c r="AK59" s="8"/>
      <c r="AL59" s="9"/>
      <c r="AM59" s="4"/>
      <c r="AN59" s="4"/>
      <c r="AO59" s="5">
        <f t="shared" si="15"/>
        <v>0</v>
      </c>
      <c r="AP59" s="5"/>
      <c r="AQ59" s="8"/>
      <c r="AR59" s="9">
        <f t="shared" si="40"/>
        <v>0</v>
      </c>
      <c r="AS59" s="4">
        <f t="shared" si="41"/>
        <v>0</v>
      </c>
      <c r="AT59" s="4">
        <f t="shared" si="42"/>
        <v>0</v>
      </c>
      <c r="AU59" s="5">
        <f t="shared" si="44"/>
        <v>0</v>
      </c>
      <c r="AV59" s="5"/>
      <c r="AW59" s="8">
        <f t="shared" si="43"/>
        <v>0</v>
      </c>
      <c r="AX59" s="3" t="str">
        <f>IFERROR(VLOOKUP(A59,Ursula_SLeyte,3,FALSE),"")</f>
        <v/>
      </c>
      <c r="AY59" s="3" t="str">
        <f>IFERROR(VLOOKUP(A59,Ursula_SLeyte,6,FALSE),"")</f>
        <v/>
      </c>
      <c r="AZ59" s="3" t="str">
        <f>IFERROR(VLOOKUP(A59,Ursula_SLeyte,7,FALSE),"")</f>
        <v/>
      </c>
      <c r="BA59" s="5">
        <f t="shared" si="45"/>
        <v>0</v>
      </c>
      <c r="BB59" s="709"/>
      <c r="BC59" s="711" t="str">
        <f>IFERROR(VLOOKUP(A59,Ursula_SLeyte,13,FALSE),"")</f>
        <v/>
      </c>
    </row>
    <row r="60" spans="1:55" ht="16.5" x14ac:dyDescent="0.3">
      <c r="A60" s="712" t="s">
        <v>40</v>
      </c>
      <c r="B60" s="9">
        <v>40</v>
      </c>
      <c r="C60" s="4">
        <v>53.2</v>
      </c>
      <c r="D60" s="4">
        <v>0</v>
      </c>
      <c r="E60" s="5">
        <f t="shared" si="6"/>
        <v>53.2</v>
      </c>
      <c r="F60" s="5">
        <v>67.510800000000017</v>
      </c>
      <c r="G60" s="8">
        <v>399000</v>
      </c>
      <c r="H60" s="9"/>
      <c r="I60" s="4"/>
      <c r="J60" s="4"/>
      <c r="K60" s="5">
        <f t="shared" si="7"/>
        <v>0</v>
      </c>
      <c r="L60" s="5"/>
      <c r="M60" s="8"/>
      <c r="N60" s="9"/>
      <c r="O60" s="4"/>
      <c r="P60" s="4"/>
      <c r="Q60" s="5">
        <f t="shared" si="8"/>
        <v>0</v>
      </c>
      <c r="R60" s="5"/>
      <c r="S60" s="8"/>
      <c r="T60" s="9"/>
      <c r="U60" s="4"/>
      <c r="V60" s="4"/>
      <c r="W60" s="5">
        <f t="shared" si="9"/>
        <v>0</v>
      </c>
      <c r="X60" s="5"/>
      <c r="Y60" s="8"/>
      <c r="Z60" s="9"/>
      <c r="AA60" s="4"/>
      <c r="AB60" s="4"/>
      <c r="AC60" s="5">
        <f t="shared" si="10"/>
        <v>0</v>
      </c>
      <c r="AD60" s="5"/>
      <c r="AE60" s="8"/>
      <c r="AF60" s="9"/>
      <c r="AG60" s="4"/>
      <c r="AH60" s="4"/>
      <c r="AI60" s="5">
        <f t="shared" si="11"/>
        <v>0</v>
      </c>
      <c r="AJ60" s="5"/>
      <c r="AK60" s="8"/>
      <c r="AL60" s="9"/>
      <c r="AM60" s="4"/>
      <c r="AN60" s="4"/>
      <c r="AO60" s="5">
        <f t="shared" si="15"/>
        <v>0</v>
      </c>
      <c r="AP60" s="5"/>
      <c r="AQ60" s="8"/>
      <c r="AR60" s="9">
        <f t="shared" si="40"/>
        <v>3</v>
      </c>
      <c r="AS60" s="4">
        <f t="shared" si="41"/>
        <v>2</v>
      </c>
      <c r="AT60" s="4">
        <f t="shared" si="42"/>
        <v>0</v>
      </c>
      <c r="AU60" s="5">
        <f t="shared" si="44"/>
        <v>2</v>
      </c>
      <c r="AV60" s="5"/>
      <c r="AW60" s="8">
        <f t="shared" si="43"/>
        <v>106080</v>
      </c>
      <c r="AX60" s="3" t="str">
        <f>IFERROR(VLOOKUP(A60,Ursula_SLeyte,3,FALSE),"")</f>
        <v/>
      </c>
      <c r="AY60" s="3" t="str">
        <f>IFERROR(VLOOKUP(A60,Ursula_SLeyte,6,FALSE),"")</f>
        <v/>
      </c>
      <c r="AZ60" s="3" t="str">
        <f>IFERROR(VLOOKUP(A60,Ursula_SLeyte,7,FALSE),"")</f>
        <v/>
      </c>
      <c r="BA60" s="5">
        <f t="shared" si="45"/>
        <v>0</v>
      </c>
      <c r="BB60" s="709"/>
      <c r="BC60" s="711" t="str">
        <f>IFERROR(VLOOKUP(A60,Ursula_SLeyte,13,FALSE),"")</f>
        <v/>
      </c>
    </row>
    <row r="61" spans="1:55" ht="16.5" x14ac:dyDescent="0.3">
      <c r="A61" s="712" t="s">
        <v>41</v>
      </c>
      <c r="B61" s="9">
        <v>20</v>
      </c>
      <c r="C61" s="4">
        <v>25.8</v>
      </c>
      <c r="D61" s="4">
        <v>0</v>
      </c>
      <c r="E61" s="5">
        <f t="shared" si="6"/>
        <v>25.8</v>
      </c>
      <c r="F61" s="5">
        <v>32.740200000000002</v>
      </c>
      <c r="G61" s="8">
        <v>193500</v>
      </c>
      <c r="H61" s="9"/>
      <c r="I61" s="4"/>
      <c r="J61" s="4"/>
      <c r="K61" s="5">
        <f t="shared" si="7"/>
        <v>0</v>
      </c>
      <c r="L61" s="5"/>
      <c r="M61" s="8"/>
      <c r="N61" s="9"/>
      <c r="O61" s="4"/>
      <c r="P61" s="4"/>
      <c r="Q61" s="5">
        <f t="shared" si="8"/>
        <v>0</v>
      </c>
      <c r="R61" s="5"/>
      <c r="S61" s="8"/>
      <c r="T61" s="9"/>
      <c r="U61" s="4"/>
      <c r="V61" s="4"/>
      <c r="W61" s="5">
        <f t="shared" si="9"/>
        <v>0</v>
      </c>
      <c r="X61" s="5"/>
      <c r="Y61" s="8"/>
      <c r="Z61" s="9"/>
      <c r="AA61" s="4"/>
      <c r="AB61" s="4"/>
      <c r="AC61" s="5">
        <f t="shared" si="10"/>
        <v>0</v>
      </c>
      <c r="AD61" s="5"/>
      <c r="AE61" s="8"/>
      <c r="AF61" s="9"/>
      <c r="AG61" s="4"/>
      <c r="AH61" s="4"/>
      <c r="AI61" s="5">
        <f t="shared" si="11"/>
        <v>0</v>
      </c>
      <c r="AJ61" s="5"/>
      <c r="AK61" s="8"/>
      <c r="AL61" s="9"/>
      <c r="AM61" s="4"/>
      <c r="AN61" s="4"/>
      <c r="AO61" s="5">
        <f t="shared" si="15"/>
        <v>0</v>
      </c>
      <c r="AP61" s="5"/>
      <c r="AQ61" s="8"/>
      <c r="AR61" s="9">
        <f t="shared" si="40"/>
        <v>0</v>
      </c>
      <c r="AS61" s="4">
        <f t="shared" si="41"/>
        <v>0</v>
      </c>
      <c r="AT61" s="4">
        <f t="shared" si="42"/>
        <v>0</v>
      </c>
      <c r="AU61" s="5">
        <f t="shared" si="44"/>
        <v>0</v>
      </c>
      <c r="AV61" s="5"/>
      <c r="AW61" s="8">
        <f t="shared" si="43"/>
        <v>0</v>
      </c>
      <c r="AX61" s="3" t="str">
        <f>IFERROR(VLOOKUP(A61,Ursula_SLeyte,3,FALSE),"")</f>
        <v/>
      </c>
      <c r="AY61" s="3" t="str">
        <f>IFERROR(VLOOKUP(A61,Ursula_SLeyte,6,FALSE),"")</f>
        <v/>
      </c>
      <c r="AZ61" s="3" t="str">
        <f>IFERROR(VLOOKUP(A61,Ursula_SLeyte,7,FALSE),"")</f>
        <v/>
      </c>
      <c r="BA61" s="5">
        <f t="shared" si="45"/>
        <v>0</v>
      </c>
      <c r="BB61" s="709"/>
      <c r="BC61" s="711" t="str">
        <f>IFERROR(VLOOKUP(A61,Ursula_SLeyte,13,FALSE),"")</f>
        <v/>
      </c>
    </row>
    <row r="62" spans="1:55" ht="16.5" x14ac:dyDescent="0.3">
      <c r="A62" s="712" t="s">
        <v>42</v>
      </c>
      <c r="B62" s="9">
        <v>10</v>
      </c>
      <c r="C62" s="4">
        <v>13</v>
      </c>
      <c r="D62" s="4">
        <v>0</v>
      </c>
      <c r="E62" s="5">
        <f t="shared" si="6"/>
        <v>13</v>
      </c>
      <c r="F62" s="5">
        <v>16.497</v>
      </c>
      <c r="G62" s="8">
        <v>97500</v>
      </c>
      <c r="H62" s="9">
        <v>2</v>
      </c>
      <c r="I62" s="4"/>
      <c r="J62" s="4">
        <v>0.5</v>
      </c>
      <c r="K62" s="5">
        <f t="shared" si="7"/>
        <v>0.5</v>
      </c>
      <c r="L62" s="5">
        <v>1.3617500000000002</v>
      </c>
      <c r="M62" s="8">
        <v>24511.500000000004</v>
      </c>
      <c r="N62" s="9"/>
      <c r="O62" s="4"/>
      <c r="P62" s="4"/>
      <c r="Q62" s="5">
        <f t="shared" si="8"/>
        <v>0</v>
      </c>
      <c r="R62" s="5"/>
      <c r="S62" s="8"/>
      <c r="T62" s="9"/>
      <c r="U62" s="4"/>
      <c r="V62" s="4"/>
      <c r="W62" s="5">
        <f t="shared" si="9"/>
        <v>0</v>
      </c>
      <c r="X62" s="5"/>
      <c r="Y62" s="8"/>
      <c r="Z62" s="9"/>
      <c r="AA62" s="4"/>
      <c r="AB62" s="4"/>
      <c r="AC62" s="5">
        <f t="shared" si="10"/>
        <v>0</v>
      </c>
      <c r="AD62" s="5"/>
      <c r="AE62" s="8"/>
      <c r="AF62" s="9"/>
      <c r="AG62" s="4"/>
      <c r="AH62" s="4"/>
      <c r="AI62" s="5">
        <f t="shared" si="11"/>
        <v>0</v>
      </c>
      <c r="AJ62" s="5"/>
      <c r="AK62" s="8"/>
      <c r="AL62" s="9"/>
      <c r="AM62" s="4"/>
      <c r="AN62" s="4"/>
      <c r="AO62" s="5">
        <f t="shared" si="15"/>
        <v>0</v>
      </c>
      <c r="AP62" s="5"/>
      <c r="AQ62" s="8"/>
      <c r="AR62" s="9">
        <f t="shared" si="40"/>
        <v>0</v>
      </c>
      <c r="AS62" s="4">
        <f t="shared" si="41"/>
        <v>0</v>
      </c>
      <c r="AT62" s="4">
        <f t="shared" si="42"/>
        <v>0</v>
      </c>
      <c r="AU62" s="5">
        <f t="shared" si="44"/>
        <v>0</v>
      </c>
      <c r="AV62" s="5"/>
      <c r="AW62" s="8">
        <f t="shared" si="43"/>
        <v>0</v>
      </c>
      <c r="AX62" s="3" t="str">
        <f>IFERROR(VLOOKUP(A62,Ursula_SLeyte,3,FALSE),"")</f>
        <v/>
      </c>
      <c r="AY62" s="3" t="str">
        <f>IFERROR(VLOOKUP(A62,Ursula_SLeyte,6,FALSE),"")</f>
        <v/>
      </c>
      <c r="AZ62" s="3" t="str">
        <f>IFERROR(VLOOKUP(A62,Ursula_SLeyte,7,FALSE),"")</f>
        <v/>
      </c>
      <c r="BA62" s="5">
        <f t="shared" si="45"/>
        <v>0</v>
      </c>
      <c r="BB62" s="709"/>
      <c r="BC62" s="711" t="str">
        <f>IFERROR(VLOOKUP(A62,Ursula_SLeyte,13,FALSE),"")</f>
        <v/>
      </c>
    </row>
    <row r="63" spans="1:55" ht="16.5" x14ac:dyDescent="0.3">
      <c r="A63" s="712" t="s">
        <v>43</v>
      </c>
      <c r="B63" s="9">
        <v>25</v>
      </c>
      <c r="C63" s="4">
        <v>32</v>
      </c>
      <c r="D63" s="4">
        <v>0</v>
      </c>
      <c r="E63" s="5">
        <f t="shared" si="6"/>
        <v>32</v>
      </c>
      <c r="F63" s="5">
        <v>40.608000000000004</v>
      </c>
      <c r="G63" s="8">
        <v>240000</v>
      </c>
      <c r="H63" s="9"/>
      <c r="I63" s="4"/>
      <c r="J63" s="4"/>
      <c r="K63" s="5">
        <f t="shared" si="7"/>
        <v>0</v>
      </c>
      <c r="L63" s="5"/>
      <c r="M63" s="8"/>
      <c r="N63" s="9"/>
      <c r="O63" s="4"/>
      <c r="P63" s="4"/>
      <c r="Q63" s="5">
        <f t="shared" si="8"/>
        <v>0</v>
      </c>
      <c r="R63" s="5"/>
      <c r="S63" s="8"/>
      <c r="T63" s="9"/>
      <c r="U63" s="4"/>
      <c r="V63" s="4"/>
      <c r="W63" s="5">
        <f t="shared" si="9"/>
        <v>0</v>
      </c>
      <c r="X63" s="5"/>
      <c r="Y63" s="8"/>
      <c r="Z63" s="9"/>
      <c r="AA63" s="4"/>
      <c r="AB63" s="4"/>
      <c r="AC63" s="5">
        <f t="shared" si="10"/>
        <v>0</v>
      </c>
      <c r="AD63" s="5"/>
      <c r="AE63" s="8"/>
      <c r="AF63" s="9"/>
      <c r="AG63" s="4"/>
      <c r="AH63" s="4"/>
      <c r="AI63" s="5">
        <f t="shared" si="11"/>
        <v>0</v>
      </c>
      <c r="AJ63" s="5"/>
      <c r="AK63" s="8"/>
      <c r="AL63" s="9"/>
      <c r="AM63" s="4"/>
      <c r="AN63" s="4"/>
      <c r="AO63" s="5">
        <f t="shared" si="15"/>
        <v>0</v>
      </c>
      <c r="AP63" s="5"/>
      <c r="AQ63" s="8"/>
      <c r="AR63" s="9">
        <f t="shared" si="40"/>
        <v>0</v>
      </c>
      <c r="AS63" s="4">
        <f t="shared" si="41"/>
        <v>0</v>
      </c>
      <c r="AT63" s="4">
        <f t="shared" si="42"/>
        <v>0</v>
      </c>
      <c r="AU63" s="5">
        <f t="shared" si="44"/>
        <v>0</v>
      </c>
      <c r="AV63" s="5"/>
      <c r="AW63" s="8">
        <f t="shared" si="43"/>
        <v>0</v>
      </c>
      <c r="AX63" s="3" t="str">
        <f>IFERROR(VLOOKUP(A63,Ursula_SLeyte,3,FALSE),"")</f>
        <v/>
      </c>
      <c r="AY63" s="3" t="str">
        <f>IFERROR(VLOOKUP(A63,Ursula_SLeyte,6,FALSE),"")</f>
        <v/>
      </c>
      <c r="AZ63" s="3" t="str">
        <f>IFERROR(VLOOKUP(A63,Ursula_SLeyte,7,FALSE),"")</f>
        <v/>
      </c>
      <c r="BA63" s="5">
        <f t="shared" si="45"/>
        <v>0</v>
      </c>
      <c r="BB63" s="709"/>
      <c r="BC63" s="711" t="str">
        <f>IFERROR(VLOOKUP(A63,Ursula_SLeyte,13,FALSE),"")</f>
        <v/>
      </c>
    </row>
    <row r="64" spans="1:55" ht="16.5" x14ac:dyDescent="0.3">
      <c r="A64" s="712" t="s">
        <v>44</v>
      </c>
      <c r="B64" s="9">
        <v>1</v>
      </c>
      <c r="C64" s="4">
        <v>0.25</v>
      </c>
      <c r="D64" s="4">
        <v>0</v>
      </c>
      <c r="E64" s="5">
        <f t="shared" si="6"/>
        <v>0.25</v>
      </c>
      <c r="F64" s="5">
        <v>0.31725000000000003</v>
      </c>
      <c r="G64" s="8">
        <v>1875</v>
      </c>
      <c r="H64" s="9"/>
      <c r="I64" s="4"/>
      <c r="J64" s="4"/>
      <c r="K64" s="5">
        <f t="shared" si="7"/>
        <v>0</v>
      </c>
      <c r="L64" s="5"/>
      <c r="M64" s="8"/>
      <c r="N64" s="9"/>
      <c r="O64" s="4"/>
      <c r="P64" s="4"/>
      <c r="Q64" s="5">
        <f t="shared" si="8"/>
        <v>0</v>
      </c>
      <c r="R64" s="5"/>
      <c r="S64" s="8"/>
      <c r="T64" s="9"/>
      <c r="U64" s="4"/>
      <c r="V64" s="4"/>
      <c r="W64" s="5">
        <f t="shared" si="9"/>
        <v>0</v>
      </c>
      <c r="X64" s="5"/>
      <c r="Y64" s="8"/>
      <c r="Z64" s="9"/>
      <c r="AA64" s="4"/>
      <c r="AB64" s="4"/>
      <c r="AC64" s="5">
        <f t="shared" si="10"/>
        <v>0</v>
      </c>
      <c r="AD64" s="5"/>
      <c r="AE64" s="8"/>
      <c r="AF64" s="9"/>
      <c r="AG64" s="4"/>
      <c r="AH64" s="4"/>
      <c r="AI64" s="5">
        <f t="shared" si="11"/>
        <v>0</v>
      </c>
      <c r="AJ64" s="5"/>
      <c r="AK64" s="8"/>
      <c r="AL64" s="9"/>
      <c r="AM64" s="4"/>
      <c r="AN64" s="4"/>
      <c r="AO64" s="5">
        <f t="shared" si="15"/>
        <v>0</v>
      </c>
      <c r="AP64" s="5"/>
      <c r="AQ64" s="8"/>
      <c r="AR64" s="9">
        <f t="shared" si="40"/>
        <v>0</v>
      </c>
      <c r="AS64" s="4">
        <f t="shared" si="41"/>
        <v>0</v>
      </c>
      <c r="AT64" s="4">
        <f t="shared" si="42"/>
        <v>0</v>
      </c>
      <c r="AU64" s="5">
        <f t="shared" si="44"/>
        <v>0</v>
      </c>
      <c r="AV64" s="5"/>
      <c r="AW64" s="8">
        <f t="shared" si="43"/>
        <v>0</v>
      </c>
      <c r="AX64" s="3" t="str">
        <f>IFERROR(VLOOKUP(A64,Ursula_SLeyte,3,FALSE),"")</f>
        <v/>
      </c>
      <c r="AY64" s="3" t="str">
        <f>IFERROR(VLOOKUP(A64,Ursula_SLeyte,6,FALSE),"")</f>
        <v/>
      </c>
      <c r="AZ64" s="3" t="str">
        <f>IFERROR(VLOOKUP(A64,Ursula_SLeyte,7,FALSE),"")</f>
        <v/>
      </c>
      <c r="BA64" s="5">
        <f t="shared" si="45"/>
        <v>0</v>
      </c>
      <c r="BB64" s="709"/>
      <c r="BC64" s="711" t="str">
        <f>IFERROR(VLOOKUP(A64,Ursula_SLeyte,13,FALSE),"")</f>
        <v/>
      </c>
    </row>
    <row r="65" spans="1:55" ht="16.5" x14ac:dyDescent="0.3">
      <c r="A65" s="712" t="s">
        <v>45</v>
      </c>
      <c r="B65" s="9">
        <v>1</v>
      </c>
      <c r="C65" s="4">
        <v>2</v>
      </c>
      <c r="D65" s="4">
        <v>0</v>
      </c>
      <c r="E65" s="5">
        <f t="shared" si="6"/>
        <v>2</v>
      </c>
      <c r="F65" s="5">
        <v>2.5380000000000003</v>
      </c>
      <c r="G65" s="8">
        <v>15000</v>
      </c>
      <c r="H65" s="9"/>
      <c r="I65" s="4"/>
      <c r="J65" s="4"/>
      <c r="K65" s="5">
        <f t="shared" si="7"/>
        <v>0</v>
      </c>
      <c r="L65" s="5"/>
      <c r="M65" s="8"/>
      <c r="N65" s="9"/>
      <c r="O65" s="4"/>
      <c r="P65" s="4"/>
      <c r="Q65" s="5">
        <f t="shared" si="8"/>
        <v>0</v>
      </c>
      <c r="R65" s="5"/>
      <c r="S65" s="8"/>
      <c r="T65" s="9"/>
      <c r="U65" s="4"/>
      <c r="V65" s="4"/>
      <c r="W65" s="5">
        <f t="shared" si="9"/>
        <v>0</v>
      </c>
      <c r="X65" s="5"/>
      <c r="Y65" s="8"/>
      <c r="Z65" s="9"/>
      <c r="AA65" s="4"/>
      <c r="AB65" s="4"/>
      <c r="AC65" s="5">
        <f t="shared" si="10"/>
        <v>0</v>
      </c>
      <c r="AD65" s="5"/>
      <c r="AE65" s="8"/>
      <c r="AF65" s="9"/>
      <c r="AG65" s="4"/>
      <c r="AH65" s="4"/>
      <c r="AI65" s="5">
        <f t="shared" si="11"/>
        <v>0</v>
      </c>
      <c r="AJ65" s="5"/>
      <c r="AK65" s="8"/>
      <c r="AL65" s="9"/>
      <c r="AM65" s="4"/>
      <c r="AN65" s="4"/>
      <c r="AO65" s="5">
        <f t="shared" si="15"/>
        <v>0</v>
      </c>
      <c r="AP65" s="5"/>
      <c r="AQ65" s="8"/>
      <c r="AR65" s="9" t="str">
        <f t="shared" si="40"/>
        <v/>
      </c>
      <c r="AS65" s="4" t="str">
        <f t="shared" si="41"/>
        <v/>
      </c>
      <c r="AT65" s="4" t="str">
        <f t="shared" si="42"/>
        <v/>
      </c>
      <c r="AU65" s="5">
        <f t="shared" si="44"/>
        <v>0</v>
      </c>
      <c r="AV65" s="5"/>
      <c r="AW65" s="8" t="str">
        <f t="shared" si="43"/>
        <v/>
      </c>
      <c r="AX65" s="3" t="str">
        <f>IFERROR(VLOOKUP(A65,Ursula_SLeyte,3,FALSE),"")</f>
        <v/>
      </c>
      <c r="AY65" s="3" t="str">
        <f>IFERROR(VLOOKUP(A65,Ursula_SLeyte,6,FALSE),"")</f>
        <v/>
      </c>
      <c r="AZ65" s="3" t="str">
        <f>IFERROR(VLOOKUP(A65,Ursula_SLeyte,7,FALSE),"")</f>
        <v/>
      </c>
      <c r="BA65" s="5">
        <f t="shared" si="45"/>
        <v>0</v>
      </c>
      <c r="BB65" s="709"/>
      <c r="BC65" s="711" t="str">
        <f>IFERROR(VLOOKUP(A65,Ursula_SLeyte,13,FALSE),"")</f>
        <v/>
      </c>
    </row>
    <row r="66" spans="1:55" ht="16.5" x14ac:dyDescent="0.3">
      <c r="A66" s="712" t="s">
        <v>46</v>
      </c>
      <c r="B66" s="9">
        <v>1</v>
      </c>
      <c r="C66" s="4">
        <v>2</v>
      </c>
      <c r="D66" s="4">
        <v>0</v>
      </c>
      <c r="E66" s="5">
        <f t="shared" si="6"/>
        <v>2</v>
      </c>
      <c r="F66" s="5">
        <v>2.5380000000000003</v>
      </c>
      <c r="G66" s="8">
        <v>15000</v>
      </c>
      <c r="H66" s="9"/>
      <c r="I66" s="4"/>
      <c r="J66" s="4"/>
      <c r="K66" s="5">
        <f t="shared" si="7"/>
        <v>0</v>
      </c>
      <c r="L66" s="5"/>
      <c r="M66" s="8"/>
      <c r="N66" s="9"/>
      <c r="O66" s="4"/>
      <c r="P66" s="4"/>
      <c r="Q66" s="5">
        <f t="shared" si="8"/>
        <v>0</v>
      </c>
      <c r="R66" s="5"/>
      <c r="S66" s="8"/>
      <c r="T66" s="9"/>
      <c r="U66" s="4"/>
      <c r="V66" s="4"/>
      <c r="W66" s="5">
        <f t="shared" si="9"/>
        <v>0</v>
      </c>
      <c r="X66" s="5"/>
      <c r="Y66" s="8"/>
      <c r="Z66" s="9"/>
      <c r="AA66" s="4"/>
      <c r="AB66" s="4"/>
      <c r="AC66" s="5">
        <f t="shared" si="10"/>
        <v>0</v>
      </c>
      <c r="AD66" s="5"/>
      <c r="AE66" s="8"/>
      <c r="AF66" s="9"/>
      <c r="AG66" s="4"/>
      <c r="AH66" s="4"/>
      <c r="AI66" s="5">
        <f t="shared" si="11"/>
        <v>0</v>
      </c>
      <c r="AJ66" s="5"/>
      <c r="AK66" s="8"/>
      <c r="AL66" s="9"/>
      <c r="AM66" s="4"/>
      <c r="AN66" s="4"/>
      <c r="AO66" s="5">
        <f t="shared" si="15"/>
        <v>0</v>
      </c>
      <c r="AP66" s="5"/>
      <c r="AQ66" s="8"/>
      <c r="AR66" s="9">
        <f t="shared" si="40"/>
        <v>50</v>
      </c>
      <c r="AS66" s="4">
        <f t="shared" si="41"/>
        <v>60</v>
      </c>
      <c r="AT66" s="4">
        <f t="shared" si="42"/>
        <v>0</v>
      </c>
      <c r="AU66" s="5">
        <f t="shared" si="44"/>
        <v>60</v>
      </c>
      <c r="AV66" s="5"/>
      <c r="AW66" s="8">
        <f t="shared" si="43"/>
        <v>448200</v>
      </c>
      <c r="AX66" s="3" t="str">
        <f>IFERROR(VLOOKUP(A66,Ursula_SLeyte,3,FALSE),"")</f>
        <v/>
      </c>
      <c r="AY66" s="3" t="str">
        <f>IFERROR(VLOOKUP(A66,Ursula_SLeyte,6,FALSE),"")</f>
        <v/>
      </c>
      <c r="AZ66" s="3" t="str">
        <f>IFERROR(VLOOKUP(A66,Ursula_SLeyte,7,FALSE),"")</f>
        <v/>
      </c>
      <c r="BA66" s="5">
        <f t="shared" si="45"/>
        <v>0</v>
      </c>
      <c r="BB66" s="709"/>
      <c r="BC66" s="711" t="str">
        <f>IFERROR(VLOOKUP(A66,Ursula_SLeyte,13,FALSE),"")</f>
        <v/>
      </c>
    </row>
    <row r="67" spans="1:55" ht="16.5" x14ac:dyDescent="0.3">
      <c r="A67" s="712" t="s">
        <v>47</v>
      </c>
      <c r="B67" s="9">
        <v>100</v>
      </c>
      <c r="C67" s="4">
        <v>140</v>
      </c>
      <c r="D67" s="4">
        <v>0</v>
      </c>
      <c r="E67" s="5">
        <f t="shared" si="6"/>
        <v>140</v>
      </c>
      <c r="F67" s="5">
        <v>177.66000000000003</v>
      </c>
      <c r="G67" s="8">
        <v>1050000</v>
      </c>
      <c r="H67" s="9"/>
      <c r="I67" s="4"/>
      <c r="J67" s="4"/>
      <c r="K67" s="5">
        <f t="shared" si="7"/>
        <v>0</v>
      </c>
      <c r="L67" s="5"/>
      <c r="M67" s="8"/>
      <c r="N67" s="9"/>
      <c r="O67" s="4"/>
      <c r="P67" s="4"/>
      <c r="Q67" s="5">
        <f t="shared" si="8"/>
        <v>0</v>
      </c>
      <c r="R67" s="5"/>
      <c r="S67" s="8"/>
      <c r="T67" s="9"/>
      <c r="U67" s="4"/>
      <c r="V67" s="4"/>
      <c r="W67" s="5">
        <f t="shared" si="9"/>
        <v>0</v>
      </c>
      <c r="X67" s="5"/>
      <c r="Y67" s="8"/>
      <c r="Z67" s="9"/>
      <c r="AA67" s="4"/>
      <c r="AB67" s="4"/>
      <c r="AC67" s="5">
        <f t="shared" si="10"/>
        <v>0</v>
      </c>
      <c r="AD67" s="5"/>
      <c r="AE67" s="8"/>
      <c r="AF67" s="9"/>
      <c r="AG67" s="4"/>
      <c r="AH67" s="4"/>
      <c r="AI67" s="5">
        <f t="shared" si="11"/>
        <v>0</v>
      </c>
      <c r="AJ67" s="5"/>
      <c r="AK67" s="8"/>
      <c r="AL67" s="9"/>
      <c r="AM67" s="4"/>
      <c r="AN67" s="4"/>
      <c r="AO67" s="5">
        <f t="shared" si="15"/>
        <v>0</v>
      </c>
      <c r="AP67" s="5"/>
      <c r="AQ67" s="8"/>
      <c r="AR67" s="9" t="str">
        <f t="shared" si="40"/>
        <v/>
      </c>
      <c r="AS67" s="4" t="str">
        <f t="shared" si="41"/>
        <v/>
      </c>
      <c r="AT67" s="4" t="str">
        <f t="shared" si="42"/>
        <v/>
      </c>
      <c r="AU67" s="5">
        <f t="shared" si="44"/>
        <v>0</v>
      </c>
      <c r="AV67" s="5"/>
      <c r="AW67" s="8" t="str">
        <f t="shared" si="43"/>
        <v/>
      </c>
      <c r="AX67" s="3" t="str">
        <f>IFERROR(VLOOKUP(A67,Ursula_SLeyte,3,FALSE),"")</f>
        <v/>
      </c>
      <c r="AY67" s="3" t="str">
        <f>IFERROR(VLOOKUP(A67,Ursula_SLeyte,6,FALSE),"")</f>
        <v/>
      </c>
      <c r="AZ67" s="3" t="str">
        <f>IFERROR(VLOOKUP(A67,Ursula_SLeyte,7,FALSE),"")</f>
        <v/>
      </c>
      <c r="BA67" s="5">
        <f t="shared" si="45"/>
        <v>0</v>
      </c>
      <c r="BB67" s="709"/>
      <c r="BC67" s="711" t="str">
        <f>IFERROR(VLOOKUP(A67,Ursula_SLeyte,13,FALSE),"")</f>
        <v/>
      </c>
    </row>
    <row r="68" spans="1:55" ht="16.5" x14ac:dyDescent="0.3">
      <c r="A68" s="712" t="s">
        <v>48</v>
      </c>
      <c r="B68" s="9">
        <v>1</v>
      </c>
      <c r="C68" s="4">
        <v>5</v>
      </c>
      <c r="D68" s="4">
        <v>0</v>
      </c>
      <c r="E68" s="5">
        <f t="shared" si="6"/>
        <v>5</v>
      </c>
      <c r="F68" s="5">
        <v>6.3450000000000006</v>
      </c>
      <c r="G68" s="8">
        <v>37500</v>
      </c>
      <c r="H68" s="9"/>
      <c r="I68" s="4"/>
      <c r="J68" s="4"/>
      <c r="K68" s="5">
        <f t="shared" si="7"/>
        <v>0</v>
      </c>
      <c r="L68" s="5"/>
      <c r="M68" s="8"/>
      <c r="N68" s="9"/>
      <c r="O68" s="4"/>
      <c r="P68" s="4"/>
      <c r="Q68" s="5">
        <f t="shared" si="8"/>
        <v>0</v>
      </c>
      <c r="R68" s="5"/>
      <c r="S68" s="8"/>
      <c r="T68" s="9"/>
      <c r="U68" s="4"/>
      <c r="V68" s="4"/>
      <c r="W68" s="5">
        <f t="shared" si="9"/>
        <v>0</v>
      </c>
      <c r="X68" s="5"/>
      <c r="Y68" s="8"/>
      <c r="Z68" s="9"/>
      <c r="AA68" s="4"/>
      <c r="AB68" s="4"/>
      <c r="AC68" s="5">
        <f t="shared" si="10"/>
        <v>0</v>
      </c>
      <c r="AD68" s="5"/>
      <c r="AE68" s="8"/>
      <c r="AF68" s="9"/>
      <c r="AG68" s="4"/>
      <c r="AH68" s="4"/>
      <c r="AI68" s="5">
        <f t="shared" si="11"/>
        <v>0</v>
      </c>
      <c r="AJ68" s="5"/>
      <c r="AK68" s="8"/>
      <c r="AL68" s="9"/>
      <c r="AM68" s="4"/>
      <c r="AN68" s="4"/>
      <c r="AO68" s="5">
        <f t="shared" si="15"/>
        <v>0</v>
      </c>
      <c r="AP68" s="5"/>
      <c r="AQ68" s="8"/>
      <c r="AR68" s="9" t="str">
        <f t="shared" si="40"/>
        <v/>
      </c>
      <c r="AS68" s="4" t="str">
        <f t="shared" si="41"/>
        <v/>
      </c>
      <c r="AT68" s="4" t="str">
        <f t="shared" si="42"/>
        <v/>
      </c>
      <c r="AU68" s="5">
        <f t="shared" si="44"/>
        <v>0</v>
      </c>
      <c r="AV68" s="5"/>
      <c r="AW68" s="8" t="str">
        <f t="shared" si="43"/>
        <v/>
      </c>
      <c r="AX68" s="3" t="str">
        <f>IFERROR(VLOOKUP(A68,Ursula_SLeyte,3,FALSE),"")</f>
        <v/>
      </c>
      <c r="AY68" s="3" t="str">
        <f>IFERROR(VLOOKUP(A68,Ursula_SLeyte,6,FALSE),"")</f>
        <v/>
      </c>
      <c r="AZ68" s="3" t="str">
        <f>IFERROR(VLOOKUP(A68,Ursula_SLeyte,7,FALSE),"")</f>
        <v/>
      </c>
      <c r="BA68" s="5">
        <f t="shared" si="45"/>
        <v>0</v>
      </c>
      <c r="BB68" s="709"/>
      <c r="BC68" s="711" t="str">
        <f>IFERROR(VLOOKUP(A68,Ursula_SLeyte,13,FALSE),"")</f>
        <v/>
      </c>
    </row>
    <row r="69" spans="1:55" ht="16.5" x14ac:dyDescent="0.3">
      <c r="A69" s="712"/>
      <c r="B69" s="9"/>
      <c r="C69" s="4"/>
      <c r="D69" s="4"/>
      <c r="E69" s="5">
        <f t="shared" si="6"/>
        <v>0</v>
      </c>
      <c r="G69" s="8"/>
      <c r="H69" s="9"/>
      <c r="I69" s="4"/>
      <c r="J69" s="4"/>
      <c r="K69" s="5">
        <f t="shared" si="7"/>
        <v>0</v>
      </c>
      <c r="L69" s="5"/>
      <c r="M69" s="8"/>
      <c r="N69" s="9"/>
      <c r="O69" s="4"/>
      <c r="P69" s="4"/>
      <c r="Q69" s="5">
        <f t="shared" si="8"/>
        <v>0</v>
      </c>
      <c r="R69" s="5"/>
      <c r="S69" s="8"/>
      <c r="T69" s="9"/>
      <c r="U69" s="4"/>
      <c r="V69" s="4"/>
      <c r="W69" s="5">
        <f t="shared" si="9"/>
        <v>0</v>
      </c>
      <c r="X69" s="5"/>
      <c r="Y69" s="8"/>
      <c r="Z69" s="9"/>
      <c r="AA69" s="4"/>
      <c r="AB69" s="4"/>
      <c r="AC69" s="5">
        <f t="shared" si="10"/>
        <v>0</v>
      </c>
      <c r="AD69" s="5"/>
      <c r="AE69" s="8"/>
      <c r="AF69" s="9"/>
      <c r="AG69" s="4"/>
      <c r="AH69" s="4"/>
      <c r="AI69" s="5">
        <f t="shared" si="11"/>
        <v>0</v>
      </c>
      <c r="AJ69" s="5"/>
      <c r="AK69" s="8"/>
      <c r="AL69" s="9"/>
      <c r="AM69" s="4"/>
      <c r="AN69" s="4"/>
      <c r="AO69" s="5">
        <f t="shared" si="15"/>
        <v>0</v>
      </c>
      <c r="AP69" s="5"/>
      <c r="AQ69" s="8"/>
      <c r="AR69" s="9"/>
      <c r="AS69" s="4"/>
      <c r="AT69" s="4"/>
      <c r="AU69" s="5">
        <f t="shared" si="21"/>
        <v>0</v>
      </c>
      <c r="AV69" s="5"/>
      <c r="AW69" s="8"/>
      <c r="AX69" s="3"/>
      <c r="AY69" s="4"/>
      <c r="AZ69" s="4"/>
      <c r="BA69" s="5">
        <f t="shared" si="23"/>
        <v>0</v>
      </c>
      <c r="BB69" s="5"/>
      <c r="BC69" s="711"/>
    </row>
    <row r="70" spans="1:55" s="735" customFormat="1" ht="16.5" x14ac:dyDescent="0.3">
      <c r="A70" s="728" t="s">
        <v>49</v>
      </c>
      <c r="B70" s="729">
        <f>SUM(B71:B77)</f>
        <v>2012</v>
      </c>
      <c r="C70" s="730">
        <f t="shared" ref="C70:BC70" si="46">SUM(C71:C77)</f>
        <v>1891.45</v>
      </c>
      <c r="D70" s="730">
        <f t="shared" si="46"/>
        <v>319.55</v>
      </c>
      <c r="E70" s="731">
        <f t="shared" si="46"/>
        <v>2211</v>
      </c>
      <c r="F70" s="731">
        <f t="shared" si="46"/>
        <v>2971.5840000000007</v>
      </c>
      <c r="G70" s="732">
        <f t="shared" si="46"/>
        <v>16582500</v>
      </c>
      <c r="H70" s="729">
        <f t="shared" si="46"/>
        <v>148</v>
      </c>
      <c r="I70" s="730">
        <f t="shared" si="46"/>
        <v>1</v>
      </c>
      <c r="J70" s="730">
        <f t="shared" si="46"/>
        <v>53.25</v>
      </c>
      <c r="K70" s="731">
        <f t="shared" si="46"/>
        <v>54.25</v>
      </c>
      <c r="L70" s="731">
        <f t="shared" si="46"/>
        <v>38.128250000000001</v>
      </c>
      <c r="M70" s="732">
        <f t="shared" si="46"/>
        <v>686308.5</v>
      </c>
      <c r="N70" s="729">
        <f t="shared" si="46"/>
        <v>0</v>
      </c>
      <c r="O70" s="730">
        <f t="shared" si="46"/>
        <v>0</v>
      </c>
      <c r="P70" s="730">
        <f t="shared" si="46"/>
        <v>0</v>
      </c>
      <c r="Q70" s="731">
        <f t="shared" si="46"/>
        <v>0</v>
      </c>
      <c r="R70" s="731">
        <f t="shared" si="46"/>
        <v>0</v>
      </c>
      <c r="S70" s="732">
        <f t="shared" si="46"/>
        <v>0</v>
      </c>
      <c r="T70" s="729">
        <f t="shared" si="46"/>
        <v>852</v>
      </c>
      <c r="U70" s="730">
        <f t="shared" si="46"/>
        <v>262.83</v>
      </c>
      <c r="V70" s="730">
        <f t="shared" si="46"/>
        <v>360.51</v>
      </c>
      <c r="W70" s="731">
        <f t="shared" si="46"/>
        <v>623.34</v>
      </c>
      <c r="X70" s="731">
        <f t="shared" si="46"/>
        <v>1662.6375</v>
      </c>
      <c r="Y70" s="732">
        <f t="shared" si="46"/>
        <v>28264837.5</v>
      </c>
      <c r="Z70" s="729">
        <f t="shared" si="46"/>
        <v>4470</v>
      </c>
      <c r="AA70" s="730">
        <f t="shared" si="46"/>
        <v>293.7</v>
      </c>
      <c r="AB70" s="730">
        <f t="shared" si="46"/>
        <v>5486.3</v>
      </c>
      <c r="AC70" s="731">
        <f t="shared" si="46"/>
        <v>5780</v>
      </c>
      <c r="AD70" s="731">
        <f t="shared" si="46"/>
        <v>0</v>
      </c>
      <c r="AE70" s="732">
        <f t="shared" si="46"/>
        <v>15360281.863849554</v>
      </c>
      <c r="AF70" s="729">
        <f t="shared" si="46"/>
        <v>63</v>
      </c>
      <c r="AG70" s="730">
        <f t="shared" si="46"/>
        <v>55</v>
      </c>
      <c r="AH70" s="730">
        <f t="shared" si="46"/>
        <v>12</v>
      </c>
      <c r="AI70" s="731">
        <f t="shared" si="46"/>
        <v>67</v>
      </c>
      <c r="AJ70" s="731">
        <f t="shared" si="46"/>
        <v>210.33750000000001</v>
      </c>
      <c r="AK70" s="732">
        <f t="shared" si="46"/>
        <v>3575737.5</v>
      </c>
      <c r="AL70" s="729">
        <f t="shared" si="46"/>
        <v>2248</v>
      </c>
      <c r="AM70" s="730">
        <f t="shared" si="46"/>
        <v>1934.08</v>
      </c>
      <c r="AN70" s="730">
        <f t="shared" si="46"/>
        <v>102.67</v>
      </c>
      <c r="AO70" s="731">
        <f t="shared" si="46"/>
        <v>2036.75</v>
      </c>
      <c r="AP70" s="731">
        <f t="shared" si="46"/>
        <v>853.54425000000003</v>
      </c>
      <c r="AQ70" s="732">
        <f t="shared" si="46"/>
        <v>14510252.25</v>
      </c>
      <c r="AR70" s="729">
        <f t="shared" si="46"/>
        <v>4768</v>
      </c>
      <c r="AS70" s="730">
        <f t="shared" si="46"/>
        <v>3652</v>
      </c>
      <c r="AT70" s="730">
        <f t="shared" si="46"/>
        <v>0</v>
      </c>
      <c r="AU70" s="731">
        <f t="shared" si="46"/>
        <v>3652</v>
      </c>
      <c r="AV70" s="731">
        <f t="shared" si="46"/>
        <v>0</v>
      </c>
      <c r="AW70" s="732">
        <f t="shared" si="46"/>
        <v>57032074</v>
      </c>
      <c r="AX70" s="733">
        <f t="shared" si="46"/>
        <v>1114</v>
      </c>
      <c r="AY70" s="730">
        <f t="shared" si="46"/>
        <v>523.15</v>
      </c>
      <c r="AZ70" s="730">
        <f t="shared" si="46"/>
        <v>231.35000000000002</v>
      </c>
      <c r="BA70" s="731">
        <f t="shared" si="46"/>
        <v>754.5</v>
      </c>
      <c r="BB70" s="731">
        <f t="shared" si="46"/>
        <v>0</v>
      </c>
      <c r="BC70" s="734">
        <f t="shared" si="46"/>
        <v>7877378.5417777775</v>
      </c>
    </row>
    <row r="71" spans="1:55" ht="16.5" x14ac:dyDescent="0.3">
      <c r="A71" s="712" t="s">
        <v>50</v>
      </c>
      <c r="B71" s="9">
        <v>38</v>
      </c>
      <c r="C71" s="4">
        <v>9.5</v>
      </c>
      <c r="D71" s="4">
        <v>0</v>
      </c>
      <c r="E71" s="5">
        <f t="shared" si="6"/>
        <v>9.5</v>
      </c>
      <c r="F71" s="5">
        <v>12.768000000000002</v>
      </c>
      <c r="G71" s="8">
        <v>71250</v>
      </c>
      <c r="H71" s="9">
        <v>5</v>
      </c>
      <c r="I71" s="4"/>
      <c r="J71" s="4">
        <v>4.25</v>
      </c>
      <c r="K71" s="5">
        <f t="shared" si="7"/>
        <v>4.25</v>
      </c>
      <c r="L71" s="5">
        <v>9.2862500000000008</v>
      </c>
      <c r="M71" s="8">
        <v>167152.5</v>
      </c>
      <c r="N71" s="9"/>
      <c r="O71" s="4"/>
      <c r="P71" s="4"/>
      <c r="Q71" s="5">
        <f t="shared" si="8"/>
        <v>0</v>
      </c>
      <c r="R71" s="5"/>
      <c r="S71" s="8"/>
      <c r="T71" s="9">
        <f>VLOOKUP(A71,TISOY_BILIRAN,3,FALSE)</f>
        <v>35</v>
      </c>
      <c r="U71" s="4">
        <f>VLOOKUP(A71,TISOY_BILIRAN,6,FALSE)</f>
        <v>23</v>
      </c>
      <c r="V71" s="4">
        <f>VLOOKUP(A71,TISOY_BILIRAN,7,FALSE)</f>
        <v>0</v>
      </c>
      <c r="W71" s="5">
        <f t="shared" si="9"/>
        <v>23</v>
      </c>
      <c r="X71" s="5">
        <f>VLOOKUP(A71,TISOY_BILIRAN,14,FALSE)</f>
        <v>103.5</v>
      </c>
      <c r="Y71" s="8">
        <f>VLOOKUP(A71,TISOY_BILIRAN,16,FALSE)</f>
        <v>1759500</v>
      </c>
      <c r="Z71" s="9">
        <f t="shared" ref="Z71:Z77" si="47">IFERROR(VLOOKUP(A71,Glenda_Biliran,2,FALSE),"")</f>
        <v>105</v>
      </c>
      <c r="AA71" s="4">
        <f t="shared" ref="AA71:AA77" si="48">IFERROR(VLOOKUP(A71,Glenda_Biliran,5,FALSE),"")</f>
        <v>0</v>
      </c>
      <c r="AB71" s="4">
        <f t="shared" ref="AB71:AB77" si="49">IFERROR(VLOOKUP(A71,Glenda_Biliran,6,FALSE),"")</f>
        <v>126</v>
      </c>
      <c r="AC71" s="5">
        <f t="shared" ref="AC71" si="50">SUM(AA71:AB71)</f>
        <v>126</v>
      </c>
      <c r="AD71" s="5"/>
      <c r="AE71" s="8">
        <f t="shared" ref="AE71:AE77" si="51">IFERROR(VLOOKUP(A71,Glenda_Biliran,12,FALSE),"")</f>
        <v>563210.73653651855</v>
      </c>
      <c r="AF71" s="9" t="str">
        <f t="shared" ref="AF71:AF77" si="52">IFERROR(VLOOKUP(A71,Nona_Biliran,3,FALSE),"")</f>
        <v/>
      </c>
      <c r="AG71" s="4" t="str">
        <f t="shared" ref="AG71:AG77" si="53">IFERROR(VLOOKUP(A71,Nona_Biliran,6,FALSE),"")</f>
        <v/>
      </c>
      <c r="AH71" s="4" t="str">
        <f t="shared" ref="AH71:AH77" si="54">IFERROR(VLOOKUP(A71,Nona_Biliran,7,FALSE),"")</f>
        <v/>
      </c>
      <c r="AI71" s="5">
        <f t="shared" si="11"/>
        <v>0</v>
      </c>
      <c r="AJ71" s="5"/>
      <c r="AK71" s="8" t="str">
        <f t="shared" ref="AK71:AK77" si="55">IFERROR(VLOOKUP(A71,Nona_Biliran,16,FALSE),"")</f>
        <v/>
      </c>
      <c r="AL71" s="9">
        <f t="shared" ref="AL71:AL77" si="56">IFERROR(VLOOKUP(A71,Ruby_Biliran,3,FALSE),"")</f>
        <v>3</v>
      </c>
      <c r="AM71" s="4">
        <f t="shared" ref="AM71:AM77" si="57">IFERROR(VLOOKUP(A71,Ruby_Biliran,6,FALSE),"")</f>
        <v>5</v>
      </c>
      <c r="AN71" s="4">
        <f t="shared" ref="AN71:AN77" si="58">IFERROR(VLOOKUP(A71,Ruby_Biliran,7,FALSE),"")</f>
        <v>0</v>
      </c>
      <c r="AO71" s="5">
        <f t="shared" ref="AO71" si="59">SUM(AM71:AN71)</f>
        <v>5</v>
      </c>
      <c r="AP71" s="5">
        <f t="shared" ref="AP71:AP77" si="60">IFERROR(VLOOKUP(A71,Ruby_Biliran,14,FALSE),"")</f>
        <v>1.7549999999999999</v>
      </c>
      <c r="AQ71" s="8">
        <f t="shared" ref="AQ71:AQ77" si="61">IFERROR(VLOOKUP(A71,Ruby_Biliran,16,FALSE),"")</f>
        <v>29835</v>
      </c>
      <c r="AR71" s="9">
        <f t="shared" ref="AR71:AR77" si="62">IFERROR(VLOOKUP(A71,Urduja_Biliran,3,FALSE),"")</f>
        <v>834</v>
      </c>
      <c r="AS71" s="4">
        <f t="shared" ref="AS71:AS77" si="63">IFERROR(VLOOKUP(A71,Urduja_Biliran,6,FALSE),"")</f>
        <v>744</v>
      </c>
      <c r="AT71" s="4">
        <f t="shared" ref="AT71:AT77" si="64">IFERROR(VLOOKUP(A71,Urduja_Biliran,7,FALSE),"")</f>
        <v>0</v>
      </c>
      <c r="AU71" s="5">
        <f t="shared" si="21"/>
        <v>744</v>
      </c>
      <c r="AV71" s="5"/>
      <c r="AW71" s="8">
        <f t="shared" ref="AW71:AW77" si="65">IFERROR(VLOOKUP(A71,Urduja_Biliran,17,FALSE),"")</f>
        <v>5557680</v>
      </c>
      <c r="AX71" s="3">
        <f t="shared" ref="AX71:AX77" si="66">IFERROR(VLOOKUP(A71,Ursula_Biliran,3,FALSE),"")</f>
        <v>16</v>
      </c>
      <c r="AY71" s="3">
        <f t="shared" ref="AY71:AY77" si="67">IFERROR(VLOOKUP(A71,Ursula_Biliran,6,FALSE),"")</f>
        <v>14</v>
      </c>
      <c r="AZ71" s="3">
        <f t="shared" ref="AZ71:AZ77" si="68">IFERROR(VLOOKUP(A71,Ursula_Biliran,7,FALSE),"")</f>
        <v>0</v>
      </c>
      <c r="BA71" s="5">
        <f t="shared" si="23"/>
        <v>14</v>
      </c>
      <c r="BB71" s="709"/>
      <c r="BC71" s="711">
        <f t="shared" ref="BC71:BC77" si="69">IFERROR(VLOOKUP(A71,Ursula_Biliran,13,FALSE),"")</f>
        <v>104580</v>
      </c>
    </row>
    <row r="72" spans="1:55" ht="16.5" x14ac:dyDescent="0.3">
      <c r="A72" s="712" t="s">
        <v>51</v>
      </c>
      <c r="B72" s="9">
        <v>377</v>
      </c>
      <c r="C72" s="4">
        <v>318</v>
      </c>
      <c r="D72" s="4">
        <v>12</v>
      </c>
      <c r="E72" s="5">
        <f t="shared" si="6"/>
        <v>330</v>
      </c>
      <c r="F72" s="5">
        <v>443.52000000000004</v>
      </c>
      <c r="G72" s="8">
        <v>2475000</v>
      </c>
      <c r="H72" s="9"/>
      <c r="I72" s="4"/>
      <c r="J72" s="4"/>
      <c r="K72" s="5">
        <f t="shared" si="7"/>
        <v>0</v>
      </c>
      <c r="L72" s="5"/>
      <c r="M72" s="8"/>
      <c r="N72" s="9"/>
      <c r="O72" s="4"/>
      <c r="P72" s="4"/>
      <c r="Q72" s="5">
        <f t="shared" si="8"/>
        <v>0</v>
      </c>
      <c r="R72" s="5"/>
      <c r="S72" s="8"/>
      <c r="T72" s="9">
        <f>VLOOKUP(A72,TISOY_BILIRAN,3,FALSE)</f>
        <v>383</v>
      </c>
      <c r="U72" s="4">
        <f>VLOOKUP(A72,TISOY_BILIRAN,6,FALSE)</f>
        <v>13.04</v>
      </c>
      <c r="V72" s="4">
        <f>VLOOKUP(A72,TISOY_BILIRAN,7,FALSE)</f>
        <v>0</v>
      </c>
      <c r="W72" s="5">
        <f t="shared" si="9"/>
        <v>13.04</v>
      </c>
      <c r="X72" s="5">
        <f>VLOOKUP(A72,TISOY_BILIRAN,14,FALSE)</f>
        <v>58.679999999999993</v>
      </c>
      <c r="Y72" s="8">
        <f>VLOOKUP(A72,TISOY_BILIRAN,16,FALSE)</f>
        <v>997559.99999999988</v>
      </c>
      <c r="Z72" s="9">
        <f t="shared" si="47"/>
        <v>170</v>
      </c>
      <c r="AA72" s="4">
        <f t="shared" si="48"/>
        <v>16</v>
      </c>
      <c r="AB72" s="4">
        <f t="shared" si="49"/>
        <v>194</v>
      </c>
      <c r="AC72" s="5">
        <f t="shared" ref="AC72:AC77" si="70">SUM(AA72:AB72)</f>
        <v>210</v>
      </c>
      <c r="AD72" s="5"/>
      <c r="AE72" s="8">
        <f t="shared" si="51"/>
        <v>465269.33696783253</v>
      </c>
      <c r="AF72" s="9" t="str">
        <f t="shared" si="52"/>
        <v/>
      </c>
      <c r="AG72" s="4" t="str">
        <f t="shared" si="53"/>
        <v/>
      </c>
      <c r="AH72" s="4" t="str">
        <f t="shared" si="54"/>
        <v/>
      </c>
      <c r="AI72" s="5">
        <f t="shared" ref="AI72:AI77" si="71">SUM(AG72:AH72)</f>
        <v>0</v>
      </c>
      <c r="AJ72" s="5"/>
      <c r="AK72" s="8" t="str">
        <f t="shared" si="55"/>
        <v/>
      </c>
      <c r="AL72" s="9">
        <f t="shared" si="56"/>
        <v>52</v>
      </c>
      <c r="AM72" s="4">
        <f t="shared" si="57"/>
        <v>40</v>
      </c>
      <c r="AN72" s="4">
        <f t="shared" si="58"/>
        <v>0</v>
      </c>
      <c r="AO72" s="5">
        <f t="shared" ref="AO72:AO77" si="72">SUM(AM72:AN72)</f>
        <v>40</v>
      </c>
      <c r="AP72" s="5">
        <f t="shared" si="60"/>
        <v>14.04</v>
      </c>
      <c r="AQ72" s="8">
        <f t="shared" si="61"/>
        <v>238680</v>
      </c>
      <c r="AR72" s="9">
        <f t="shared" si="62"/>
        <v>1093</v>
      </c>
      <c r="AS72" s="4">
        <f t="shared" si="63"/>
        <v>522</v>
      </c>
      <c r="AT72" s="4">
        <f t="shared" si="64"/>
        <v>0</v>
      </c>
      <c r="AU72" s="5">
        <f t="shared" ref="AU72:AU77" si="73">SUM(AS72:AT72)</f>
        <v>522</v>
      </c>
      <c r="AV72" s="5"/>
      <c r="AW72" s="8">
        <f t="shared" si="65"/>
        <v>3899340</v>
      </c>
      <c r="AX72" s="3">
        <f t="shared" si="66"/>
        <v>1</v>
      </c>
      <c r="AY72" s="3">
        <f t="shared" si="67"/>
        <v>0.75</v>
      </c>
      <c r="AZ72" s="3">
        <f t="shared" si="68"/>
        <v>0</v>
      </c>
      <c r="BA72" s="5">
        <f t="shared" ref="BA72:BA77" si="74">SUM(AY72:AZ72)</f>
        <v>0.75</v>
      </c>
      <c r="BB72" s="709"/>
      <c r="BC72" s="711">
        <f t="shared" si="69"/>
        <v>5602.5</v>
      </c>
    </row>
    <row r="73" spans="1:55" ht="16.5" x14ac:dyDescent="0.3">
      <c r="A73" s="712" t="s">
        <v>52</v>
      </c>
      <c r="B73" s="9">
        <v>185</v>
      </c>
      <c r="C73" s="4">
        <v>146</v>
      </c>
      <c r="D73" s="4">
        <v>0</v>
      </c>
      <c r="E73" s="5">
        <f t="shared" si="6"/>
        <v>146</v>
      </c>
      <c r="F73" s="5">
        <v>196.22400000000002</v>
      </c>
      <c r="G73" s="8">
        <v>1095000</v>
      </c>
      <c r="H73" s="9">
        <v>130</v>
      </c>
      <c r="I73" s="4"/>
      <c r="J73" s="4">
        <v>42</v>
      </c>
      <c r="K73" s="5">
        <f>SUM(I73:J73)</f>
        <v>42</v>
      </c>
      <c r="L73" s="5">
        <v>18.353999999999999</v>
      </c>
      <c r="M73" s="8">
        <v>330372</v>
      </c>
      <c r="N73" s="9"/>
      <c r="O73" s="4"/>
      <c r="P73" s="4"/>
      <c r="Q73" s="5">
        <f t="shared" si="8"/>
        <v>0</v>
      </c>
      <c r="R73" s="5"/>
      <c r="S73" s="8"/>
      <c r="T73" s="9"/>
      <c r="U73" s="4"/>
      <c r="V73" s="4"/>
      <c r="W73" s="5"/>
      <c r="X73" s="5"/>
      <c r="Y73" s="8"/>
      <c r="Z73" s="9" t="str">
        <f t="shared" si="47"/>
        <v/>
      </c>
      <c r="AA73" s="4" t="str">
        <f t="shared" si="48"/>
        <v/>
      </c>
      <c r="AB73" s="4" t="str">
        <f t="shared" si="49"/>
        <v/>
      </c>
      <c r="AC73" s="5">
        <f t="shared" si="70"/>
        <v>0</v>
      </c>
      <c r="AD73" s="5"/>
      <c r="AE73" s="8" t="str">
        <f t="shared" si="51"/>
        <v/>
      </c>
      <c r="AF73" s="9" t="str">
        <f t="shared" si="52"/>
        <v/>
      </c>
      <c r="AG73" s="4" t="str">
        <f t="shared" si="53"/>
        <v/>
      </c>
      <c r="AH73" s="4" t="str">
        <f t="shared" si="54"/>
        <v/>
      </c>
      <c r="AI73" s="5">
        <f t="shared" si="71"/>
        <v>0</v>
      </c>
      <c r="AJ73" s="5"/>
      <c r="AK73" s="8" t="str">
        <f t="shared" si="55"/>
        <v/>
      </c>
      <c r="AL73" s="9">
        <f t="shared" si="56"/>
        <v>171</v>
      </c>
      <c r="AM73" s="4">
        <f t="shared" si="57"/>
        <v>119</v>
      </c>
      <c r="AN73" s="4">
        <f t="shared" si="58"/>
        <v>0</v>
      </c>
      <c r="AO73" s="5">
        <f t="shared" si="72"/>
        <v>119</v>
      </c>
      <c r="AP73" s="5">
        <f t="shared" si="60"/>
        <v>55.106999999999999</v>
      </c>
      <c r="AQ73" s="8">
        <f t="shared" si="61"/>
        <v>936819</v>
      </c>
      <c r="AR73" s="9">
        <f t="shared" si="62"/>
        <v>38</v>
      </c>
      <c r="AS73" s="4">
        <f t="shared" si="63"/>
        <v>25</v>
      </c>
      <c r="AT73" s="4">
        <f t="shared" si="64"/>
        <v>0</v>
      </c>
      <c r="AU73" s="5">
        <f t="shared" si="73"/>
        <v>25</v>
      </c>
      <c r="AV73" s="5"/>
      <c r="AW73" s="8">
        <f t="shared" si="65"/>
        <v>186750</v>
      </c>
      <c r="AX73" s="3">
        <f t="shared" si="66"/>
        <v>3</v>
      </c>
      <c r="AY73" s="3">
        <f t="shared" si="67"/>
        <v>5</v>
      </c>
      <c r="AZ73" s="3">
        <f t="shared" si="68"/>
        <v>0</v>
      </c>
      <c r="BA73" s="5">
        <f t="shared" si="74"/>
        <v>5</v>
      </c>
      <c r="BB73" s="709"/>
      <c r="BC73" s="711">
        <f t="shared" si="69"/>
        <v>37350</v>
      </c>
    </row>
    <row r="74" spans="1:55" ht="16.5" x14ac:dyDescent="0.3">
      <c r="A74" s="712" t="s">
        <v>53</v>
      </c>
      <c r="B74" s="9">
        <v>206</v>
      </c>
      <c r="C74" s="4">
        <v>393</v>
      </c>
      <c r="D74" s="4">
        <v>0</v>
      </c>
      <c r="E74" s="5">
        <f t="shared" si="6"/>
        <v>393</v>
      </c>
      <c r="F74" s="5">
        <v>528.19200000000001</v>
      </c>
      <c r="G74" s="8">
        <v>2947500</v>
      </c>
      <c r="H74" s="9"/>
      <c r="I74" s="4"/>
      <c r="J74" s="4"/>
      <c r="K74" s="5">
        <f t="shared" si="7"/>
        <v>0</v>
      </c>
      <c r="L74" s="5"/>
      <c r="M74" s="8">
        <f>K74*1000*L71</f>
        <v>0</v>
      </c>
      <c r="N74" s="9"/>
      <c r="O74" s="4"/>
      <c r="P74" s="4"/>
      <c r="Q74" s="5">
        <f t="shared" si="8"/>
        <v>0</v>
      </c>
      <c r="R74" s="5"/>
      <c r="S74" s="8"/>
      <c r="T74" s="9">
        <f>VLOOKUP(A74,TISOY_BILIRAN,3,FALSE)</f>
        <v>71</v>
      </c>
      <c r="U74" s="4">
        <f>VLOOKUP(A74,TISOY_BILIRAN,6,FALSE)</f>
        <v>54</v>
      </c>
      <c r="V74" s="4">
        <f>VLOOKUP(A74,TISOY_BILIRAN,7,FALSE)</f>
        <v>0</v>
      </c>
      <c r="W74" s="5">
        <f t="shared" si="9"/>
        <v>54</v>
      </c>
      <c r="X74" s="5">
        <f>VLOOKUP(A74,TISOY_BILIRAN,14,FALSE)</f>
        <v>243</v>
      </c>
      <c r="Y74" s="8">
        <f>VLOOKUP(A74,TISOY_BILIRAN,16,FALSE)</f>
        <v>4131000</v>
      </c>
      <c r="Z74" s="9">
        <f t="shared" si="47"/>
        <v>3020</v>
      </c>
      <c r="AA74" s="4">
        <f t="shared" si="48"/>
        <v>5</v>
      </c>
      <c r="AB74" s="4">
        <f t="shared" si="49"/>
        <v>3199</v>
      </c>
      <c r="AC74" s="5">
        <f t="shared" si="70"/>
        <v>3204</v>
      </c>
      <c r="AD74" s="5"/>
      <c r="AE74" s="8">
        <f t="shared" si="51"/>
        <v>8434807.6664706152</v>
      </c>
      <c r="AF74" s="9" t="str">
        <f t="shared" si="52"/>
        <v/>
      </c>
      <c r="AG74" s="4" t="str">
        <f t="shared" si="53"/>
        <v/>
      </c>
      <c r="AH74" s="4" t="str">
        <f t="shared" si="54"/>
        <v/>
      </c>
      <c r="AI74" s="5">
        <f t="shared" si="71"/>
        <v>0</v>
      </c>
      <c r="AJ74" s="5"/>
      <c r="AK74" s="8" t="str">
        <f t="shared" si="55"/>
        <v/>
      </c>
      <c r="AL74" s="9">
        <f t="shared" si="56"/>
        <v>579</v>
      </c>
      <c r="AM74" s="4">
        <f t="shared" si="57"/>
        <v>791</v>
      </c>
      <c r="AN74" s="4">
        <f t="shared" si="58"/>
        <v>0</v>
      </c>
      <c r="AO74" s="5">
        <f t="shared" si="72"/>
        <v>791</v>
      </c>
      <c r="AP74" s="5">
        <f t="shared" si="60"/>
        <v>277.64100000000002</v>
      </c>
      <c r="AQ74" s="8">
        <f t="shared" si="61"/>
        <v>4719897</v>
      </c>
      <c r="AR74" s="9">
        <f t="shared" si="62"/>
        <v>900</v>
      </c>
      <c r="AS74" s="4">
        <f t="shared" si="63"/>
        <v>500</v>
      </c>
      <c r="AT74" s="4">
        <f t="shared" si="64"/>
        <v>0</v>
      </c>
      <c r="AU74" s="5">
        <f t="shared" si="73"/>
        <v>500</v>
      </c>
      <c r="AV74" s="5"/>
      <c r="AW74" s="8">
        <f t="shared" si="65"/>
        <v>3735000</v>
      </c>
      <c r="AX74" s="3">
        <f t="shared" si="66"/>
        <v>650</v>
      </c>
      <c r="AY74" s="3">
        <f t="shared" si="67"/>
        <v>347.04</v>
      </c>
      <c r="AZ74" s="3">
        <f t="shared" si="68"/>
        <v>188.96</v>
      </c>
      <c r="BA74" s="5">
        <f t="shared" si="74"/>
        <v>536</v>
      </c>
      <c r="BB74" s="709"/>
      <c r="BC74" s="711">
        <f t="shared" si="69"/>
        <v>5611846.1617777776</v>
      </c>
    </row>
    <row r="75" spans="1:55" ht="16.5" x14ac:dyDescent="0.3">
      <c r="A75" s="712" t="s">
        <v>54</v>
      </c>
      <c r="B75" s="9">
        <v>226</v>
      </c>
      <c r="C75" s="4">
        <v>91.45</v>
      </c>
      <c r="D75" s="4">
        <v>62.55</v>
      </c>
      <c r="E75" s="5">
        <f t="shared" si="6"/>
        <v>154</v>
      </c>
      <c r="F75" s="5">
        <v>206.976</v>
      </c>
      <c r="G75" s="8">
        <v>1155000</v>
      </c>
      <c r="H75" s="9"/>
      <c r="I75" s="4"/>
      <c r="J75" s="4"/>
      <c r="K75" s="5">
        <f t="shared" si="7"/>
        <v>0</v>
      </c>
      <c r="L75" s="5"/>
      <c r="M75" s="8">
        <f>K75*1000*L73</f>
        <v>0</v>
      </c>
      <c r="N75" s="9"/>
      <c r="O75" s="4"/>
      <c r="P75" s="4"/>
      <c r="Q75" s="5">
        <f t="shared" si="8"/>
        <v>0</v>
      </c>
      <c r="R75" s="5"/>
      <c r="S75" s="8"/>
      <c r="T75" s="9">
        <f>VLOOKUP(A75,TISOY_BILIRAN,3,FALSE)</f>
        <v>52</v>
      </c>
      <c r="U75" s="4">
        <f>VLOOKUP(A75,TISOY_BILIRAN,6,FALSE)</f>
        <v>22</v>
      </c>
      <c r="V75" s="4">
        <f>VLOOKUP(A75,TISOY_BILIRAN,7,FALSE)</f>
        <v>0</v>
      </c>
      <c r="W75" s="5">
        <f t="shared" si="9"/>
        <v>22</v>
      </c>
      <c r="X75" s="5">
        <f>VLOOKUP(A75,TISOY_BILIRAN,14,FALSE)</f>
        <v>99</v>
      </c>
      <c r="Y75" s="8">
        <f>VLOOKUP(A75,TISOY_BILIRAN,16,FALSE)</f>
        <v>1683000</v>
      </c>
      <c r="Z75" s="9">
        <f t="shared" si="47"/>
        <v>50</v>
      </c>
      <c r="AA75" s="4">
        <f t="shared" si="48"/>
        <v>30</v>
      </c>
      <c r="AB75" s="4">
        <f t="shared" si="49"/>
        <v>42</v>
      </c>
      <c r="AC75" s="5">
        <f t="shared" si="70"/>
        <v>72</v>
      </c>
      <c r="AD75" s="5"/>
      <c r="AE75" s="8">
        <f t="shared" si="51"/>
        <v>189546.23969596889</v>
      </c>
      <c r="AF75" s="9">
        <f t="shared" si="52"/>
        <v>23</v>
      </c>
      <c r="AG75" s="4">
        <f t="shared" si="53"/>
        <v>25</v>
      </c>
      <c r="AH75" s="4">
        <f t="shared" si="54"/>
        <v>0</v>
      </c>
      <c r="AI75" s="5">
        <f t="shared" si="71"/>
        <v>25</v>
      </c>
      <c r="AJ75" s="5">
        <f>IFERROR(VLOOKUP(A75,Nona_Biliran,14,FALSE),"")</f>
        <v>78.45750000000001</v>
      </c>
      <c r="AK75" s="8">
        <f t="shared" si="55"/>
        <v>1333777.5000000002</v>
      </c>
      <c r="AL75" s="9">
        <f t="shared" si="56"/>
        <v>218</v>
      </c>
      <c r="AM75" s="4">
        <f t="shared" si="57"/>
        <v>94</v>
      </c>
      <c r="AN75" s="4">
        <f t="shared" si="58"/>
        <v>0</v>
      </c>
      <c r="AO75" s="5">
        <f t="shared" si="72"/>
        <v>94</v>
      </c>
      <c r="AP75" s="5">
        <f t="shared" si="60"/>
        <v>32.994</v>
      </c>
      <c r="AQ75" s="8">
        <f t="shared" si="61"/>
        <v>560898</v>
      </c>
      <c r="AR75" s="9">
        <f t="shared" si="62"/>
        <v>33</v>
      </c>
      <c r="AS75" s="4">
        <f t="shared" si="63"/>
        <v>15</v>
      </c>
      <c r="AT75" s="4">
        <f t="shared" si="64"/>
        <v>0</v>
      </c>
      <c r="AU75" s="5">
        <f t="shared" si="73"/>
        <v>15</v>
      </c>
      <c r="AV75" s="5"/>
      <c r="AW75" s="8">
        <f t="shared" si="65"/>
        <v>112050</v>
      </c>
      <c r="AX75" s="3">
        <f t="shared" si="66"/>
        <v>75</v>
      </c>
      <c r="AY75" s="3">
        <f t="shared" si="67"/>
        <v>56</v>
      </c>
      <c r="AZ75" s="3">
        <f t="shared" si="68"/>
        <v>17</v>
      </c>
      <c r="BA75" s="5">
        <f t="shared" si="74"/>
        <v>73</v>
      </c>
      <c r="BB75" s="709"/>
      <c r="BC75" s="711">
        <f t="shared" si="69"/>
        <v>1060864</v>
      </c>
    </row>
    <row r="76" spans="1:55" ht="16.5" x14ac:dyDescent="0.3">
      <c r="A76" s="712" t="s">
        <v>55</v>
      </c>
      <c r="B76" s="9">
        <v>30</v>
      </c>
      <c r="C76" s="4">
        <v>103.5</v>
      </c>
      <c r="D76" s="4">
        <v>22.5</v>
      </c>
      <c r="E76" s="5">
        <f t="shared" si="6"/>
        <v>126</v>
      </c>
      <c r="F76" s="5">
        <v>169.34399999999999</v>
      </c>
      <c r="G76" s="8">
        <v>945000</v>
      </c>
      <c r="H76" s="9">
        <v>13</v>
      </c>
      <c r="I76" s="4">
        <v>1</v>
      </c>
      <c r="J76" s="4">
        <v>7</v>
      </c>
      <c r="K76" s="5">
        <f t="shared" si="7"/>
        <v>8</v>
      </c>
      <c r="L76" s="5">
        <v>10.488</v>
      </c>
      <c r="M76" s="8">
        <v>188784</v>
      </c>
      <c r="N76" s="9"/>
      <c r="O76" s="4"/>
      <c r="P76" s="4"/>
      <c r="Q76" s="5">
        <f t="shared" si="8"/>
        <v>0</v>
      </c>
      <c r="R76" s="5"/>
      <c r="S76" s="8"/>
      <c r="T76" s="9">
        <f>VLOOKUP(A76,TISOY_BILIRAN,3,FALSE)</f>
        <v>26</v>
      </c>
      <c r="U76" s="4">
        <f>VLOOKUP(A76,TISOY_BILIRAN,6,FALSE)</f>
        <v>1.3</v>
      </c>
      <c r="V76" s="4">
        <f>VLOOKUP(A76,TISOY_BILIRAN,7,FALSE)</f>
        <v>11.7</v>
      </c>
      <c r="W76" s="5">
        <f t="shared" si="9"/>
        <v>13</v>
      </c>
      <c r="X76" s="5">
        <f>VLOOKUP(A76,TISOY_BILIRAN,14,FALSE)</f>
        <v>14.858999999999998</v>
      </c>
      <c r="Y76" s="8">
        <f>VLOOKUP(A76,TISOY_BILIRAN,16,FALSE)</f>
        <v>252602.99999999997</v>
      </c>
      <c r="Z76" s="9">
        <f t="shared" si="47"/>
        <v>45</v>
      </c>
      <c r="AA76" s="4">
        <f t="shared" si="48"/>
        <v>52</v>
      </c>
      <c r="AB76" s="4">
        <f t="shared" si="49"/>
        <v>209</v>
      </c>
      <c r="AC76" s="5">
        <f t="shared" si="70"/>
        <v>261</v>
      </c>
      <c r="AD76" s="5"/>
      <c r="AE76" s="8">
        <f t="shared" si="51"/>
        <v>687105.1188978873</v>
      </c>
      <c r="AF76" s="9">
        <f t="shared" si="52"/>
        <v>40</v>
      </c>
      <c r="AG76" s="4">
        <f t="shared" si="53"/>
        <v>30</v>
      </c>
      <c r="AH76" s="4">
        <f t="shared" si="54"/>
        <v>12</v>
      </c>
      <c r="AI76" s="5">
        <f t="shared" si="71"/>
        <v>42</v>
      </c>
      <c r="AJ76" s="5">
        <f>IFERROR(VLOOKUP(A76,Nona_Biliran,14,FALSE),"")</f>
        <v>131.88</v>
      </c>
      <c r="AK76" s="8">
        <f t="shared" si="55"/>
        <v>2241960</v>
      </c>
      <c r="AL76" s="9">
        <f t="shared" si="56"/>
        <v>15</v>
      </c>
      <c r="AM76" s="4">
        <f t="shared" si="57"/>
        <v>5.25</v>
      </c>
      <c r="AN76" s="4">
        <f t="shared" si="58"/>
        <v>0</v>
      </c>
      <c r="AO76" s="5">
        <f t="shared" si="72"/>
        <v>5.25</v>
      </c>
      <c r="AP76" s="5">
        <f t="shared" si="60"/>
        <v>1.8427499999999999</v>
      </c>
      <c r="AQ76" s="8">
        <f t="shared" si="61"/>
        <v>31326.75</v>
      </c>
      <c r="AR76" s="9">
        <f t="shared" si="62"/>
        <v>20</v>
      </c>
      <c r="AS76" s="4">
        <f t="shared" si="63"/>
        <v>7</v>
      </c>
      <c r="AT76" s="4">
        <f t="shared" si="64"/>
        <v>0</v>
      </c>
      <c r="AU76" s="5">
        <f t="shared" si="73"/>
        <v>7</v>
      </c>
      <c r="AV76" s="5"/>
      <c r="AW76" s="8">
        <f t="shared" si="65"/>
        <v>117124</v>
      </c>
      <c r="AX76" s="3">
        <f t="shared" si="66"/>
        <v>1</v>
      </c>
      <c r="AY76" s="3">
        <f t="shared" si="67"/>
        <v>2.5</v>
      </c>
      <c r="AZ76" s="3">
        <f t="shared" si="68"/>
        <v>0</v>
      </c>
      <c r="BA76" s="5">
        <f t="shared" si="74"/>
        <v>2.5</v>
      </c>
      <c r="BB76" s="709"/>
      <c r="BC76" s="711">
        <f t="shared" si="69"/>
        <v>191250</v>
      </c>
    </row>
    <row r="77" spans="1:55" ht="16.5" x14ac:dyDescent="0.3">
      <c r="A77" s="712" t="s">
        <v>56</v>
      </c>
      <c r="B77" s="9">
        <v>950</v>
      </c>
      <c r="C77" s="4">
        <v>830</v>
      </c>
      <c r="D77" s="4">
        <v>222.5</v>
      </c>
      <c r="E77" s="5">
        <f t="shared" si="6"/>
        <v>1052.5</v>
      </c>
      <c r="F77" s="5">
        <v>1414.5600000000002</v>
      </c>
      <c r="G77" s="8">
        <v>7893750</v>
      </c>
      <c r="H77" s="9"/>
      <c r="I77" s="4"/>
      <c r="J77" s="4"/>
      <c r="K77" s="5">
        <f t="shared" si="7"/>
        <v>0</v>
      </c>
      <c r="L77" s="5"/>
      <c r="M77" s="8"/>
      <c r="N77" s="9"/>
      <c r="O77" s="4"/>
      <c r="P77" s="4"/>
      <c r="Q77" s="5">
        <f t="shared" si="8"/>
        <v>0</v>
      </c>
      <c r="R77" s="5"/>
      <c r="S77" s="8"/>
      <c r="T77" s="9">
        <f>VLOOKUP(A77,TISOY_BILIRAN,3,FALSE)</f>
        <v>285</v>
      </c>
      <c r="U77" s="4">
        <f>VLOOKUP(A77,TISOY_BILIRAN,6,FALSE)</f>
        <v>149.49</v>
      </c>
      <c r="V77" s="4">
        <f>VLOOKUP(A77,TISOY_BILIRAN,7,FALSE)</f>
        <v>348.81</v>
      </c>
      <c r="W77" s="5">
        <f t="shared" si="9"/>
        <v>498.3</v>
      </c>
      <c r="X77" s="5">
        <f>VLOOKUP(A77,TISOY_BILIRAN,14,FALSE)</f>
        <v>1143.5985000000001</v>
      </c>
      <c r="Y77" s="8">
        <f>VLOOKUP(A77,TISOY_BILIRAN,16,FALSE)</f>
        <v>19441174.5</v>
      </c>
      <c r="Z77" s="9">
        <f t="shared" si="47"/>
        <v>1080</v>
      </c>
      <c r="AA77" s="4">
        <f t="shared" si="48"/>
        <v>190.7</v>
      </c>
      <c r="AB77" s="4">
        <f t="shared" si="49"/>
        <v>1716.3</v>
      </c>
      <c r="AC77" s="5">
        <f t="shared" si="70"/>
        <v>1907</v>
      </c>
      <c r="AD77" s="5"/>
      <c r="AE77" s="8">
        <f t="shared" si="51"/>
        <v>5020342.765280732</v>
      </c>
      <c r="AF77" s="9" t="str">
        <f t="shared" si="52"/>
        <v/>
      </c>
      <c r="AG77" s="4" t="str">
        <f t="shared" si="53"/>
        <v/>
      </c>
      <c r="AH77" s="4" t="str">
        <f t="shared" si="54"/>
        <v/>
      </c>
      <c r="AI77" s="5">
        <f t="shared" si="71"/>
        <v>0</v>
      </c>
      <c r="AJ77" s="5" t="str">
        <f>IFERROR(VLOOKUP(A77,Nona_Biliran,14,FALSE),"")</f>
        <v/>
      </c>
      <c r="AK77" s="8" t="str">
        <f t="shared" si="55"/>
        <v/>
      </c>
      <c r="AL77" s="9">
        <f t="shared" si="56"/>
        <v>1210</v>
      </c>
      <c r="AM77" s="4">
        <f t="shared" si="57"/>
        <v>879.83</v>
      </c>
      <c r="AN77" s="4">
        <f t="shared" si="58"/>
        <v>102.67</v>
      </c>
      <c r="AO77" s="5">
        <f t="shared" si="72"/>
        <v>982.5</v>
      </c>
      <c r="AP77" s="5">
        <f t="shared" si="60"/>
        <v>470.16449999999998</v>
      </c>
      <c r="AQ77" s="8">
        <f t="shared" si="61"/>
        <v>7992796.5</v>
      </c>
      <c r="AR77" s="9">
        <f t="shared" si="62"/>
        <v>1850</v>
      </c>
      <c r="AS77" s="4">
        <f t="shared" si="63"/>
        <v>1839</v>
      </c>
      <c r="AT77" s="4">
        <f t="shared" si="64"/>
        <v>0</v>
      </c>
      <c r="AU77" s="5">
        <f t="shared" si="73"/>
        <v>1839</v>
      </c>
      <c r="AV77" s="5"/>
      <c r="AW77" s="8">
        <f t="shared" si="65"/>
        <v>43424130</v>
      </c>
      <c r="AX77" s="3">
        <f t="shared" si="66"/>
        <v>368</v>
      </c>
      <c r="AY77" s="3">
        <f t="shared" si="67"/>
        <v>97.86</v>
      </c>
      <c r="AZ77" s="3">
        <f t="shared" si="68"/>
        <v>25.39</v>
      </c>
      <c r="BA77" s="5">
        <f t="shared" si="74"/>
        <v>123.25</v>
      </c>
      <c r="BB77" s="709"/>
      <c r="BC77" s="711">
        <f t="shared" si="69"/>
        <v>865885.88</v>
      </c>
    </row>
    <row r="78" spans="1:55" ht="16.5" x14ac:dyDescent="0.3">
      <c r="A78" s="713"/>
      <c r="B78" s="9"/>
      <c r="C78" s="4"/>
      <c r="D78" s="4"/>
      <c r="E78" s="5">
        <f t="shared" si="6"/>
        <v>0</v>
      </c>
      <c r="G78" s="8"/>
      <c r="H78" s="9"/>
      <c r="I78" s="4"/>
      <c r="J78" s="4"/>
      <c r="K78" s="5">
        <f t="shared" si="7"/>
        <v>0</v>
      </c>
      <c r="L78" s="5"/>
      <c r="M78" s="8"/>
      <c r="N78" s="9"/>
      <c r="O78" s="4"/>
      <c r="P78" s="4"/>
      <c r="Q78" s="5">
        <f t="shared" si="8"/>
        <v>0</v>
      </c>
      <c r="R78" s="5"/>
      <c r="S78" s="8"/>
      <c r="T78" s="9"/>
      <c r="U78" s="4"/>
      <c r="V78" s="4"/>
      <c r="W78" s="5">
        <f t="shared" si="9"/>
        <v>0</v>
      </c>
      <c r="X78" s="5"/>
      <c r="Y78" s="8"/>
      <c r="Z78" s="9"/>
      <c r="AA78" s="4"/>
      <c r="AB78" s="4"/>
      <c r="AC78" s="5">
        <f t="shared" si="10"/>
        <v>0</v>
      </c>
      <c r="AD78" s="5"/>
      <c r="AE78" s="8"/>
      <c r="AF78" s="9"/>
      <c r="AG78" s="4"/>
      <c r="AH78" s="4"/>
      <c r="AI78" s="5">
        <f t="shared" si="11"/>
        <v>0</v>
      </c>
      <c r="AJ78" s="5"/>
      <c r="AK78" s="8"/>
      <c r="AL78" s="9"/>
      <c r="AM78" s="4"/>
      <c r="AN78" s="4"/>
      <c r="AO78" s="5">
        <f t="shared" si="15"/>
        <v>0</v>
      </c>
      <c r="AP78" s="5"/>
      <c r="AQ78" s="8"/>
      <c r="AR78" s="9"/>
      <c r="AS78" s="4"/>
      <c r="AT78" s="4"/>
      <c r="AU78" s="5">
        <f t="shared" si="21"/>
        <v>0</v>
      </c>
      <c r="AV78" s="5"/>
      <c r="AW78" s="8"/>
      <c r="AX78" s="3"/>
      <c r="AY78" s="4"/>
      <c r="AZ78" s="4"/>
      <c r="BA78" s="5">
        <f t="shared" ref="BA78:BA139" si="75">SUM(AY78:AZ78)</f>
        <v>0</v>
      </c>
      <c r="BB78" s="5"/>
      <c r="BC78" s="711"/>
    </row>
    <row r="79" spans="1:55" s="735" customFormat="1" ht="16.5" x14ac:dyDescent="0.3">
      <c r="A79" s="728" t="s">
        <v>57</v>
      </c>
      <c r="B79" s="729">
        <f>SUM(B80:B104)</f>
        <v>3987</v>
      </c>
      <c r="C79" s="730">
        <f t="shared" ref="C79:BC79" si="76">SUM(C80:C104)</f>
        <v>3371.76</v>
      </c>
      <c r="D79" s="730">
        <f t="shared" si="76"/>
        <v>72.88000000000001</v>
      </c>
      <c r="E79" s="731">
        <f t="shared" si="76"/>
        <v>3444.6400000000003</v>
      </c>
      <c r="F79" s="731">
        <f t="shared" si="76"/>
        <v>2716.0060199999994</v>
      </c>
      <c r="G79" s="732">
        <f t="shared" si="76"/>
        <v>24600432.912999999</v>
      </c>
      <c r="H79" s="729">
        <f t="shared" si="76"/>
        <v>0</v>
      </c>
      <c r="I79" s="730">
        <f t="shared" si="76"/>
        <v>0</v>
      </c>
      <c r="J79" s="730">
        <f t="shared" si="76"/>
        <v>0</v>
      </c>
      <c r="K79" s="731">
        <f t="shared" si="76"/>
        <v>0</v>
      </c>
      <c r="L79" s="731">
        <f t="shared" si="76"/>
        <v>0</v>
      </c>
      <c r="M79" s="732">
        <f t="shared" si="76"/>
        <v>0</v>
      </c>
      <c r="N79" s="729">
        <f t="shared" si="76"/>
        <v>274</v>
      </c>
      <c r="O79" s="730">
        <f t="shared" si="76"/>
        <v>0</v>
      </c>
      <c r="P79" s="730">
        <f t="shared" si="76"/>
        <v>412.75</v>
      </c>
      <c r="Q79" s="731">
        <f t="shared" si="76"/>
        <v>164.75</v>
      </c>
      <c r="R79" s="731">
        <f t="shared" si="76"/>
        <v>396.1</v>
      </c>
      <c r="S79" s="732">
        <f t="shared" si="76"/>
        <v>35943875</v>
      </c>
      <c r="T79" s="729">
        <f t="shared" si="76"/>
        <v>868</v>
      </c>
      <c r="U79" s="730">
        <f t="shared" si="76"/>
        <v>45.5</v>
      </c>
      <c r="V79" s="730">
        <f t="shared" si="76"/>
        <v>445</v>
      </c>
      <c r="W79" s="731">
        <f t="shared" si="76"/>
        <v>142.5</v>
      </c>
      <c r="X79" s="731">
        <f t="shared" si="76"/>
        <v>561.14499999999998</v>
      </c>
      <c r="Y79" s="732">
        <f t="shared" si="76"/>
        <v>9539465</v>
      </c>
      <c r="Z79" s="729">
        <f t="shared" si="76"/>
        <v>5186</v>
      </c>
      <c r="AA79" s="730">
        <f t="shared" si="76"/>
        <v>810.55</v>
      </c>
      <c r="AB79" s="730">
        <f t="shared" si="76"/>
        <v>5316.9400000000005</v>
      </c>
      <c r="AC79" s="731">
        <f t="shared" si="76"/>
        <v>6127.49</v>
      </c>
      <c r="AD79" s="731">
        <f t="shared" si="76"/>
        <v>0</v>
      </c>
      <c r="AE79" s="732">
        <f t="shared" si="76"/>
        <v>97307848.787540331</v>
      </c>
      <c r="AF79" s="729">
        <f t="shared" si="76"/>
        <v>855</v>
      </c>
      <c r="AG79" s="730">
        <f t="shared" si="76"/>
        <v>0</v>
      </c>
      <c r="AH79" s="730">
        <f t="shared" si="76"/>
        <v>869</v>
      </c>
      <c r="AI79" s="731">
        <f t="shared" si="76"/>
        <v>869</v>
      </c>
      <c r="AJ79" s="731">
        <f t="shared" si="76"/>
        <v>160.56050000000005</v>
      </c>
      <c r="AK79" s="732">
        <f t="shared" si="76"/>
        <v>2729528.5000000009</v>
      </c>
      <c r="AL79" s="729">
        <f t="shared" si="76"/>
        <v>8164</v>
      </c>
      <c r="AM79" s="730">
        <f t="shared" si="76"/>
        <v>4048.3</v>
      </c>
      <c r="AN79" s="730">
        <f t="shared" si="76"/>
        <v>4704.07</v>
      </c>
      <c r="AO79" s="731">
        <f t="shared" si="76"/>
        <v>8752.369999999999</v>
      </c>
      <c r="AP79" s="731">
        <f t="shared" si="76"/>
        <v>6487.6102199999987</v>
      </c>
      <c r="AQ79" s="732">
        <f t="shared" si="76"/>
        <v>110289373.73999999</v>
      </c>
      <c r="AR79" s="729">
        <f t="shared" si="76"/>
        <v>5448.76</v>
      </c>
      <c r="AS79" s="730">
        <f t="shared" si="76"/>
        <v>7564</v>
      </c>
      <c r="AT79" s="730">
        <f t="shared" si="76"/>
        <v>0</v>
      </c>
      <c r="AU79" s="731">
        <f t="shared" si="76"/>
        <v>7564</v>
      </c>
      <c r="AV79" s="731">
        <f t="shared" si="76"/>
        <v>0</v>
      </c>
      <c r="AW79" s="732">
        <f t="shared" si="76"/>
        <v>122013769</v>
      </c>
      <c r="AX79" s="733">
        <f t="shared" si="76"/>
        <v>244</v>
      </c>
      <c r="AY79" s="730">
        <f t="shared" si="76"/>
        <v>0</v>
      </c>
      <c r="AZ79" s="730">
        <f t="shared" si="76"/>
        <v>163.01</v>
      </c>
      <c r="BA79" s="731">
        <f t="shared" si="76"/>
        <v>163.01</v>
      </c>
      <c r="BB79" s="731">
        <f t="shared" si="76"/>
        <v>0</v>
      </c>
      <c r="BC79" s="734">
        <f t="shared" si="76"/>
        <v>1276792.4493680298</v>
      </c>
    </row>
    <row r="80" spans="1:55" ht="16.5" x14ac:dyDescent="0.3">
      <c r="A80" s="712" t="s">
        <v>58</v>
      </c>
      <c r="B80" s="9">
        <v>2500</v>
      </c>
      <c r="C80" s="4">
        <v>2000</v>
      </c>
      <c r="D80" s="4">
        <v>0</v>
      </c>
      <c r="E80" s="5">
        <f t="shared" si="6"/>
        <v>2000</v>
      </c>
      <c r="F80" s="5">
        <v>1638</v>
      </c>
      <c r="G80" s="8">
        <v>15000000</v>
      </c>
      <c r="H80" s="9"/>
      <c r="I80" s="4"/>
      <c r="J80" s="4"/>
      <c r="K80" s="5">
        <f t="shared" si="7"/>
        <v>0</v>
      </c>
      <c r="L80" s="5"/>
      <c r="M80" s="8"/>
      <c r="N80" s="9"/>
      <c r="O80" s="4"/>
      <c r="P80" s="4"/>
      <c r="Q80" s="5">
        <f t="shared" si="8"/>
        <v>0</v>
      </c>
      <c r="R80" s="5"/>
      <c r="S80" s="8"/>
      <c r="T80" s="9" t="str">
        <f t="shared" ref="T80:T90" si="77">IFERROR(VLOOKUP(A80,Tisoy_wSamar,3,FALSE),"")</f>
        <v/>
      </c>
      <c r="U80" s="4" t="str">
        <f t="shared" ref="U80:U90" si="78">IFERROR(VLOOKUP(A80,Tisoy_wSamar,6,FALSE),"")</f>
        <v/>
      </c>
      <c r="V80" s="4" t="str">
        <f t="shared" ref="V80:V90" si="79">IFERROR(VLOOKUP(A80,Tisoy_wSamar,7,FALSE),"")</f>
        <v/>
      </c>
      <c r="W80" s="5">
        <f t="shared" si="9"/>
        <v>0</v>
      </c>
      <c r="X80" s="5" t="str">
        <f t="shared" ref="X80:X90" si="80">IFERROR(VLOOKUP(A80,Tisoy_wSamar,14,FALSE),"")</f>
        <v/>
      </c>
      <c r="Y80" s="8" t="str">
        <f t="shared" ref="Y80:Y90" si="81">IFERROR(VLOOKUP(A80,Tisoy_wSamar,16,FALSE),"")</f>
        <v/>
      </c>
      <c r="Z80" s="9">
        <f t="shared" ref="Z80:Z90" si="82">IFERROR(VLOOKUP(A80,Glenda_Samar,2,FALSE),"")</f>
        <v>708</v>
      </c>
      <c r="AA80" s="4">
        <f t="shared" ref="AA80:AA90" si="83">IFERROR(VLOOKUP(A80,Glenda_Samar,5,FALSE),"")</f>
        <v>0</v>
      </c>
      <c r="AB80" s="4">
        <f t="shared" ref="AB80:AB90" si="84">IFERROR(VLOOKUP(A80,Glenda_Samar,6,FALSE),"")</f>
        <v>1496</v>
      </c>
      <c r="AC80" s="5">
        <f t="shared" si="10"/>
        <v>1496</v>
      </c>
      <c r="AD80" s="5"/>
      <c r="AE80" s="8">
        <f t="shared" ref="AE80:AE90" si="85">IFERROR(VLOOKUP(A80,Glenda_Samar,15,FALSE),"")</f>
        <v>16809670.429058548</v>
      </c>
      <c r="AF80" s="9" t="str">
        <f t="shared" ref="AF80:AF90" si="86">IFERROR(VLOOKUP(A80,Nona_Samar,3,FALSE),"")</f>
        <v/>
      </c>
      <c r="AG80" s="4" t="str">
        <f t="shared" ref="AG80:AG90" si="87">IFERROR(VLOOKUP(A80,Nona_Samar,6,FALSE),"")</f>
        <v/>
      </c>
      <c r="AH80" s="4" t="str">
        <f t="shared" ref="AH80:AH90" si="88">IFERROR(VLOOKUP(A80,Nona_Samar,7,FALSE),"")</f>
        <v/>
      </c>
      <c r="AI80" s="5">
        <f t="shared" si="11"/>
        <v>0</v>
      </c>
      <c r="AJ80" s="5" t="str">
        <f t="shared" ref="AJ80:AJ90" si="89">IFERROR(VLOOKUP(A80,Nona_Samar,14,FALSE),"")</f>
        <v/>
      </c>
      <c r="AK80" s="8" t="str">
        <f t="shared" ref="AK80:AK90" si="90">IFERROR(VLOOKUP(A80,Nona_Samar,16,FALSE),"")</f>
        <v/>
      </c>
      <c r="AL80" s="9">
        <f t="shared" ref="AL80:AL99" si="91">IFERROR(VLOOKUP(A80,Ruby_Samar,3,FALSE),"")</f>
        <v>2620</v>
      </c>
      <c r="AM80" s="4">
        <f t="shared" ref="AM80:AM99" si="92">IFERROR(VLOOKUP(A80,Ruby_Samar,6,FALSE),"")</f>
        <v>1063</v>
      </c>
      <c r="AN80" s="4">
        <f t="shared" ref="AN80:AN99" si="93">IFERROR(VLOOKUP(A80,Ruby_Samar,7,FALSE),"")</f>
        <v>1543.5</v>
      </c>
      <c r="AO80" s="5">
        <f t="shared" si="15"/>
        <v>2606.5</v>
      </c>
      <c r="AP80" s="5">
        <f t="shared" ref="AP80:AP99" si="94">IFERROR(VLOOKUP(A80,Ruby_Samar,14,FALSE),"")</f>
        <v>1998.4184999999998</v>
      </c>
      <c r="AQ80" s="8">
        <f t="shared" ref="AQ80:AQ99" si="95">IFERROR(VLOOKUP(A80,Ruby_Samar,16,FALSE),"")</f>
        <v>33973114.5</v>
      </c>
      <c r="AR80" s="9">
        <f t="shared" ref="AR80:AR99" si="96">IFERROR(VLOOKUP(A80,Urduja_Samar,3,FALSE),"")</f>
        <v>1492</v>
      </c>
      <c r="AS80" s="4">
        <f t="shared" ref="AS80:AS99" si="97">IFERROR(VLOOKUP(A80,Urduja_Samar,6,FALSE),"")</f>
        <v>1145</v>
      </c>
      <c r="AT80" s="4">
        <f t="shared" ref="AT80:AT99" si="98">IFERROR(VLOOKUP(A80,Urduja_Samar,7,FALSE),"")</f>
        <v>0</v>
      </c>
      <c r="AU80" s="5">
        <f t="shared" ref="AU80" si="99">SUM(AS80:AT80)</f>
        <v>1145</v>
      </c>
      <c r="AV80" s="5"/>
      <c r="AW80" s="8">
        <f t="shared" ref="AW80:AW99" si="100">IFERROR(VLOOKUP(A80,Urduja_Samar,17,FALSE),"")</f>
        <v>8553150</v>
      </c>
      <c r="AX80" s="3" t="str">
        <f t="shared" ref="AX80:AX104" si="101">IFERROR(VLOOKUP(A80,Ursula_WSamar,3,FALSE),"")</f>
        <v/>
      </c>
      <c r="AY80" s="3" t="str">
        <f t="shared" ref="AY80:AY104" si="102">IFERROR(VLOOKUP(A80,Ursula_WSamar,6,FALSE),"")</f>
        <v/>
      </c>
      <c r="AZ80" s="3" t="str">
        <f t="shared" ref="AZ80:AZ104" si="103">IFERROR(VLOOKUP(A80,Ursula_WSamar,7,FALSE),"")</f>
        <v/>
      </c>
      <c r="BA80" s="5">
        <f t="shared" si="75"/>
        <v>0</v>
      </c>
      <c r="BB80" s="709"/>
      <c r="BC80" s="711" t="str">
        <f t="shared" ref="BC80:BC104" si="104">IFERROR(VLOOKUP(A80,Ursula_WSamar,13,FALSE),"")</f>
        <v/>
      </c>
    </row>
    <row r="81" spans="1:55" ht="16.5" x14ac:dyDescent="0.3">
      <c r="A81" s="712" t="s">
        <v>59</v>
      </c>
      <c r="B81" s="9">
        <v>1</v>
      </c>
      <c r="C81" s="4">
        <v>1</v>
      </c>
      <c r="D81" s="4">
        <v>0</v>
      </c>
      <c r="E81" s="5">
        <f t="shared" si="6"/>
        <v>1</v>
      </c>
      <c r="F81" s="5">
        <v>0.27300000000000002</v>
      </c>
      <c r="G81" s="8">
        <v>1090.7</v>
      </c>
      <c r="H81" s="9"/>
      <c r="I81" s="4"/>
      <c r="J81" s="4"/>
      <c r="K81" s="5">
        <f t="shared" si="7"/>
        <v>0</v>
      </c>
      <c r="L81" s="5"/>
      <c r="M81" s="8"/>
      <c r="N81" s="9"/>
      <c r="O81" s="4"/>
      <c r="P81" s="4"/>
      <c r="Q81" s="5">
        <f t="shared" si="8"/>
        <v>0</v>
      </c>
      <c r="R81" s="5"/>
      <c r="S81" s="8"/>
      <c r="T81" s="9" t="str">
        <f t="shared" si="77"/>
        <v/>
      </c>
      <c r="U81" s="4" t="str">
        <f t="shared" si="78"/>
        <v/>
      </c>
      <c r="V81" s="4" t="str">
        <f t="shared" si="79"/>
        <v/>
      </c>
      <c r="W81" s="5">
        <f t="shared" si="9"/>
        <v>0</v>
      </c>
      <c r="X81" s="5" t="str">
        <f t="shared" si="80"/>
        <v/>
      </c>
      <c r="Y81" s="8" t="str">
        <f t="shared" si="81"/>
        <v/>
      </c>
      <c r="Z81" s="9" t="str">
        <f t="shared" si="82"/>
        <v/>
      </c>
      <c r="AA81" s="4" t="str">
        <f t="shared" si="83"/>
        <v/>
      </c>
      <c r="AB81" s="4" t="str">
        <f t="shared" si="84"/>
        <v/>
      </c>
      <c r="AC81" s="5">
        <f t="shared" ref="AC81:AC104" si="105">SUM(AA81:AB81)</f>
        <v>0</v>
      </c>
      <c r="AD81" s="5"/>
      <c r="AE81" s="8" t="str">
        <f t="shared" si="85"/>
        <v/>
      </c>
      <c r="AF81" s="9" t="str">
        <f t="shared" si="86"/>
        <v/>
      </c>
      <c r="AG81" s="4" t="str">
        <f t="shared" si="87"/>
        <v/>
      </c>
      <c r="AH81" s="4" t="str">
        <f t="shared" si="88"/>
        <v/>
      </c>
      <c r="AI81" s="5">
        <f t="shared" ref="AI81:AI103" si="106">SUM(AG81:AH81)</f>
        <v>0</v>
      </c>
      <c r="AJ81" s="5" t="str">
        <f t="shared" si="89"/>
        <v/>
      </c>
      <c r="AK81" s="8" t="str">
        <f t="shared" si="90"/>
        <v/>
      </c>
      <c r="AL81" s="9">
        <f t="shared" si="91"/>
        <v>0</v>
      </c>
      <c r="AM81" s="4">
        <f t="shared" si="92"/>
        <v>200</v>
      </c>
      <c r="AN81" s="4">
        <f t="shared" si="93"/>
        <v>0</v>
      </c>
      <c r="AO81" s="5">
        <f t="shared" ref="AO81:AO104" si="107">SUM(AM81:AN81)</f>
        <v>200</v>
      </c>
      <c r="AP81" s="5">
        <f t="shared" si="94"/>
        <v>70.2</v>
      </c>
      <c r="AQ81" s="8">
        <f t="shared" si="95"/>
        <v>1193400</v>
      </c>
      <c r="AR81" s="9">
        <f t="shared" si="96"/>
        <v>0</v>
      </c>
      <c r="AS81" s="4">
        <f t="shared" si="97"/>
        <v>0</v>
      </c>
      <c r="AT81" s="4">
        <f t="shared" si="98"/>
        <v>0</v>
      </c>
      <c r="AU81" s="5">
        <f t="shared" ref="AU81:AU104" si="108">SUM(AS81:AT81)</f>
        <v>0</v>
      </c>
      <c r="AV81" s="5"/>
      <c r="AW81" s="8">
        <f t="shared" si="100"/>
        <v>0</v>
      </c>
      <c r="AX81" s="3" t="str">
        <f t="shared" si="101"/>
        <v/>
      </c>
      <c r="AY81" s="3" t="str">
        <f t="shared" si="102"/>
        <v/>
      </c>
      <c r="AZ81" s="3" t="str">
        <f t="shared" si="103"/>
        <v/>
      </c>
      <c r="BA81" s="5">
        <f t="shared" ref="BA81:BA104" si="109">SUM(AY81:AZ81)</f>
        <v>0</v>
      </c>
      <c r="BB81" s="709"/>
      <c r="BC81" s="711" t="str">
        <f t="shared" si="104"/>
        <v/>
      </c>
    </row>
    <row r="82" spans="1:55" ht="16.5" x14ac:dyDescent="0.3">
      <c r="A82" s="712" t="s">
        <v>107</v>
      </c>
      <c r="B82" s="9"/>
      <c r="C82" s="4"/>
      <c r="D82" s="4"/>
      <c r="G82" s="8"/>
      <c r="H82" s="9"/>
      <c r="I82" s="4"/>
      <c r="J82" s="4"/>
      <c r="K82" s="5"/>
      <c r="L82" s="5"/>
      <c r="M82" s="8"/>
      <c r="N82" s="9">
        <v>174</v>
      </c>
      <c r="O82" s="4"/>
      <c r="P82" s="4">
        <v>248</v>
      </c>
      <c r="Q82" s="5"/>
      <c r="R82" s="5">
        <v>198.4</v>
      </c>
      <c r="S82" s="8">
        <v>3372800</v>
      </c>
      <c r="T82" s="9">
        <f t="shared" si="77"/>
        <v>129</v>
      </c>
      <c r="U82" s="4">
        <f t="shared" si="78"/>
        <v>33</v>
      </c>
      <c r="V82" s="4">
        <f t="shared" si="79"/>
        <v>82</v>
      </c>
      <c r="W82" s="5"/>
      <c r="X82" s="5">
        <f t="shared" si="80"/>
        <v>150.79000000000002</v>
      </c>
      <c r="Y82" s="8">
        <f t="shared" si="81"/>
        <v>2563430</v>
      </c>
      <c r="Z82" s="9">
        <f t="shared" si="82"/>
        <v>1032</v>
      </c>
      <c r="AA82" s="4">
        <f t="shared" si="83"/>
        <v>39.590000000000003</v>
      </c>
      <c r="AB82" s="4">
        <f t="shared" si="84"/>
        <v>1098</v>
      </c>
      <c r="AC82" s="5">
        <f t="shared" si="105"/>
        <v>1137.5899999999999</v>
      </c>
      <c r="AD82" s="5"/>
      <c r="AE82" s="8">
        <f t="shared" si="85"/>
        <v>15275343.07178935</v>
      </c>
      <c r="AF82" s="9" t="str">
        <f t="shared" si="86"/>
        <v/>
      </c>
      <c r="AG82" s="4" t="str">
        <f t="shared" si="87"/>
        <v/>
      </c>
      <c r="AH82" s="4" t="str">
        <f t="shared" si="88"/>
        <v/>
      </c>
      <c r="AI82" s="5">
        <f t="shared" si="106"/>
        <v>0</v>
      </c>
      <c r="AJ82" s="5" t="str">
        <f t="shared" si="89"/>
        <v/>
      </c>
      <c r="AK82" s="8" t="str">
        <f t="shared" si="90"/>
        <v/>
      </c>
      <c r="AL82" s="9">
        <f t="shared" si="91"/>
        <v>1462</v>
      </c>
      <c r="AM82" s="4">
        <f t="shared" si="92"/>
        <v>337</v>
      </c>
      <c r="AN82" s="4">
        <f t="shared" si="93"/>
        <v>1259.6199999999999</v>
      </c>
      <c r="AO82" s="5">
        <f t="shared" si="107"/>
        <v>1596.62</v>
      </c>
      <c r="AP82" s="5">
        <f t="shared" si="94"/>
        <v>1331.2096200000001</v>
      </c>
      <c r="AQ82" s="8">
        <f t="shared" si="95"/>
        <v>22630563.539999999</v>
      </c>
      <c r="AR82" s="9">
        <f t="shared" si="96"/>
        <v>248.16</v>
      </c>
      <c r="AS82" s="4">
        <f t="shared" si="97"/>
        <v>1550</v>
      </c>
      <c r="AT82" s="4">
        <f t="shared" si="98"/>
        <v>0</v>
      </c>
      <c r="AU82" s="5">
        <f t="shared" si="108"/>
        <v>1550</v>
      </c>
      <c r="AV82" s="5"/>
      <c r="AW82" s="8">
        <f t="shared" si="100"/>
        <v>58588622</v>
      </c>
      <c r="AX82" s="3" t="str">
        <f t="shared" si="101"/>
        <v/>
      </c>
      <c r="AY82" s="3" t="str">
        <f t="shared" si="102"/>
        <v/>
      </c>
      <c r="AZ82" s="3" t="str">
        <f t="shared" si="103"/>
        <v/>
      </c>
      <c r="BA82" s="5">
        <f t="shared" si="109"/>
        <v>0</v>
      </c>
      <c r="BB82" s="709"/>
      <c r="BC82" s="711" t="str">
        <f t="shared" si="104"/>
        <v/>
      </c>
    </row>
    <row r="83" spans="1:55" ht="16.5" x14ac:dyDescent="0.3">
      <c r="A83" s="712" t="s">
        <v>131</v>
      </c>
      <c r="B83" s="9">
        <v>141</v>
      </c>
      <c r="C83" s="4">
        <v>52.36</v>
      </c>
      <c r="D83" s="4">
        <v>25.48</v>
      </c>
      <c r="E83" s="5">
        <f t="shared" si="6"/>
        <v>77.84</v>
      </c>
      <c r="F83" s="5">
        <v>21.250320000000002</v>
      </c>
      <c r="G83" s="8">
        <v>84900.088000000003</v>
      </c>
      <c r="H83" s="9"/>
      <c r="I83" s="4"/>
      <c r="J83" s="4"/>
      <c r="K83" s="5">
        <f t="shared" si="7"/>
        <v>0</v>
      </c>
      <c r="L83" s="5"/>
      <c r="M83" s="8"/>
      <c r="N83" s="9"/>
      <c r="O83" s="4"/>
      <c r="P83" s="4"/>
      <c r="Q83" s="5">
        <f t="shared" si="8"/>
        <v>0</v>
      </c>
      <c r="R83" s="5"/>
      <c r="S83" s="8"/>
      <c r="T83" s="9">
        <f t="shared" si="77"/>
        <v>141</v>
      </c>
      <c r="U83" s="4">
        <f t="shared" si="78"/>
        <v>0</v>
      </c>
      <c r="V83" s="4">
        <f t="shared" si="79"/>
        <v>50</v>
      </c>
      <c r="W83" s="5">
        <f t="shared" si="9"/>
        <v>50</v>
      </c>
      <c r="X83" s="5">
        <f t="shared" si="80"/>
        <v>0</v>
      </c>
      <c r="Y83" s="8">
        <f t="shared" si="81"/>
        <v>0</v>
      </c>
      <c r="Z83" s="9" t="str">
        <f t="shared" si="82"/>
        <v/>
      </c>
      <c r="AA83" s="4" t="str">
        <f t="shared" si="83"/>
        <v/>
      </c>
      <c r="AB83" s="4" t="str">
        <f t="shared" si="84"/>
        <v/>
      </c>
      <c r="AC83" s="5">
        <f t="shared" si="105"/>
        <v>0</v>
      </c>
      <c r="AD83" s="5"/>
      <c r="AE83" s="8" t="str">
        <f t="shared" si="85"/>
        <v/>
      </c>
      <c r="AF83" s="9" t="str">
        <f t="shared" si="86"/>
        <v/>
      </c>
      <c r="AG83" s="4" t="str">
        <f t="shared" si="87"/>
        <v/>
      </c>
      <c r="AH83" s="4" t="str">
        <f t="shared" si="88"/>
        <v/>
      </c>
      <c r="AI83" s="5">
        <f t="shared" si="106"/>
        <v>0</v>
      </c>
      <c r="AJ83" s="5" t="str">
        <f t="shared" si="89"/>
        <v/>
      </c>
      <c r="AK83" s="8" t="str">
        <f t="shared" si="90"/>
        <v/>
      </c>
      <c r="AL83" s="9">
        <f t="shared" si="91"/>
        <v>165</v>
      </c>
      <c r="AM83" s="4">
        <f t="shared" si="92"/>
        <v>131</v>
      </c>
      <c r="AN83" s="4">
        <f t="shared" si="93"/>
        <v>40</v>
      </c>
      <c r="AO83" s="5">
        <f t="shared" si="107"/>
        <v>171</v>
      </c>
      <c r="AP83" s="5">
        <f t="shared" si="94"/>
        <v>60.020999999999994</v>
      </c>
      <c r="AQ83" s="8">
        <f t="shared" si="95"/>
        <v>1020356.9999999999</v>
      </c>
      <c r="AR83" s="9" t="str">
        <f t="shared" si="96"/>
        <v/>
      </c>
      <c r="AS83" s="4" t="str">
        <f t="shared" si="97"/>
        <v/>
      </c>
      <c r="AT83" s="4" t="str">
        <f t="shared" si="98"/>
        <v/>
      </c>
      <c r="AU83" s="5">
        <f t="shared" si="108"/>
        <v>0</v>
      </c>
      <c r="AV83" s="5"/>
      <c r="AW83" s="8" t="str">
        <f t="shared" si="100"/>
        <v/>
      </c>
      <c r="AX83" s="3" t="str">
        <f t="shared" si="101"/>
        <v/>
      </c>
      <c r="AY83" s="3" t="str">
        <f t="shared" si="102"/>
        <v/>
      </c>
      <c r="AZ83" s="3" t="str">
        <f t="shared" si="103"/>
        <v/>
      </c>
      <c r="BA83" s="5">
        <f t="shared" si="109"/>
        <v>0</v>
      </c>
      <c r="BB83" s="709"/>
      <c r="BC83" s="711" t="str">
        <f t="shared" si="104"/>
        <v/>
      </c>
    </row>
    <row r="84" spans="1:55" ht="16.5" x14ac:dyDescent="0.3">
      <c r="A84" s="712" t="s">
        <v>61</v>
      </c>
      <c r="B84" s="9">
        <v>225</v>
      </c>
      <c r="C84" s="4">
        <v>113.75</v>
      </c>
      <c r="D84" s="4">
        <v>0</v>
      </c>
      <c r="E84" s="5">
        <f t="shared" si="6"/>
        <v>113.75</v>
      </c>
      <c r="F84" s="5">
        <v>31.053750000000001</v>
      </c>
      <c r="G84" s="8">
        <v>124067.125</v>
      </c>
      <c r="H84" s="9"/>
      <c r="I84" s="4"/>
      <c r="J84" s="4"/>
      <c r="K84" s="5">
        <f t="shared" si="7"/>
        <v>0</v>
      </c>
      <c r="L84" s="5"/>
      <c r="M84" s="8"/>
      <c r="N84" s="9"/>
      <c r="O84" s="4"/>
      <c r="P84" s="4"/>
      <c r="Q84" s="5">
        <f t="shared" si="8"/>
        <v>0</v>
      </c>
      <c r="R84" s="5"/>
      <c r="S84" s="8"/>
      <c r="T84" s="9" t="str">
        <f t="shared" si="77"/>
        <v/>
      </c>
      <c r="U84" s="4" t="str">
        <f t="shared" si="78"/>
        <v/>
      </c>
      <c r="V84" s="4" t="str">
        <f t="shared" si="79"/>
        <v/>
      </c>
      <c r="W84" s="5">
        <f t="shared" si="9"/>
        <v>0</v>
      </c>
      <c r="X84" s="5" t="str">
        <f t="shared" si="80"/>
        <v/>
      </c>
      <c r="Y84" s="8" t="str">
        <f t="shared" si="81"/>
        <v/>
      </c>
      <c r="Z84" s="9" t="str">
        <f t="shared" si="82"/>
        <v/>
      </c>
      <c r="AA84" s="4" t="str">
        <f t="shared" si="83"/>
        <v/>
      </c>
      <c r="AB84" s="4" t="str">
        <f t="shared" si="84"/>
        <v/>
      </c>
      <c r="AC84" s="5">
        <f t="shared" si="105"/>
        <v>0</v>
      </c>
      <c r="AD84" s="5"/>
      <c r="AE84" s="8" t="str">
        <f t="shared" si="85"/>
        <v/>
      </c>
      <c r="AF84" s="9" t="str">
        <f t="shared" si="86"/>
        <v/>
      </c>
      <c r="AG84" s="4" t="str">
        <f t="shared" si="87"/>
        <v/>
      </c>
      <c r="AH84" s="4" t="str">
        <f t="shared" si="88"/>
        <v/>
      </c>
      <c r="AI84" s="5">
        <f t="shared" si="106"/>
        <v>0</v>
      </c>
      <c r="AJ84" s="5" t="str">
        <f t="shared" si="89"/>
        <v/>
      </c>
      <c r="AK84" s="8" t="str">
        <f t="shared" si="90"/>
        <v/>
      </c>
      <c r="AL84" s="9" t="str">
        <f t="shared" si="91"/>
        <v/>
      </c>
      <c r="AM84" s="4" t="str">
        <f t="shared" si="92"/>
        <v/>
      </c>
      <c r="AN84" s="4" t="str">
        <f t="shared" si="93"/>
        <v/>
      </c>
      <c r="AO84" s="5">
        <f t="shared" si="107"/>
        <v>0</v>
      </c>
      <c r="AP84" s="5" t="str">
        <f t="shared" si="94"/>
        <v/>
      </c>
      <c r="AQ84" s="8" t="str">
        <f t="shared" si="95"/>
        <v/>
      </c>
      <c r="AR84" s="9">
        <f t="shared" si="96"/>
        <v>0</v>
      </c>
      <c r="AS84" s="4">
        <f t="shared" si="97"/>
        <v>0</v>
      </c>
      <c r="AT84" s="4">
        <f t="shared" si="98"/>
        <v>0</v>
      </c>
      <c r="AU84" s="5">
        <f t="shared" si="108"/>
        <v>0</v>
      </c>
      <c r="AV84" s="5"/>
      <c r="AW84" s="8">
        <f t="shared" si="100"/>
        <v>0</v>
      </c>
      <c r="AX84" s="3" t="str">
        <f t="shared" si="101"/>
        <v/>
      </c>
      <c r="AY84" s="3" t="str">
        <f t="shared" si="102"/>
        <v/>
      </c>
      <c r="AZ84" s="3" t="str">
        <f t="shared" si="103"/>
        <v/>
      </c>
      <c r="BA84" s="5">
        <f t="shared" si="109"/>
        <v>0</v>
      </c>
      <c r="BB84" s="709"/>
      <c r="BC84" s="711" t="str">
        <f t="shared" si="104"/>
        <v/>
      </c>
    </row>
    <row r="85" spans="1:55" ht="16.5" x14ac:dyDescent="0.3">
      <c r="A85" s="712" t="s">
        <v>62</v>
      </c>
      <c r="B85" s="9">
        <v>1</v>
      </c>
      <c r="C85" s="4">
        <v>0.25</v>
      </c>
      <c r="D85" s="4">
        <v>0.75</v>
      </c>
      <c r="E85" s="5">
        <f t="shared" si="6"/>
        <v>1</v>
      </c>
      <c r="F85" s="5">
        <v>0.81899999999999995</v>
      </c>
      <c r="G85" s="8">
        <v>7500</v>
      </c>
      <c r="H85" s="9"/>
      <c r="I85" s="4"/>
      <c r="J85" s="4"/>
      <c r="K85" s="5">
        <f t="shared" si="7"/>
        <v>0</v>
      </c>
      <c r="L85" s="5"/>
      <c r="M85" s="8"/>
      <c r="N85" s="9"/>
      <c r="O85" s="4"/>
      <c r="P85" s="4"/>
      <c r="Q85" s="5">
        <f t="shared" si="8"/>
        <v>0</v>
      </c>
      <c r="R85" s="5"/>
      <c r="S85" s="8"/>
      <c r="T85" s="9">
        <f t="shared" si="77"/>
        <v>158</v>
      </c>
      <c r="U85" s="4">
        <f t="shared" si="78"/>
        <v>0</v>
      </c>
      <c r="V85" s="4">
        <f t="shared" si="79"/>
        <v>78</v>
      </c>
      <c r="W85" s="5">
        <f t="shared" si="9"/>
        <v>78</v>
      </c>
      <c r="X85" s="5">
        <f t="shared" si="80"/>
        <v>101.25</v>
      </c>
      <c r="Y85" s="8">
        <f t="shared" si="81"/>
        <v>1721249.9999999998</v>
      </c>
      <c r="Z85" s="9">
        <f t="shared" si="82"/>
        <v>206</v>
      </c>
      <c r="AA85" s="4">
        <f t="shared" si="83"/>
        <v>23</v>
      </c>
      <c r="AB85" s="4">
        <f t="shared" si="84"/>
        <v>338</v>
      </c>
      <c r="AC85" s="5">
        <f t="shared" si="105"/>
        <v>361</v>
      </c>
      <c r="AD85" s="5"/>
      <c r="AE85" s="8">
        <f t="shared" si="85"/>
        <v>4056344.2679746901</v>
      </c>
      <c r="AF85" s="9">
        <f t="shared" si="86"/>
        <v>688</v>
      </c>
      <c r="AG85" s="4">
        <f t="shared" si="87"/>
        <v>0</v>
      </c>
      <c r="AH85" s="4">
        <f t="shared" si="88"/>
        <v>708</v>
      </c>
      <c r="AI85" s="5">
        <f t="shared" si="106"/>
        <v>708</v>
      </c>
      <c r="AJ85" s="5">
        <f t="shared" si="89"/>
        <v>112.21800000000007</v>
      </c>
      <c r="AK85" s="8">
        <f t="shared" si="90"/>
        <v>1907706.0000000012</v>
      </c>
      <c r="AL85" s="9">
        <f t="shared" si="91"/>
        <v>801</v>
      </c>
      <c r="AM85" s="4">
        <f t="shared" si="92"/>
        <v>405</v>
      </c>
      <c r="AN85" s="4">
        <f t="shared" si="93"/>
        <v>373</v>
      </c>
      <c r="AO85" s="5">
        <f t="shared" si="107"/>
        <v>778</v>
      </c>
      <c r="AP85" s="5">
        <f t="shared" si="94"/>
        <v>683.39699999999993</v>
      </c>
      <c r="AQ85" s="8">
        <f t="shared" si="95"/>
        <v>11617749</v>
      </c>
      <c r="AR85" s="9">
        <f t="shared" si="96"/>
        <v>101.6</v>
      </c>
      <c r="AS85" s="4">
        <f t="shared" si="97"/>
        <v>769</v>
      </c>
      <c r="AT85" s="4">
        <f t="shared" si="98"/>
        <v>0</v>
      </c>
      <c r="AU85" s="5">
        <f t="shared" si="108"/>
        <v>769</v>
      </c>
      <c r="AV85" s="5"/>
      <c r="AW85" s="8">
        <f t="shared" si="100"/>
        <v>3284479</v>
      </c>
      <c r="AX85" s="3" t="str">
        <f t="shared" si="101"/>
        <v/>
      </c>
      <c r="AY85" s="3" t="str">
        <f t="shared" si="102"/>
        <v/>
      </c>
      <c r="AZ85" s="3" t="str">
        <f t="shared" si="103"/>
        <v/>
      </c>
      <c r="BA85" s="5">
        <f t="shared" si="109"/>
        <v>0</v>
      </c>
      <c r="BB85" s="709"/>
      <c r="BC85" s="711" t="str">
        <f t="shared" si="104"/>
        <v/>
      </c>
    </row>
    <row r="86" spans="1:55" ht="16.5" x14ac:dyDescent="0.3">
      <c r="A86" s="712" t="s">
        <v>63</v>
      </c>
      <c r="B86" s="9">
        <v>3</v>
      </c>
      <c r="C86" s="4">
        <v>2.75</v>
      </c>
      <c r="D86" s="4">
        <v>0</v>
      </c>
      <c r="E86" s="5">
        <f t="shared" si="6"/>
        <v>2.75</v>
      </c>
      <c r="F86" s="5">
        <v>2.2522500000000001</v>
      </c>
      <c r="G86" s="8">
        <v>20625</v>
      </c>
      <c r="H86" s="9"/>
      <c r="I86" s="4"/>
      <c r="J86" s="4"/>
      <c r="K86" s="5">
        <f t="shared" si="7"/>
        <v>0</v>
      </c>
      <c r="L86" s="5"/>
      <c r="M86" s="8"/>
      <c r="N86" s="9"/>
      <c r="O86" s="4"/>
      <c r="P86" s="4"/>
      <c r="Q86" s="5">
        <f t="shared" si="8"/>
        <v>0</v>
      </c>
      <c r="R86" s="5"/>
      <c r="S86" s="8"/>
      <c r="T86" s="9" t="str">
        <f t="shared" si="77"/>
        <v/>
      </c>
      <c r="U86" s="4" t="str">
        <f t="shared" si="78"/>
        <v/>
      </c>
      <c r="V86" s="4" t="str">
        <f t="shared" si="79"/>
        <v/>
      </c>
      <c r="W86" s="5">
        <f t="shared" si="9"/>
        <v>0</v>
      </c>
      <c r="X86" s="5" t="str">
        <f t="shared" si="80"/>
        <v/>
      </c>
      <c r="Y86" s="8" t="str">
        <f t="shared" si="81"/>
        <v/>
      </c>
      <c r="Z86" s="9" t="str">
        <f t="shared" si="82"/>
        <v/>
      </c>
      <c r="AA86" s="4" t="str">
        <f t="shared" si="83"/>
        <v/>
      </c>
      <c r="AB86" s="4" t="str">
        <f t="shared" si="84"/>
        <v/>
      </c>
      <c r="AC86" s="5">
        <f t="shared" si="105"/>
        <v>0</v>
      </c>
      <c r="AD86" s="5"/>
      <c r="AE86" s="8" t="str">
        <f t="shared" si="85"/>
        <v/>
      </c>
      <c r="AF86" s="9" t="str">
        <f t="shared" si="86"/>
        <v/>
      </c>
      <c r="AG86" s="4" t="str">
        <f t="shared" si="87"/>
        <v/>
      </c>
      <c r="AH86" s="4" t="str">
        <f t="shared" si="88"/>
        <v/>
      </c>
      <c r="AI86" s="5">
        <f t="shared" si="106"/>
        <v>0</v>
      </c>
      <c r="AJ86" s="5" t="str">
        <f t="shared" si="89"/>
        <v/>
      </c>
      <c r="AK86" s="8" t="str">
        <f t="shared" si="90"/>
        <v/>
      </c>
      <c r="AL86" s="9" t="str">
        <f t="shared" si="91"/>
        <v/>
      </c>
      <c r="AM86" s="4" t="str">
        <f t="shared" si="92"/>
        <v/>
      </c>
      <c r="AN86" s="4" t="str">
        <f t="shared" si="93"/>
        <v/>
      </c>
      <c r="AO86" s="5">
        <f t="shared" si="107"/>
        <v>0</v>
      </c>
      <c r="AP86" s="5" t="str">
        <f t="shared" si="94"/>
        <v/>
      </c>
      <c r="AQ86" s="8" t="str">
        <f t="shared" si="95"/>
        <v/>
      </c>
      <c r="AR86" s="9">
        <f t="shared" si="96"/>
        <v>35</v>
      </c>
      <c r="AS86" s="4">
        <f t="shared" si="97"/>
        <v>65</v>
      </c>
      <c r="AT86" s="4">
        <f t="shared" si="98"/>
        <v>0</v>
      </c>
      <c r="AU86" s="5">
        <f t="shared" si="108"/>
        <v>65</v>
      </c>
      <c r="AV86" s="5"/>
      <c r="AW86" s="8">
        <f t="shared" si="100"/>
        <v>485550</v>
      </c>
      <c r="AX86" s="3" t="str">
        <f t="shared" si="101"/>
        <v/>
      </c>
      <c r="AY86" s="3" t="str">
        <f t="shared" si="102"/>
        <v/>
      </c>
      <c r="AZ86" s="3" t="str">
        <f t="shared" si="103"/>
        <v/>
      </c>
      <c r="BA86" s="5">
        <f t="shared" si="109"/>
        <v>0</v>
      </c>
      <c r="BB86" s="709"/>
      <c r="BC86" s="711" t="str">
        <f t="shared" si="104"/>
        <v/>
      </c>
    </row>
    <row r="87" spans="1:55" ht="16.5" x14ac:dyDescent="0.3">
      <c r="A87" s="712" t="s">
        <v>64</v>
      </c>
      <c r="B87" s="9">
        <v>4</v>
      </c>
      <c r="C87" s="4">
        <v>3.75</v>
      </c>
      <c r="D87" s="4">
        <v>0</v>
      </c>
      <c r="E87" s="5">
        <f t="shared" si="6"/>
        <v>3.75</v>
      </c>
      <c r="F87" s="5">
        <v>3.07125</v>
      </c>
      <c r="G87" s="8">
        <v>28125</v>
      </c>
      <c r="H87" s="9"/>
      <c r="I87" s="4"/>
      <c r="J87" s="4"/>
      <c r="K87" s="5">
        <f t="shared" si="7"/>
        <v>0</v>
      </c>
      <c r="L87" s="5"/>
      <c r="M87" s="8"/>
      <c r="N87" s="9"/>
      <c r="O87" s="4"/>
      <c r="P87" s="4"/>
      <c r="Q87" s="5">
        <f t="shared" si="8"/>
        <v>0</v>
      </c>
      <c r="R87" s="5"/>
      <c r="S87" s="8"/>
      <c r="T87" s="9">
        <f t="shared" si="77"/>
        <v>30</v>
      </c>
      <c r="U87" s="4">
        <f t="shared" si="78"/>
        <v>12.5</v>
      </c>
      <c r="V87" s="4">
        <f t="shared" si="79"/>
        <v>0</v>
      </c>
      <c r="W87" s="5">
        <f t="shared" si="9"/>
        <v>12.5</v>
      </c>
      <c r="X87" s="5">
        <f t="shared" si="80"/>
        <v>33.625</v>
      </c>
      <c r="Y87" s="8">
        <f t="shared" si="81"/>
        <v>571625</v>
      </c>
      <c r="Z87" s="9">
        <f t="shared" si="82"/>
        <v>650</v>
      </c>
      <c r="AA87" s="4">
        <f t="shared" si="83"/>
        <v>7.5</v>
      </c>
      <c r="AB87" s="4">
        <f t="shared" si="84"/>
        <v>16.5</v>
      </c>
      <c r="AC87" s="5">
        <f t="shared" si="105"/>
        <v>24</v>
      </c>
      <c r="AD87" s="5"/>
      <c r="AE87" s="8">
        <f t="shared" si="85"/>
        <v>7358556.2480625799</v>
      </c>
      <c r="AF87" s="9" t="str">
        <f t="shared" si="86"/>
        <v/>
      </c>
      <c r="AG87" s="4" t="str">
        <f t="shared" si="87"/>
        <v/>
      </c>
      <c r="AH87" s="4" t="str">
        <f t="shared" si="88"/>
        <v/>
      </c>
      <c r="AI87" s="5">
        <f t="shared" si="106"/>
        <v>0</v>
      </c>
      <c r="AJ87" s="5" t="str">
        <f t="shared" si="89"/>
        <v/>
      </c>
      <c r="AK87" s="8" t="str">
        <f t="shared" si="90"/>
        <v/>
      </c>
      <c r="AL87" s="9">
        <f t="shared" si="91"/>
        <v>250</v>
      </c>
      <c r="AM87" s="4">
        <f t="shared" si="92"/>
        <v>0</v>
      </c>
      <c r="AN87" s="4">
        <f t="shared" si="93"/>
        <v>274.2</v>
      </c>
      <c r="AO87" s="5">
        <f t="shared" si="107"/>
        <v>274.2</v>
      </c>
      <c r="AP87" s="5">
        <f t="shared" si="94"/>
        <v>96.244199999999992</v>
      </c>
      <c r="AQ87" s="8">
        <f t="shared" si="95"/>
        <v>1636151.4</v>
      </c>
      <c r="AR87" s="9">
        <f t="shared" si="96"/>
        <v>0</v>
      </c>
      <c r="AS87" s="4">
        <f t="shared" si="97"/>
        <v>0</v>
      </c>
      <c r="AT87" s="4">
        <f t="shared" si="98"/>
        <v>0</v>
      </c>
      <c r="AU87" s="5">
        <f t="shared" si="108"/>
        <v>0</v>
      </c>
      <c r="AV87" s="5"/>
      <c r="AW87" s="8">
        <f t="shared" si="100"/>
        <v>0</v>
      </c>
      <c r="AX87" s="3" t="str">
        <f t="shared" si="101"/>
        <v/>
      </c>
      <c r="AY87" s="3" t="str">
        <f t="shared" si="102"/>
        <v/>
      </c>
      <c r="AZ87" s="3" t="str">
        <f t="shared" si="103"/>
        <v/>
      </c>
      <c r="BA87" s="5">
        <f t="shared" si="109"/>
        <v>0</v>
      </c>
      <c r="BB87" s="709"/>
      <c r="BC87" s="711" t="str">
        <f t="shared" si="104"/>
        <v/>
      </c>
    </row>
    <row r="88" spans="1:55" ht="16.5" x14ac:dyDescent="0.3">
      <c r="A88" s="712" t="s">
        <v>135</v>
      </c>
      <c r="B88" s="9"/>
      <c r="C88" s="4"/>
      <c r="D88" s="4"/>
      <c r="G88" s="8"/>
      <c r="H88" s="9"/>
      <c r="I88" s="4"/>
      <c r="J88" s="4"/>
      <c r="K88" s="5"/>
      <c r="L88" s="5"/>
      <c r="M88" s="8"/>
      <c r="N88" s="9"/>
      <c r="O88" s="4"/>
      <c r="P88" s="4"/>
      <c r="Q88" s="5"/>
      <c r="R88" s="5"/>
      <c r="S88" s="8"/>
      <c r="T88" s="9">
        <f t="shared" si="77"/>
        <v>6</v>
      </c>
      <c r="U88" s="4">
        <f t="shared" si="78"/>
        <v>0</v>
      </c>
      <c r="V88" s="4">
        <f t="shared" si="79"/>
        <v>2</v>
      </c>
      <c r="W88" s="5"/>
      <c r="X88" s="5">
        <f t="shared" si="80"/>
        <v>0</v>
      </c>
      <c r="Y88" s="8">
        <f t="shared" si="81"/>
        <v>0</v>
      </c>
      <c r="Z88" s="9" t="str">
        <f t="shared" si="82"/>
        <v/>
      </c>
      <c r="AA88" s="4" t="str">
        <f t="shared" si="83"/>
        <v/>
      </c>
      <c r="AB88" s="4" t="str">
        <f t="shared" si="84"/>
        <v/>
      </c>
      <c r="AC88" s="5">
        <f t="shared" si="105"/>
        <v>0</v>
      </c>
      <c r="AD88" s="5"/>
      <c r="AE88" s="8" t="str">
        <f t="shared" si="85"/>
        <v/>
      </c>
      <c r="AF88" s="9" t="str">
        <f t="shared" si="86"/>
        <v/>
      </c>
      <c r="AG88" s="4" t="str">
        <f t="shared" si="87"/>
        <v/>
      </c>
      <c r="AH88" s="4" t="str">
        <f t="shared" si="88"/>
        <v/>
      </c>
      <c r="AI88" s="5">
        <f t="shared" si="106"/>
        <v>0</v>
      </c>
      <c r="AJ88" s="5" t="str">
        <f t="shared" si="89"/>
        <v/>
      </c>
      <c r="AK88" s="8" t="str">
        <f t="shared" si="90"/>
        <v/>
      </c>
      <c r="AL88" s="9">
        <f t="shared" si="91"/>
        <v>6</v>
      </c>
      <c r="AM88" s="4">
        <f t="shared" si="92"/>
        <v>4</v>
      </c>
      <c r="AN88" s="4">
        <f t="shared" si="93"/>
        <v>0</v>
      </c>
      <c r="AO88" s="5">
        <f t="shared" si="107"/>
        <v>4</v>
      </c>
      <c r="AP88" s="5">
        <f t="shared" si="94"/>
        <v>1.4039999999999999</v>
      </c>
      <c r="AQ88" s="8">
        <f t="shared" si="95"/>
        <v>23868</v>
      </c>
      <c r="AR88" s="9">
        <f t="shared" si="96"/>
        <v>0</v>
      </c>
      <c r="AS88" s="4">
        <f t="shared" si="97"/>
        <v>0</v>
      </c>
      <c r="AT88" s="4">
        <f t="shared" si="98"/>
        <v>0</v>
      </c>
      <c r="AU88" s="5">
        <f t="shared" si="108"/>
        <v>0</v>
      </c>
      <c r="AV88" s="5"/>
      <c r="AW88" s="8">
        <f t="shared" si="100"/>
        <v>0</v>
      </c>
      <c r="AX88" s="3" t="str">
        <f t="shared" si="101"/>
        <v/>
      </c>
      <c r="AY88" s="3" t="str">
        <f t="shared" si="102"/>
        <v/>
      </c>
      <c r="AZ88" s="3" t="str">
        <f t="shared" si="103"/>
        <v/>
      </c>
      <c r="BA88" s="5">
        <f t="shared" si="109"/>
        <v>0</v>
      </c>
      <c r="BB88" s="709"/>
      <c r="BC88" s="711" t="str">
        <f t="shared" si="104"/>
        <v/>
      </c>
    </row>
    <row r="89" spans="1:55" ht="16.5" x14ac:dyDescent="0.3">
      <c r="A89" s="712" t="s">
        <v>65</v>
      </c>
      <c r="B89" s="9">
        <v>260</v>
      </c>
      <c r="C89" s="4">
        <v>200</v>
      </c>
      <c r="D89" s="4">
        <v>0</v>
      </c>
      <c r="E89" s="5">
        <f t="shared" si="6"/>
        <v>200</v>
      </c>
      <c r="F89" s="5">
        <v>163.80000000000001</v>
      </c>
      <c r="G89" s="8">
        <v>1500000</v>
      </c>
      <c r="H89" s="9"/>
      <c r="I89" s="4"/>
      <c r="J89" s="4"/>
      <c r="K89" s="5">
        <f t="shared" si="7"/>
        <v>0</v>
      </c>
      <c r="L89" s="5"/>
      <c r="M89" s="8"/>
      <c r="N89" s="9"/>
      <c r="O89" s="4"/>
      <c r="P89" s="4"/>
      <c r="Q89" s="5">
        <f t="shared" si="8"/>
        <v>0</v>
      </c>
      <c r="R89" s="5"/>
      <c r="S89" s="8"/>
      <c r="T89" s="9" t="str">
        <f t="shared" si="77"/>
        <v/>
      </c>
      <c r="U89" s="4" t="str">
        <f t="shared" si="78"/>
        <v/>
      </c>
      <c r="V89" s="4" t="str">
        <f t="shared" si="79"/>
        <v/>
      </c>
      <c r="W89" s="5">
        <f t="shared" si="9"/>
        <v>0</v>
      </c>
      <c r="X89" s="5" t="str">
        <f t="shared" si="80"/>
        <v/>
      </c>
      <c r="Y89" s="8" t="str">
        <f t="shared" si="81"/>
        <v/>
      </c>
      <c r="Z89" s="9" t="str">
        <f t="shared" si="82"/>
        <v/>
      </c>
      <c r="AA89" s="4" t="str">
        <f t="shared" si="83"/>
        <v/>
      </c>
      <c r="AB89" s="4" t="str">
        <f t="shared" si="84"/>
        <v/>
      </c>
      <c r="AC89" s="5">
        <f t="shared" si="105"/>
        <v>0</v>
      </c>
      <c r="AD89" s="5"/>
      <c r="AE89" s="8" t="str">
        <f t="shared" si="85"/>
        <v/>
      </c>
      <c r="AF89" s="9" t="str">
        <f t="shared" si="86"/>
        <v/>
      </c>
      <c r="AG89" s="4" t="str">
        <f t="shared" si="87"/>
        <v/>
      </c>
      <c r="AH89" s="4" t="str">
        <f t="shared" si="88"/>
        <v/>
      </c>
      <c r="AI89" s="5">
        <f t="shared" si="106"/>
        <v>0</v>
      </c>
      <c r="AJ89" s="5" t="str">
        <f t="shared" si="89"/>
        <v/>
      </c>
      <c r="AK89" s="8" t="str">
        <f t="shared" si="90"/>
        <v/>
      </c>
      <c r="AL89" s="9" t="str">
        <f t="shared" si="91"/>
        <v/>
      </c>
      <c r="AM89" s="4" t="str">
        <f t="shared" si="92"/>
        <v/>
      </c>
      <c r="AN89" s="4" t="str">
        <f t="shared" si="93"/>
        <v/>
      </c>
      <c r="AO89" s="5">
        <f t="shared" si="107"/>
        <v>0</v>
      </c>
      <c r="AP89" s="5" t="str">
        <f t="shared" si="94"/>
        <v/>
      </c>
      <c r="AQ89" s="8" t="str">
        <f t="shared" si="95"/>
        <v/>
      </c>
      <c r="AR89" s="9">
        <f t="shared" si="96"/>
        <v>34</v>
      </c>
      <c r="AS89" s="4">
        <f t="shared" si="97"/>
        <v>21</v>
      </c>
      <c r="AT89" s="4">
        <f t="shared" si="98"/>
        <v>0</v>
      </c>
      <c r="AU89" s="5">
        <f t="shared" si="108"/>
        <v>21</v>
      </c>
      <c r="AV89" s="5"/>
      <c r="AW89" s="8">
        <f t="shared" si="100"/>
        <v>156870</v>
      </c>
      <c r="AX89" s="3">
        <f t="shared" si="101"/>
        <v>30</v>
      </c>
      <c r="AY89" s="3">
        <f t="shared" si="102"/>
        <v>0</v>
      </c>
      <c r="AZ89" s="3">
        <f t="shared" si="103"/>
        <v>29.01</v>
      </c>
      <c r="BA89" s="5">
        <f t="shared" si="109"/>
        <v>29.01</v>
      </c>
      <c r="BB89" s="709"/>
      <c r="BC89" s="711">
        <f t="shared" si="104"/>
        <v>241795.43821561337</v>
      </c>
    </row>
    <row r="90" spans="1:55" ht="16.5" x14ac:dyDescent="0.3">
      <c r="A90" s="712" t="s">
        <v>66</v>
      </c>
      <c r="B90" s="9">
        <v>426</v>
      </c>
      <c r="C90" s="4">
        <v>227</v>
      </c>
      <c r="D90" s="4">
        <v>24</v>
      </c>
      <c r="E90" s="5">
        <f t="shared" si="6"/>
        <v>251</v>
      </c>
      <c r="F90" s="5">
        <v>205.56899999999999</v>
      </c>
      <c r="G90" s="8">
        <v>1882500</v>
      </c>
      <c r="H90" s="9"/>
      <c r="I90" s="4"/>
      <c r="J90" s="4"/>
      <c r="K90" s="5">
        <f t="shared" ref="K90:K153" si="110">SUM(I90:J90)</f>
        <v>0</v>
      </c>
      <c r="L90" s="5"/>
      <c r="M90" s="8"/>
      <c r="N90" s="9"/>
      <c r="O90" s="4"/>
      <c r="P90" s="4"/>
      <c r="Q90" s="5">
        <f t="shared" ref="Q90:Q153" si="111">SUM(O90:P90)</f>
        <v>0</v>
      </c>
      <c r="R90" s="5"/>
      <c r="S90" s="8"/>
      <c r="T90" s="9" t="str">
        <f t="shared" si="77"/>
        <v/>
      </c>
      <c r="U90" s="4" t="str">
        <f t="shared" si="78"/>
        <v/>
      </c>
      <c r="V90" s="4" t="str">
        <f t="shared" si="79"/>
        <v/>
      </c>
      <c r="W90" s="5">
        <f t="shared" ref="W90:W130" si="112">SUM(U90:V90)</f>
        <v>0</v>
      </c>
      <c r="X90" s="5" t="str">
        <f t="shared" si="80"/>
        <v/>
      </c>
      <c r="Y90" s="8" t="str">
        <f t="shared" si="81"/>
        <v/>
      </c>
      <c r="Z90" s="9" t="str">
        <f t="shared" si="82"/>
        <v/>
      </c>
      <c r="AA90" s="4" t="str">
        <f t="shared" si="83"/>
        <v/>
      </c>
      <c r="AB90" s="4" t="str">
        <f t="shared" si="84"/>
        <v/>
      </c>
      <c r="AC90" s="5">
        <f t="shared" si="105"/>
        <v>0</v>
      </c>
      <c r="AD90" s="5"/>
      <c r="AE90" s="8" t="str">
        <f t="shared" si="85"/>
        <v/>
      </c>
      <c r="AF90" s="9" t="str">
        <f t="shared" si="86"/>
        <v/>
      </c>
      <c r="AG90" s="4" t="str">
        <f t="shared" si="87"/>
        <v/>
      </c>
      <c r="AH90" s="4" t="str">
        <f t="shared" si="88"/>
        <v/>
      </c>
      <c r="AI90" s="5">
        <f t="shared" si="106"/>
        <v>0</v>
      </c>
      <c r="AJ90" s="5" t="str">
        <f t="shared" si="89"/>
        <v/>
      </c>
      <c r="AK90" s="8" t="str">
        <f t="shared" si="90"/>
        <v/>
      </c>
      <c r="AL90" s="9">
        <f t="shared" si="91"/>
        <v>265</v>
      </c>
      <c r="AM90" s="4">
        <f t="shared" si="92"/>
        <v>248.5</v>
      </c>
      <c r="AN90" s="4">
        <f t="shared" si="93"/>
        <v>0</v>
      </c>
      <c r="AO90" s="5">
        <f t="shared" si="107"/>
        <v>248.5</v>
      </c>
      <c r="AP90" s="5">
        <f t="shared" si="94"/>
        <v>168.65549999999999</v>
      </c>
      <c r="AQ90" s="8">
        <f t="shared" si="95"/>
        <v>2867143.5</v>
      </c>
      <c r="AR90" s="9">
        <f t="shared" si="96"/>
        <v>358</v>
      </c>
      <c r="AS90" s="4">
        <f t="shared" si="97"/>
        <v>447</v>
      </c>
      <c r="AT90" s="4">
        <f t="shared" si="98"/>
        <v>0</v>
      </c>
      <c r="AU90" s="5">
        <f t="shared" si="108"/>
        <v>447</v>
      </c>
      <c r="AV90" s="5"/>
      <c r="AW90" s="8">
        <f t="shared" si="100"/>
        <v>3339090</v>
      </c>
      <c r="AX90" s="3" t="str">
        <f t="shared" si="101"/>
        <v/>
      </c>
      <c r="AY90" s="3" t="str">
        <f t="shared" si="102"/>
        <v/>
      </c>
      <c r="AZ90" s="3" t="str">
        <f t="shared" si="103"/>
        <v/>
      </c>
      <c r="BA90" s="5">
        <f t="shared" si="109"/>
        <v>0</v>
      </c>
      <c r="BB90" s="709"/>
      <c r="BC90" s="711" t="str">
        <f t="shared" si="104"/>
        <v/>
      </c>
    </row>
    <row r="91" spans="1:55" ht="16.5" x14ac:dyDescent="0.3">
      <c r="A91" s="712" t="s">
        <v>230</v>
      </c>
      <c r="B91" s="9"/>
      <c r="C91" s="4"/>
      <c r="D91" s="4"/>
      <c r="G91" s="8"/>
      <c r="H91" s="9"/>
      <c r="I91" s="4"/>
      <c r="J91" s="4"/>
      <c r="K91" s="5"/>
      <c r="L91" s="5"/>
      <c r="M91" s="8"/>
      <c r="N91" s="9"/>
      <c r="O91" s="4"/>
      <c r="P91" s="4"/>
      <c r="Q91" s="5"/>
      <c r="R91" s="5"/>
      <c r="S91" s="8"/>
      <c r="T91" s="9"/>
      <c r="U91" s="4"/>
      <c r="V91" s="4"/>
      <c r="W91" s="5"/>
      <c r="X91" s="5"/>
      <c r="Y91" s="8"/>
      <c r="Z91" s="9"/>
      <c r="AA91" s="4"/>
      <c r="AB91" s="4"/>
      <c r="AC91" s="5"/>
      <c r="AD91" s="5"/>
      <c r="AE91" s="8"/>
      <c r="AF91" s="9"/>
      <c r="AG91" s="4"/>
      <c r="AH91" s="4"/>
      <c r="AI91" s="5"/>
      <c r="AJ91" s="5"/>
      <c r="AK91" s="8"/>
      <c r="AL91" s="9">
        <f t="shared" si="91"/>
        <v>200</v>
      </c>
      <c r="AM91" s="4">
        <f t="shared" si="92"/>
        <v>191</v>
      </c>
      <c r="AN91" s="4">
        <f t="shared" si="93"/>
        <v>0</v>
      </c>
      <c r="AO91" s="5">
        <f t="shared" ref="AO91" si="113">SUM(AM91:AN91)</f>
        <v>191</v>
      </c>
      <c r="AP91" s="5">
        <f t="shared" si="94"/>
        <v>67.040999999999997</v>
      </c>
      <c r="AQ91" s="8">
        <f t="shared" si="95"/>
        <v>1139697</v>
      </c>
      <c r="AR91" s="9">
        <f t="shared" si="96"/>
        <v>250</v>
      </c>
      <c r="AS91" s="4">
        <f t="shared" si="97"/>
        <v>275</v>
      </c>
      <c r="AT91" s="4">
        <f t="shared" si="98"/>
        <v>0</v>
      </c>
      <c r="AU91" s="5">
        <f t="shared" si="108"/>
        <v>275</v>
      </c>
      <c r="AV91" s="5"/>
      <c r="AW91" s="8">
        <f t="shared" si="100"/>
        <v>2054250</v>
      </c>
      <c r="AX91" s="3" t="str">
        <f t="shared" si="101"/>
        <v/>
      </c>
      <c r="AY91" s="3" t="str">
        <f t="shared" si="102"/>
        <v/>
      </c>
      <c r="AZ91" s="3" t="str">
        <f t="shared" si="103"/>
        <v/>
      </c>
      <c r="BA91" s="5">
        <f t="shared" si="109"/>
        <v>0</v>
      </c>
      <c r="BB91" s="709"/>
      <c r="BC91" s="711" t="str">
        <f t="shared" si="104"/>
        <v/>
      </c>
    </row>
    <row r="92" spans="1:55" ht="16.5" x14ac:dyDescent="0.3">
      <c r="A92" s="712" t="s">
        <v>67</v>
      </c>
      <c r="B92" s="9">
        <v>35</v>
      </c>
      <c r="C92" s="4">
        <v>16.100000000000001</v>
      </c>
      <c r="D92" s="4">
        <v>2.7</v>
      </c>
      <c r="E92" s="5">
        <f t="shared" ref="E92:E153" si="114">SUM(C92:D92)</f>
        <v>18.8</v>
      </c>
      <c r="F92" s="5">
        <v>15.3972</v>
      </c>
      <c r="G92" s="8">
        <v>141000</v>
      </c>
      <c r="H92" s="9"/>
      <c r="I92" s="4"/>
      <c r="J92" s="4"/>
      <c r="K92" s="5">
        <f t="shared" si="110"/>
        <v>0</v>
      </c>
      <c r="L92" s="5"/>
      <c r="M92" s="8"/>
      <c r="N92" s="9"/>
      <c r="O92" s="4"/>
      <c r="P92" s="4"/>
      <c r="Q92" s="5">
        <f t="shared" si="111"/>
        <v>0</v>
      </c>
      <c r="R92" s="5"/>
      <c r="S92" s="8"/>
      <c r="T92" s="9" t="str">
        <f t="shared" ref="T92:T98" si="115">IFERROR(VLOOKUP(A92,Tisoy_wSamar,3,FALSE),"")</f>
        <v/>
      </c>
      <c r="U92" s="4" t="str">
        <f t="shared" ref="U92:U98" si="116">IFERROR(VLOOKUP(A92,Tisoy_wSamar,6,FALSE),"")</f>
        <v/>
      </c>
      <c r="V92" s="4" t="str">
        <f t="shared" ref="V92:V98" si="117">IFERROR(VLOOKUP(A92,Tisoy_wSamar,7,FALSE),"")</f>
        <v/>
      </c>
      <c r="W92" s="5">
        <f t="shared" si="112"/>
        <v>0</v>
      </c>
      <c r="X92" s="5" t="str">
        <f t="shared" ref="X92:X98" si="118">IFERROR(VLOOKUP(A92,Tisoy_wSamar,14,FALSE),"")</f>
        <v/>
      </c>
      <c r="Y92" s="8" t="str">
        <f t="shared" ref="Y92:Y98" si="119">IFERROR(VLOOKUP(A92,Tisoy_wSamar,16,FALSE),"")</f>
        <v/>
      </c>
      <c r="Z92" s="9" t="str">
        <f t="shared" ref="Z92:Z98" si="120">IFERROR(VLOOKUP(A92,Glenda_Samar,2,FALSE),"")</f>
        <v/>
      </c>
      <c r="AA92" s="4" t="str">
        <f t="shared" ref="AA92:AA98" si="121">IFERROR(VLOOKUP(A92,Glenda_Samar,5,FALSE),"")</f>
        <v/>
      </c>
      <c r="AB92" s="4" t="str">
        <f t="shared" ref="AB92:AB98" si="122">IFERROR(VLOOKUP(A92,Glenda_Samar,6,FALSE),"")</f>
        <v/>
      </c>
      <c r="AC92" s="5">
        <f t="shared" si="105"/>
        <v>0</v>
      </c>
      <c r="AD92" s="5"/>
      <c r="AE92" s="8" t="str">
        <f t="shared" ref="AE92:AE98" si="123">IFERROR(VLOOKUP(A92,Glenda_Samar,15,FALSE),"")</f>
        <v/>
      </c>
      <c r="AF92" s="9" t="str">
        <f t="shared" ref="AF92:AF98" si="124">IFERROR(VLOOKUP(A92,Nona_Samar,3,FALSE),"")</f>
        <v/>
      </c>
      <c r="AG92" s="4" t="str">
        <f t="shared" ref="AG92:AG98" si="125">IFERROR(VLOOKUP(A92,Nona_Samar,6,FALSE),"")</f>
        <v/>
      </c>
      <c r="AH92" s="4" t="str">
        <f t="shared" ref="AH92:AH98" si="126">IFERROR(VLOOKUP(A92,Nona_Samar,7,FALSE),"")</f>
        <v/>
      </c>
      <c r="AI92" s="5">
        <f t="shared" si="106"/>
        <v>0</v>
      </c>
      <c r="AJ92" s="5" t="str">
        <f t="shared" ref="AJ92:AJ98" si="127">IFERROR(VLOOKUP(A92,Nona_Samar,14,FALSE),"")</f>
        <v/>
      </c>
      <c r="AK92" s="8" t="str">
        <f t="shared" ref="AK92:AK98" si="128">IFERROR(VLOOKUP(A92,Nona_Samar,16,FALSE),"")</f>
        <v/>
      </c>
      <c r="AL92" s="9">
        <f t="shared" si="91"/>
        <v>58</v>
      </c>
      <c r="AM92" s="4">
        <f t="shared" si="92"/>
        <v>0</v>
      </c>
      <c r="AN92" s="4">
        <f t="shared" si="93"/>
        <v>48</v>
      </c>
      <c r="AO92" s="5">
        <f t="shared" si="107"/>
        <v>48</v>
      </c>
      <c r="AP92" s="5">
        <f t="shared" si="94"/>
        <v>16.847999999999999</v>
      </c>
      <c r="AQ92" s="8">
        <f t="shared" si="95"/>
        <v>286416</v>
      </c>
      <c r="AR92" s="9">
        <f t="shared" si="96"/>
        <v>84</v>
      </c>
      <c r="AS92" s="4">
        <f t="shared" si="97"/>
        <v>105</v>
      </c>
      <c r="AT92" s="4">
        <f t="shared" si="98"/>
        <v>0</v>
      </c>
      <c r="AU92" s="5">
        <f t="shared" si="108"/>
        <v>105</v>
      </c>
      <c r="AV92" s="5"/>
      <c r="AW92" s="8">
        <f t="shared" si="100"/>
        <v>784350</v>
      </c>
      <c r="AX92" s="3" t="str">
        <f t="shared" si="101"/>
        <v/>
      </c>
      <c r="AY92" s="3" t="str">
        <f t="shared" si="102"/>
        <v/>
      </c>
      <c r="AZ92" s="3" t="str">
        <f t="shared" si="103"/>
        <v/>
      </c>
      <c r="BA92" s="5">
        <f t="shared" si="109"/>
        <v>0</v>
      </c>
      <c r="BB92" s="709"/>
      <c r="BC92" s="711" t="str">
        <f t="shared" si="104"/>
        <v/>
      </c>
    </row>
    <row r="93" spans="1:55" ht="16.5" x14ac:dyDescent="0.3">
      <c r="A93" s="712" t="s">
        <v>133</v>
      </c>
      <c r="B93" s="9"/>
      <c r="C93" s="4"/>
      <c r="D93" s="4"/>
      <c r="G93" s="8"/>
      <c r="H93" s="9"/>
      <c r="I93" s="4"/>
      <c r="J93" s="4"/>
      <c r="K93" s="5"/>
      <c r="L93" s="5"/>
      <c r="M93" s="8"/>
      <c r="N93" s="9"/>
      <c r="O93" s="4"/>
      <c r="P93" s="4"/>
      <c r="Q93" s="5"/>
      <c r="R93" s="5"/>
      <c r="S93" s="8"/>
      <c r="T93" s="9">
        <f t="shared" si="115"/>
        <v>40</v>
      </c>
      <c r="U93" s="4">
        <f t="shared" si="116"/>
        <v>0</v>
      </c>
      <c r="V93" s="4">
        <f t="shared" si="117"/>
        <v>25</v>
      </c>
      <c r="W93" s="5"/>
      <c r="X93" s="5">
        <f t="shared" si="118"/>
        <v>24.25</v>
      </c>
      <c r="Y93" s="8">
        <f t="shared" si="119"/>
        <v>412250</v>
      </c>
      <c r="Z93" s="9" t="str">
        <f t="shared" si="120"/>
        <v/>
      </c>
      <c r="AA93" s="4" t="str">
        <f t="shared" si="121"/>
        <v/>
      </c>
      <c r="AB93" s="4" t="str">
        <f t="shared" si="122"/>
        <v/>
      </c>
      <c r="AC93" s="5">
        <f t="shared" si="105"/>
        <v>0</v>
      </c>
      <c r="AD93" s="5"/>
      <c r="AE93" s="8" t="str">
        <f t="shared" si="123"/>
        <v/>
      </c>
      <c r="AF93" s="9" t="str">
        <f t="shared" si="124"/>
        <v/>
      </c>
      <c r="AG93" s="4" t="str">
        <f t="shared" si="125"/>
        <v/>
      </c>
      <c r="AH93" s="4" t="str">
        <f t="shared" si="126"/>
        <v/>
      </c>
      <c r="AI93" s="5">
        <f t="shared" si="106"/>
        <v>0</v>
      </c>
      <c r="AJ93" s="5" t="str">
        <f t="shared" si="127"/>
        <v/>
      </c>
      <c r="AK93" s="8" t="str">
        <f t="shared" si="128"/>
        <v/>
      </c>
      <c r="AL93" s="9" t="str">
        <f t="shared" si="91"/>
        <v/>
      </c>
      <c r="AM93" s="4" t="str">
        <f t="shared" si="92"/>
        <v/>
      </c>
      <c r="AN93" s="4" t="str">
        <f t="shared" si="93"/>
        <v/>
      </c>
      <c r="AO93" s="5">
        <f t="shared" si="107"/>
        <v>0</v>
      </c>
      <c r="AP93" s="5" t="str">
        <f t="shared" si="94"/>
        <v/>
      </c>
      <c r="AQ93" s="8" t="str">
        <f t="shared" si="95"/>
        <v/>
      </c>
      <c r="AR93" s="9">
        <f t="shared" si="96"/>
        <v>623</v>
      </c>
      <c r="AS93" s="4">
        <f t="shared" si="97"/>
        <v>654</v>
      </c>
      <c r="AT93" s="4">
        <f t="shared" si="98"/>
        <v>0</v>
      </c>
      <c r="AU93" s="5">
        <f t="shared" si="108"/>
        <v>654</v>
      </c>
      <c r="AV93" s="5"/>
      <c r="AW93" s="8">
        <f t="shared" si="100"/>
        <v>4885380</v>
      </c>
      <c r="AX93" s="3">
        <f t="shared" si="101"/>
        <v>40</v>
      </c>
      <c r="AY93" s="3">
        <f t="shared" si="102"/>
        <v>0</v>
      </c>
      <c r="AZ93" s="3">
        <f t="shared" si="103"/>
        <v>10</v>
      </c>
      <c r="BA93" s="5">
        <f t="shared" si="109"/>
        <v>10</v>
      </c>
      <c r="BB93" s="709"/>
      <c r="BC93" s="711">
        <f t="shared" si="104"/>
        <v>22493.308550185877</v>
      </c>
    </row>
    <row r="94" spans="1:55" ht="16.5" x14ac:dyDescent="0.3">
      <c r="A94" s="712" t="s">
        <v>134</v>
      </c>
      <c r="B94" s="9"/>
      <c r="C94" s="4"/>
      <c r="D94" s="4"/>
      <c r="G94" s="8"/>
      <c r="H94" s="9"/>
      <c r="I94" s="4"/>
      <c r="J94" s="4"/>
      <c r="K94" s="5"/>
      <c r="L94" s="5"/>
      <c r="M94" s="8"/>
      <c r="N94" s="9"/>
      <c r="O94" s="4"/>
      <c r="P94" s="4"/>
      <c r="Q94" s="5"/>
      <c r="R94" s="5"/>
      <c r="S94" s="8"/>
      <c r="T94" s="9">
        <f t="shared" si="115"/>
        <v>141</v>
      </c>
      <c r="U94" s="4">
        <f t="shared" si="116"/>
        <v>0</v>
      </c>
      <c r="V94" s="4">
        <f t="shared" si="117"/>
        <v>96</v>
      </c>
      <c r="W94" s="5"/>
      <c r="X94" s="5">
        <f t="shared" si="118"/>
        <v>116.16</v>
      </c>
      <c r="Y94" s="8">
        <f t="shared" si="119"/>
        <v>1974720</v>
      </c>
      <c r="Z94" s="9">
        <f t="shared" si="120"/>
        <v>310</v>
      </c>
      <c r="AA94" s="4">
        <f t="shared" si="121"/>
        <v>165.55</v>
      </c>
      <c r="AB94" s="4">
        <f t="shared" si="122"/>
        <v>122.35000000000001</v>
      </c>
      <c r="AC94" s="5">
        <f t="shared" si="105"/>
        <v>287.90000000000003</v>
      </c>
      <c r="AD94" s="5"/>
      <c r="AE94" s="8">
        <f t="shared" si="123"/>
        <v>8424552.6447366029</v>
      </c>
      <c r="AF94" s="9">
        <f t="shared" si="124"/>
        <v>17</v>
      </c>
      <c r="AG94" s="4">
        <f t="shared" si="125"/>
        <v>0</v>
      </c>
      <c r="AH94" s="4">
        <f t="shared" si="126"/>
        <v>17</v>
      </c>
      <c r="AI94" s="5">
        <f t="shared" si="106"/>
        <v>17</v>
      </c>
      <c r="AJ94" s="5">
        <f t="shared" si="127"/>
        <v>2.6945000000000019</v>
      </c>
      <c r="AK94" s="8">
        <f t="shared" si="128"/>
        <v>45806.500000000029</v>
      </c>
      <c r="AL94" s="9">
        <f t="shared" si="91"/>
        <v>1131</v>
      </c>
      <c r="AM94" s="4">
        <f t="shared" si="92"/>
        <v>944.30000000000007</v>
      </c>
      <c r="AN94" s="4">
        <f t="shared" si="93"/>
        <v>305</v>
      </c>
      <c r="AO94" s="5">
        <f t="shared" si="107"/>
        <v>1249.3000000000002</v>
      </c>
      <c r="AP94" s="5">
        <f t="shared" si="94"/>
        <v>1014.2671499999999</v>
      </c>
      <c r="AQ94" s="8">
        <f t="shared" si="95"/>
        <v>17242541.550000001</v>
      </c>
      <c r="AR94" s="9">
        <f t="shared" si="96"/>
        <v>839</v>
      </c>
      <c r="AS94" s="4">
        <f t="shared" si="97"/>
        <v>799</v>
      </c>
      <c r="AT94" s="4">
        <f t="shared" si="98"/>
        <v>0</v>
      </c>
      <c r="AU94" s="5">
        <f t="shared" si="108"/>
        <v>799</v>
      </c>
      <c r="AV94" s="5"/>
      <c r="AW94" s="8">
        <f t="shared" si="100"/>
        <v>26929048</v>
      </c>
      <c r="AX94" s="3" t="str">
        <f t="shared" si="101"/>
        <v/>
      </c>
      <c r="AY94" s="3" t="str">
        <f t="shared" si="102"/>
        <v/>
      </c>
      <c r="AZ94" s="3" t="str">
        <f t="shared" si="103"/>
        <v/>
      </c>
      <c r="BA94" s="5">
        <f t="shared" si="109"/>
        <v>0</v>
      </c>
      <c r="BB94" s="709"/>
      <c r="BC94" s="711" t="str">
        <f t="shared" si="104"/>
        <v/>
      </c>
    </row>
    <row r="95" spans="1:55" ht="16.5" x14ac:dyDescent="0.3">
      <c r="A95" s="712" t="s">
        <v>68</v>
      </c>
      <c r="B95" s="9">
        <v>12</v>
      </c>
      <c r="C95" s="4">
        <v>0</v>
      </c>
      <c r="D95" s="4">
        <v>5.75</v>
      </c>
      <c r="E95" s="5">
        <f t="shared" si="114"/>
        <v>5.75</v>
      </c>
      <c r="F95" s="5">
        <v>4.7092499999999999</v>
      </c>
      <c r="G95" s="8">
        <v>43125</v>
      </c>
      <c r="H95" s="9"/>
      <c r="I95" s="4"/>
      <c r="J95" s="4"/>
      <c r="K95" s="5">
        <f t="shared" si="110"/>
        <v>0</v>
      </c>
      <c r="L95" s="5"/>
      <c r="M95" s="8"/>
      <c r="N95" s="9">
        <v>100</v>
      </c>
      <c r="O95" s="4"/>
      <c r="P95" s="4">
        <v>164.75</v>
      </c>
      <c r="Q95" s="5">
        <f t="shared" si="111"/>
        <v>164.75</v>
      </c>
      <c r="R95" s="5">
        <v>197.7</v>
      </c>
      <c r="S95" s="8">
        <f>Q95*1000*R95</f>
        <v>32571074.999999996</v>
      </c>
      <c r="T95" s="9" t="str">
        <f t="shared" si="115"/>
        <v/>
      </c>
      <c r="U95" s="4" t="str">
        <f t="shared" si="116"/>
        <v/>
      </c>
      <c r="V95" s="4" t="str">
        <f t="shared" si="117"/>
        <v/>
      </c>
      <c r="W95" s="5">
        <f t="shared" si="112"/>
        <v>0</v>
      </c>
      <c r="X95" s="5" t="str">
        <f t="shared" si="118"/>
        <v/>
      </c>
      <c r="Y95" s="8" t="str">
        <f t="shared" si="119"/>
        <v/>
      </c>
      <c r="Z95" s="9">
        <f t="shared" si="120"/>
        <v>70</v>
      </c>
      <c r="AA95" s="4">
        <f t="shared" si="121"/>
        <v>21.75</v>
      </c>
      <c r="AB95" s="4">
        <f t="shared" si="122"/>
        <v>14</v>
      </c>
      <c r="AC95" s="5">
        <f t="shared" si="105"/>
        <v>35.75</v>
      </c>
      <c r="AD95" s="5"/>
      <c r="AE95" s="8">
        <f t="shared" si="123"/>
        <v>964401.68304735492</v>
      </c>
      <c r="AF95" s="9" t="str">
        <f t="shared" si="124"/>
        <v/>
      </c>
      <c r="AG95" s="4" t="str">
        <f t="shared" si="125"/>
        <v/>
      </c>
      <c r="AH95" s="4" t="str">
        <f t="shared" si="126"/>
        <v/>
      </c>
      <c r="AI95" s="5">
        <f t="shared" si="106"/>
        <v>0</v>
      </c>
      <c r="AJ95" s="5" t="str">
        <f t="shared" si="127"/>
        <v/>
      </c>
      <c r="AK95" s="8" t="str">
        <f t="shared" si="128"/>
        <v/>
      </c>
      <c r="AL95" s="9">
        <f t="shared" si="91"/>
        <v>40</v>
      </c>
      <c r="AM95" s="4">
        <f t="shared" si="92"/>
        <v>32</v>
      </c>
      <c r="AN95" s="4">
        <f t="shared" si="93"/>
        <v>0</v>
      </c>
      <c r="AO95" s="5">
        <f t="shared" si="107"/>
        <v>32</v>
      </c>
      <c r="AP95" s="5">
        <f t="shared" si="94"/>
        <v>11.231999999999999</v>
      </c>
      <c r="AQ95" s="8">
        <f t="shared" si="95"/>
        <v>190944</v>
      </c>
      <c r="AR95" s="9">
        <f t="shared" si="96"/>
        <v>0</v>
      </c>
      <c r="AS95" s="4">
        <f t="shared" si="97"/>
        <v>0</v>
      </c>
      <c r="AT95" s="4">
        <f t="shared" si="98"/>
        <v>0</v>
      </c>
      <c r="AU95" s="5">
        <f t="shared" si="108"/>
        <v>0</v>
      </c>
      <c r="AV95" s="5"/>
      <c r="AW95" s="8">
        <f t="shared" si="100"/>
        <v>0</v>
      </c>
      <c r="AX95" s="3" t="str">
        <f t="shared" si="101"/>
        <v/>
      </c>
      <c r="AY95" s="3" t="str">
        <f t="shared" si="102"/>
        <v/>
      </c>
      <c r="AZ95" s="3" t="str">
        <f t="shared" si="103"/>
        <v/>
      </c>
      <c r="BA95" s="5">
        <f t="shared" si="109"/>
        <v>0</v>
      </c>
      <c r="BB95" s="709"/>
      <c r="BC95" s="711" t="str">
        <f t="shared" si="104"/>
        <v/>
      </c>
    </row>
    <row r="96" spans="1:55" ht="16.5" x14ac:dyDescent="0.3">
      <c r="A96" s="712" t="s">
        <v>69</v>
      </c>
      <c r="B96" s="9">
        <v>3</v>
      </c>
      <c r="C96" s="4">
        <v>3</v>
      </c>
      <c r="D96" s="4">
        <v>0</v>
      </c>
      <c r="E96" s="5">
        <f t="shared" si="114"/>
        <v>3</v>
      </c>
      <c r="F96" s="5">
        <v>2.4569999999999999</v>
      </c>
      <c r="G96" s="8">
        <v>22500</v>
      </c>
      <c r="H96" s="9"/>
      <c r="I96" s="4"/>
      <c r="J96" s="4"/>
      <c r="K96" s="5">
        <f t="shared" si="110"/>
        <v>0</v>
      </c>
      <c r="L96" s="5"/>
      <c r="M96" s="8"/>
      <c r="N96" s="9"/>
      <c r="O96" s="4"/>
      <c r="P96" s="4"/>
      <c r="Q96" s="5">
        <f t="shared" si="111"/>
        <v>0</v>
      </c>
      <c r="R96" s="5"/>
      <c r="S96" s="8"/>
      <c r="T96" s="9">
        <f t="shared" si="115"/>
        <v>2</v>
      </c>
      <c r="U96" s="4">
        <f t="shared" si="116"/>
        <v>0</v>
      </c>
      <c r="V96" s="4">
        <f t="shared" si="117"/>
        <v>2</v>
      </c>
      <c r="W96" s="5">
        <f t="shared" si="112"/>
        <v>2</v>
      </c>
      <c r="X96" s="5">
        <f t="shared" si="118"/>
        <v>1.3399999999999999</v>
      </c>
      <c r="Y96" s="8">
        <f t="shared" si="119"/>
        <v>22779.999999999996</v>
      </c>
      <c r="Z96" s="9">
        <f t="shared" si="120"/>
        <v>404</v>
      </c>
      <c r="AA96" s="4">
        <f t="shared" si="121"/>
        <v>81.760000000000005</v>
      </c>
      <c r="AB96" s="4">
        <f t="shared" si="122"/>
        <v>661.49</v>
      </c>
      <c r="AC96" s="5">
        <f t="shared" si="105"/>
        <v>743.25</v>
      </c>
      <c r="AD96" s="5"/>
      <c r="AE96" s="8">
        <f t="shared" si="123"/>
        <v>10246749.763634868</v>
      </c>
      <c r="AF96" s="9" t="str">
        <f t="shared" si="124"/>
        <v/>
      </c>
      <c r="AG96" s="4" t="str">
        <f t="shared" si="125"/>
        <v/>
      </c>
      <c r="AH96" s="4" t="str">
        <f t="shared" si="126"/>
        <v/>
      </c>
      <c r="AI96" s="5">
        <f t="shared" si="106"/>
        <v>0</v>
      </c>
      <c r="AJ96" s="5" t="str">
        <f t="shared" si="127"/>
        <v/>
      </c>
      <c r="AK96" s="8" t="str">
        <f t="shared" si="128"/>
        <v/>
      </c>
      <c r="AL96" s="9">
        <f t="shared" si="91"/>
        <v>523</v>
      </c>
      <c r="AM96" s="4">
        <f t="shared" si="92"/>
        <v>195.5</v>
      </c>
      <c r="AN96" s="4">
        <f t="shared" si="93"/>
        <v>345.75</v>
      </c>
      <c r="AO96" s="5">
        <f t="shared" si="107"/>
        <v>541.25</v>
      </c>
      <c r="AP96" s="5">
        <f t="shared" si="94"/>
        <v>295.45425</v>
      </c>
      <c r="AQ96" s="8">
        <f t="shared" si="95"/>
        <v>5022722.25</v>
      </c>
      <c r="AR96" s="9">
        <f t="shared" si="96"/>
        <v>0</v>
      </c>
      <c r="AS96" s="4">
        <f t="shared" si="97"/>
        <v>0</v>
      </c>
      <c r="AT96" s="4">
        <f t="shared" si="98"/>
        <v>0</v>
      </c>
      <c r="AU96" s="5">
        <f t="shared" si="108"/>
        <v>0</v>
      </c>
      <c r="AV96" s="5"/>
      <c r="AW96" s="8">
        <f t="shared" si="100"/>
        <v>0</v>
      </c>
      <c r="AX96" s="3" t="str">
        <f t="shared" si="101"/>
        <v/>
      </c>
      <c r="AY96" s="3" t="str">
        <f t="shared" si="102"/>
        <v/>
      </c>
      <c r="AZ96" s="3" t="str">
        <f t="shared" si="103"/>
        <v/>
      </c>
      <c r="BA96" s="5">
        <f t="shared" si="109"/>
        <v>0</v>
      </c>
      <c r="BB96" s="709"/>
      <c r="BC96" s="711" t="str">
        <f t="shared" si="104"/>
        <v/>
      </c>
    </row>
    <row r="97" spans="1:55" ht="16.5" x14ac:dyDescent="0.3">
      <c r="A97" s="712" t="s">
        <v>136</v>
      </c>
      <c r="B97" s="9"/>
      <c r="C97" s="4"/>
      <c r="D97" s="4"/>
      <c r="G97" s="8"/>
      <c r="H97" s="9"/>
      <c r="I97" s="4"/>
      <c r="J97" s="4"/>
      <c r="K97" s="5"/>
      <c r="L97" s="5"/>
      <c r="M97" s="8"/>
      <c r="N97" s="9"/>
      <c r="O97" s="4"/>
      <c r="P97" s="4"/>
      <c r="Q97" s="5"/>
      <c r="R97" s="5"/>
      <c r="S97" s="8"/>
      <c r="T97" s="9">
        <f t="shared" si="115"/>
        <v>221</v>
      </c>
      <c r="U97" s="4">
        <f t="shared" si="116"/>
        <v>0</v>
      </c>
      <c r="V97" s="4">
        <f t="shared" si="117"/>
        <v>110</v>
      </c>
      <c r="W97" s="5"/>
      <c r="X97" s="5">
        <f t="shared" si="118"/>
        <v>133.73000000000002</v>
      </c>
      <c r="Y97" s="8">
        <f t="shared" si="119"/>
        <v>2273410</v>
      </c>
      <c r="Z97" s="9">
        <f t="shared" si="120"/>
        <v>0</v>
      </c>
      <c r="AA97" s="4">
        <f t="shared" si="121"/>
        <v>7</v>
      </c>
      <c r="AB97" s="4">
        <f t="shared" si="122"/>
        <v>75</v>
      </c>
      <c r="AC97" s="5">
        <f t="shared" si="105"/>
        <v>82</v>
      </c>
      <c r="AD97" s="5"/>
      <c r="AE97" s="8">
        <f t="shared" si="123"/>
        <v>642585.67859812872</v>
      </c>
      <c r="AF97" s="9">
        <f t="shared" si="124"/>
        <v>150</v>
      </c>
      <c r="AG97" s="4">
        <f t="shared" si="125"/>
        <v>0</v>
      </c>
      <c r="AH97" s="4">
        <f t="shared" si="126"/>
        <v>144</v>
      </c>
      <c r="AI97" s="5">
        <f t="shared" si="106"/>
        <v>144</v>
      </c>
      <c r="AJ97" s="5">
        <f t="shared" si="127"/>
        <v>45.647999999999968</v>
      </c>
      <c r="AK97" s="8">
        <f t="shared" si="128"/>
        <v>776015.99999999953</v>
      </c>
      <c r="AL97" s="9">
        <f t="shared" si="91"/>
        <v>70</v>
      </c>
      <c r="AM97" s="4">
        <f t="shared" si="92"/>
        <v>0</v>
      </c>
      <c r="AN97" s="4">
        <f t="shared" si="93"/>
        <v>62</v>
      </c>
      <c r="AO97" s="5">
        <f t="shared" si="107"/>
        <v>62</v>
      </c>
      <c r="AP97" s="5">
        <f t="shared" si="94"/>
        <v>21.762</v>
      </c>
      <c r="AQ97" s="8">
        <f t="shared" si="95"/>
        <v>369954</v>
      </c>
      <c r="AR97" s="9">
        <f t="shared" si="96"/>
        <v>130</v>
      </c>
      <c r="AS97" s="4">
        <f t="shared" si="97"/>
        <v>149</v>
      </c>
      <c r="AT97" s="4">
        <f t="shared" si="98"/>
        <v>0</v>
      </c>
      <c r="AU97" s="5">
        <f t="shared" si="108"/>
        <v>149</v>
      </c>
      <c r="AV97" s="5"/>
      <c r="AW97" s="8">
        <f t="shared" si="100"/>
        <v>1113030</v>
      </c>
      <c r="AX97" s="3" t="str">
        <f t="shared" si="101"/>
        <v/>
      </c>
      <c r="AY97" s="3" t="str">
        <f t="shared" si="102"/>
        <v/>
      </c>
      <c r="AZ97" s="3" t="str">
        <f t="shared" si="103"/>
        <v/>
      </c>
      <c r="BA97" s="5">
        <f t="shared" si="109"/>
        <v>0</v>
      </c>
      <c r="BB97" s="709"/>
      <c r="BC97" s="711" t="str">
        <f t="shared" si="104"/>
        <v/>
      </c>
    </row>
    <row r="98" spans="1:55" ht="16.5" x14ac:dyDescent="0.3">
      <c r="A98" s="712" t="s">
        <v>70</v>
      </c>
      <c r="B98" s="9">
        <v>135</v>
      </c>
      <c r="C98" s="4">
        <v>527</v>
      </c>
      <c r="D98" s="4">
        <v>0</v>
      </c>
      <c r="E98" s="5">
        <f t="shared" si="114"/>
        <v>527</v>
      </c>
      <c r="F98" s="5">
        <v>431.613</v>
      </c>
      <c r="G98" s="8">
        <v>3952500</v>
      </c>
      <c r="H98" s="9"/>
      <c r="I98" s="4"/>
      <c r="J98" s="4"/>
      <c r="K98" s="5">
        <f t="shared" si="110"/>
        <v>0</v>
      </c>
      <c r="L98" s="5"/>
      <c r="M98" s="8"/>
      <c r="N98" s="9"/>
      <c r="O98" s="4"/>
      <c r="P98" s="4"/>
      <c r="Q98" s="5">
        <f t="shared" si="111"/>
        <v>0</v>
      </c>
      <c r="R98" s="5"/>
      <c r="S98" s="8"/>
      <c r="T98" s="9" t="str">
        <f t="shared" si="115"/>
        <v/>
      </c>
      <c r="U98" s="4" t="str">
        <f t="shared" si="116"/>
        <v/>
      </c>
      <c r="V98" s="4" t="str">
        <f t="shared" si="117"/>
        <v/>
      </c>
      <c r="W98" s="5">
        <f t="shared" si="112"/>
        <v>0</v>
      </c>
      <c r="X98" s="5" t="str">
        <f t="shared" si="118"/>
        <v/>
      </c>
      <c r="Y98" s="8" t="str">
        <f t="shared" si="119"/>
        <v/>
      </c>
      <c r="Z98" s="9" t="str">
        <f t="shared" si="120"/>
        <v/>
      </c>
      <c r="AA98" s="4" t="str">
        <f t="shared" si="121"/>
        <v/>
      </c>
      <c r="AB98" s="4" t="str">
        <f t="shared" si="122"/>
        <v/>
      </c>
      <c r="AC98" s="5">
        <f t="shared" si="105"/>
        <v>0</v>
      </c>
      <c r="AD98" s="5"/>
      <c r="AE98" s="8" t="str">
        <f t="shared" si="123"/>
        <v/>
      </c>
      <c r="AF98" s="9" t="str">
        <f t="shared" si="124"/>
        <v/>
      </c>
      <c r="AG98" s="4" t="str">
        <f t="shared" si="125"/>
        <v/>
      </c>
      <c r="AH98" s="4" t="str">
        <f t="shared" si="126"/>
        <v/>
      </c>
      <c r="AI98" s="5">
        <f t="shared" si="106"/>
        <v>0</v>
      </c>
      <c r="AJ98" s="5" t="str">
        <f t="shared" si="127"/>
        <v/>
      </c>
      <c r="AK98" s="8" t="str">
        <f t="shared" si="128"/>
        <v/>
      </c>
      <c r="AL98" s="9">
        <f t="shared" si="91"/>
        <v>495</v>
      </c>
      <c r="AM98" s="4">
        <f t="shared" si="92"/>
        <v>225</v>
      </c>
      <c r="AN98" s="4">
        <f t="shared" si="93"/>
        <v>387</v>
      </c>
      <c r="AO98" s="5">
        <f t="shared" si="107"/>
        <v>612</v>
      </c>
      <c r="AP98" s="5">
        <f t="shared" si="94"/>
        <v>556.68599999999992</v>
      </c>
      <c r="AQ98" s="8">
        <f t="shared" si="95"/>
        <v>9463661.9999999981</v>
      </c>
      <c r="AR98" s="9">
        <f t="shared" si="96"/>
        <v>1190</v>
      </c>
      <c r="AS98" s="4">
        <f t="shared" si="97"/>
        <v>1260</v>
      </c>
      <c r="AT98" s="4">
        <f t="shared" si="98"/>
        <v>0</v>
      </c>
      <c r="AU98" s="5">
        <f t="shared" si="108"/>
        <v>1260</v>
      </c>
      <c r="AV98" s="5"/>
      <c r="AW98" s="8">
        <f t="shared" si="100"/>
        <v>9412200</v>
      </c>
      <c r="AX98" s="3" t="str">
        <f t="shared" si="101"/>
        <v/>
      </c>
      <c r="AY98" s="3" t="str">
        <f t="shared" si="102"/>
        <v/>
      </c>
      <c r="AZ98" s="3" t="str">
        <f t="shared" si="103"/>
        <v/>
      </c>
      <c r="BA98" s="5">
        <f t="shared" si="109"/>
        <v>0</v>
      </c>
      <c r="BB98" s="709"/>
      <c r="BC98" s="711" t="str">
        <f t="shared" si="104"/>
        <v/>
      </c>
    </row>
    <row r="99" spans="1:55" ht="16.5" x14ac:dyDescent="0.3">
      <c r="A99" s="712" t="s">
        <v>281</v>
      </c>
      <c r="B99" s="9"/>
      <c r="C99" s="4"/>
      <c r="D99" s="4"/>
      <c r="G99" s="8"/>
      <c r="H99" s="9"/>
      <c r="I99" s="4"/>
      <c r="J99" s="4"/>
      <c r="K99" s="5"/>
      <c r="L99" s="5"/>
      <c r="M99" s="8"/>
      <c r="N99" s="9"/>
      <c r="O99" s="4"/>
      <c r="P99" s="4"/>
      <c r="Q99" s="5"/>
      <c r="R99" s="5"/>
      <c r="S99" s="8"/>
      <c r="T99" s="9"/>
      <c r="U99" s="4"/>
      <c r="V99" s="4"/>
      <c r="W99" s="5"/>
      <c r="X99" s="5"/>
      <c r="Y99" s="8"/>
      <c r="Z99" s="9"/>
      <c r="AA99" s="4"/>
      <c r="AB99" s="4"/>
      <c r="AC99" s="5"/>
      <c r="AD99" s="5"/>
      <c r="AE99" s="8"/>
      <c r="AF99" s="9"/>
      <c r="AG99" s="4"/>
      <c r="AH99" s="4"/>
      <c r="AI99" s="5"/>
      <c r="AJ99" s="5"/>
      <c r="AK99" s="8"/>
      <c r="AL99" s="9">
        <f t="shared" si="91"/>
        <v>16</v>
      </c>
      <c r="AM99" s="4">
        <f t="shared" si="92"/>
        <v>0</v>
      </c>
      <c r="AN99" s="4">
        <f t="shared" si="93"/>
        <v>14</v>
      </c>
      <c r="AO99" s="5">
        <f t="shared" ref="AO99" si="129">SUM(AM99:AN99)</f>
        <v>14</v>
      </c>
      <c r="AP99" s="5">
        <f t="shared" si="94"/>
        <v>14.741999999999999</v>
      </c>
      <c r="AQ99" s="8">
        <f t="shared" si="95"/>
        <v>250614</v>
      </c>
      <c r="AR99" s="9">
        <f t="shared" si="96"/>
        <v>64</v>
      </c>
      <c r="AS99" s="4">
        <f t="shared" si="97"/>
        <v>54</v>
      </c>
      <c r="AT99" s="4">
        <f t="shared" si="98"/>
        <v>0</v>
      </c>
      <c r="AU99" s="5">
        <f t="shared" si="108"/>
        <v>54</v>
      </c>
      <c r="AV99" s="5"/>
      <c r="AW99" s="8">
        <f t="shared" si="100"/>
        <v>403380</v>
      </c>
      <c r="AX99" s="3" t="str">
        <f t="shared" si="101"/>
        <v/>
      </c>
      <c r="AY99" s="3" t="str">
        <f t="shared" si="102"/>
        <v/>
      </c>
      <c r="AZ99" s="3" t="str">
        <f t="shared" si="103"/>
        <v/>
      </c>
      <c r="BA99" s="5">
        <f t="shared" si="109"/>
        <v>0</v>
      </c>
      <c r="BB99" s="709"/>
      <c r="BC99" s="711" t="str">
        <f t="shared" si="104"/>
        <v/>
      </c>
    </row>
    <row r="100" spans="1:55" ht="16.5" x14ac:dyDescent="0.3">
      <c r="A100" s="712" t="s">
        <v>287</v>
      </c>
      <c r="B100" s="9"/>
      <c r="C100" s="4"/>
      <c r="D100" s="4"/>
      <c r="G100" s="8"/>
      <c r="H100" s="9"/>
      <c r="I100" s="4"/>
      <c r="J100" s="4"/>
      <c r="K100" s="5"/>
      <c r="L100" s="5"/>
      <c r="M100" s="8"/>
      <c r="N100" s="9"/>
      <c r="O100" s="4"/>
      <c r="P100" s="4"/>
      <c r="Q100" s="5"/>
      <c r="R100" s="5"/>
      <c r="S100" s="8"/>
      <c r="T100" s="9"/>
      <c r="U100" s="4"/>
      <c r="V100" s="4"/>
      <c r="W100" s="5"/>
      <c r="X100" s="5"/>
      <c r="Y100" s="8"/>
      <c r="Z100" s="9"/>
      <c r="AA100" s="4"/>
      <c r="AB100" s="4"/>
      <c r="AC100" s="5"/>
      <c r="AD100" s="5"/>
      <c r="AE100" s="8"/>
      <c r="AF100" s="9"/>
      <c r="AG100" s="4"/>
      <c r="AH100" s="4"/>
      <c r="AI100" s="5"/>
      <c r="AJ100" s="5"/>
      <c r="AK100" s="8"/>
      <c r="AL100" s="9"/>
      <c r="AM100" s="4"/>
      <c r="AN100" s="4"/>
      <c r="AO100" s="5"/>
      <c r="AP100" s="5"/>
      <c r="AQ100" s="8"/>
      <c r="AR100" s="9"/>
      <c r="AS100" s="4"/>
      <c r="AT100" s="4"/>
      <c r="AU100" s="5"/>
      <c r="AV100" s="5"/>
      <c r="AW100" s="8"/>
      <c r="AX100" s="3">
        <f t="shared" si="101"/>
        <v>12</v>
      </c>
      <c r="AY100" s="3">
        <f t="shared" si="102"/>
        <v>0</v>
      </c>
      <c r="AZ100" s="3">
        <f t="shared" si="103"/>
        <v>15</v>
      </c>
      <c r="BA100" s="5">
        <f t="shared" ref="BA100" si="130">SUM(AY100:AZ100)</f>
        <v>15</v>
      </c>
      <c r="BB100" s="709"/>
      <c r="BC100" s="711">
        <f t="shared" si="104"/>
        <v>250046.98884758362</v>
      </c>
    </row>
    <row r="101" spans="1:55" ht="16.5" x14ac:dyDescent="0.3">
      <c r="A101" s="712" t="s">
        <v>71</v>
      </c>
      <c r="B101" s="9">
        <v>39</v>
      </c>
      <c r="C101" s="4">
        <v>32.799999999999997</v>
      </c>
      <c r="D101" s="4">
        <v>6.2</v>
      </c>
      <c r="E101" s="5">
        <f t="shared" si="114"/>
        <v>39</v>
      </c>
      <c r="F101" s="5">
        <v>31.940999999999999</v>
      </c>
      <c r="G101" s="8">
        <v>292500</v>
      </c>
      <c r="H101" s="9"/>
      <c r="I101" s="4"/>
      <c r="J101" s="4"/>
      <c r="K101" s="5">
        <f t="shared" si="110"/>
        <v>0</v>
      </c>
      <c r="L101" s="5"/>
      <c r="M101" s="8"/>
      <c r="N101" s="9"/>
      <c r="O101" s="4"/>
      <c r="P101" s="4"/>
      <c r="Q101" s="5">
        <f t="shared" si="111"/>
        <v>0</v>
      </c>
      <c r="R101" s="5"/>
      <c r="S101" s="8"/>
      <c r="T101" s="9" t="str">
        <f>IFERROR(VLOOKUP(A101,Tisoy_wSamar,3,FALSE),"")</f>
        <v/>
      </c>
      <c r="U101" s="4" t="str">
        <f>IFERROR(VLOOKUP(A101,Tisoy_wSamar,6,FALSE),"")</f>
        <v/>
      </c>
      <c r="V101" s="4" t="str">
        <f>IFERROR(VLOOKUP(A101,Tisoy_wSamar,7,FALSE),"")</f>
        <v/>
      </c>
      <c r="W101" s="5">
        <f t="shared" si="112"/>
        <v>0</v>
      </c>
      <c r="X101" s="5" t="str">
        <f>IFERROR(VLOOKUP(A101,Tisoy_wSamar,14,FALSE),"")</f>
        <v/>
      </c>
      <c r="Y101" s="8" t="str">
        <f>IFERROR(VLOOKUP(A101,Tisoy_wSamar,16,FALSE),"")</f>
        <v/>
      </c>
      <c r="Z101" s="9">
        <f>IFERROR(VLOOKUP(A101,Glenda_Samar,2,FALSE),"")</f>
        <v>150</v>
      </c>
      <c r="AA101" s="4">
        <f>IFERROR(VLOOKUP(A101,Glenda_Samar,5,FALSE),"")</f>
        <v>138</v>
      </c>
      <c r="AB101" s="4">
        <f>IFERROR(VLOOKUP(A101,Glenda_Samar,6,FALSE),"")</f>
        <v>0</v>
      </c>
      <c r="AC101" s="5">
        <f t="shared" si="105"/>
        <v>138</v>
      </c>
      <c r="AD101" s="5"/>
      <c r="AE101" s="8">
        <f>IFERROR(VLOOKUP(A101,Glenda_Samar,15,FALSE),"")</f>
        <v>6242624.6786163636</v>
      </c>
      <c r="AF101" s="9" t="str">
        <f>IFERROR(VLOOKUP(A101,Nona_Samar,3,FALSE),"")</f>
        <v/>
      </c>
      <c r="AG101" s="4" t="str">
        <f>IFERROR(VLOOKUP(A101,Nona_Samar,6,FALSE),"")</f>
        <v/>
      </c>
      <c r="AH101" s="4" t="str">
        <f>IFERROR(VLOOKUP(A101,Nona_Samar,7,FALSE),"")</f>
        <v/>
      </c>
      <c r="AI101" s="5">
        <f t="shared" si="106"/>
        <v>0</v>
      </c>
      <c r="AJ101" s="5" t="str">
        <f>IFERROR(VLOOKUP(A101,Nona_Samar,14,FALSE),"")</f>
        <v/>
      </c>
      <c r="AK101" s="8" t="str">
        <f>IFERROR(VLOOKUP(A101,Nona_Samar,16,FALSE),"")</f>
        <v/>
      </c>
      <c r="AL101" s="9">
        <f>IFERROR(VLOOKUP(A101,Ruby_Samar,3,FALSE),"")</f>
        <v>0</v>
      </c>
      <c r="AM101" s="4">
        <f>IFERROR(VLOOKUP(A101,Ruby_Samar,6,FALSE),"")</f>
        <v>62</v>
      </c>
      <c r="AN101" s="4">
        <f>IFERROR(VLOOKUP(A101,Ruby_Samar,7,FALSE),"")</f>
        <v>0</v>
      </c>
      <c r="AO101" s="5">
        <f t="shared" si="107"/>
        <v>62</v>
      </c>
      <c r="AP101" s="5">
        <f>IFERROR(VLOOKUP(A101,Ruby_Samar,14,FALSE),"")</f>
        <v>21.762</v>
      </c>
      <c r="AQ101" s="8">
        <f>IFERROR(VLOOKUP(A101,Ruby_Samar,16,FALSE),"")</f>
        <v>369954</v>
      </c>
      <c r="AR101" s="9">
        <f>IFERROR(VLOOKUP(A101,Urduja_Samar,3,FALSE),"")</f>
        <v>0</v>
      </c>
      <c r="AS101" s="4">
        <f>IFERROR(VLOOKUP(A101,Urduja_Samar,6,FALSE),"")</f>
        <v>271</v>
      </c>
      <c r="AT101" s="4">
        <f>IFERROR(VLOOKUP(A101,Urduja_Samar,7,FALSE),"")</f>
        <v>0</v>
      </c>
      <c r="AU101" s="5">
        <f t="shared" si="108"/>
        <v>271</v>
      </c>
      <c r="AV101" s="5"/>
      <c r="AW101" s="8">
        <f>IFERROR(VLOOKUP(A101,Urduja_Samar,17,FALSE),"")</f>
        <v>2024370</v>
      </c>
      <c r="AX101" s="3" t="str">
        <f t="shared" si="101"/>
        <v/>
      </c>
      <c r="AY101" s="3" t="str">
        <f t="shared" si="102"/>
        <v/>
      </c>
      <c r="AZ101" s="3" t="str">
        <f t="shared" si="103"/>
        <v/>
      </c>
      <c r="BA101" s="5">
        <f t="shared" si="109"/>
        <v>0</v>
      </c>
      <c r="BB101" s="709"/>
      <c r="BC101" s="711" t="str">
        <f t="shared" si="104"/>
        <v/>
      </c>
    </row>
    <row r="102" spans="1:55" ht="16.5" x14ac:dyDescent="0.3">
      <c r="A102" s="712" t="s">
        <v>266</v>
      </c>
      <c r="B102" s="9"/>
      <c r="C102" s="4"/>
      <c r="D102" s="4"/>
      <c r="G102" s="8"/>
      <c r="H102" s="9"/>
      <c r="I102" s="4"/>
      <c r="J102" s="4"/>
      <c r="K102" s="5"/>
      <c r="L102" s="5"/>
      <c r="M102" s="8"/>
      <c r="N102" s="9"/>
      <c r="O102" s="4"/>
      <c r="P102" s="4"/>
      <c r="Q102" s="5"/>
      <c r="R102" s="5"/>
      <c r="S102" s="8"/>
      <c r="T102" s="9"/>
      <c r="U102" s="4"/>
      <c r="V102" s="4"/>
      <c r="W102" s="5"/>
      <c r="X102" s="5"/>
      <c r="Y102" s="8"/>
      <c r="Z102" s="9"/>
      <c r="AA102" s="4"/>
      <c r="AB102" s="4"/>
      <c r="AC102" s="5"/>
      <c r="AD102" s="5"/>
      <c r="AE102" s="8"/>
      <c r="AF102" s="9"/>
      <c r="AG102" s="4"/>
      <c r="AH102" s="4"/>
      <c r="AI102" s="5"/>
      <c r="AJ102" s="5"/>
      <c r="AK102" s="8"/>
      <c r="AL102" s="9">
        <f>IFERROR(VLOOKUP(A102,Ruby_Samar,3,FALSE),"")</f>
        <v>2</v>
      </c>
      <c r="AM102" s="4">
        <f>IFERROR(VLOOKUP(A102,Ruby_Samar,6,FALSE),"")</f>
        <v>0</v>
      </c>
      <c r="AN102" s="4">
        <f>IFERROR(VLOOKUP(A102,Ruby_Samar,7,FALSE),"")</f>
        <v>2</v>
      </c>
      <c r="AO102" s="5">
        <f t="shared" ref="AO102" si="131">SUM(AM102:AN102)</f>
        <v>2</v>
      </c>
      <c r="AP102" s="5">
        <f>IFERROR(VLOOKUP(A102,Ruby_Samar,14,FALSE),"")</f>
        <v>2.1059999999999999</v>
      </c>
      <c r="AQ102" s="8">
        <f>IFERROR(VLOOKUP(A102,Ruby_Samar,16,FALSE),"")</f>
        <v>35802</v>
      </c>
      <c r="AR102" s="9">
        <f>IFERROR(VLOOKUP(A102,Urduja_Samar,3,FALSE),"")</f>
        <v>0</v>
      </c>
      <c r="AS102" s="4">
        <f>IFERROR(VLOOKUP(A102,Urduja_Samar,6,FALSE),"")</f>
        <v>0</v>
      </c>
      <c r="AT102" s="4">
        <f>IFERROR(VLOOKUP(A102,Urduja_Samar,7,FALSE),"")</f>
        <v>0</v>
      </c>
      <c r="AU102" s="5">
        <f t="shared" si="108"/>
        <v>0</v>
      </c>
      <c r="AV102" s="5"/>
      <c r="AW102" s="8">
        <f>IFERROR(VLOOKUP(A102,Urduja_Samar,17,FALSE),"")</f>
        <v>0</v>
      </c>
      <c r="AX102" s="3" t="str">
        <f t="shared" si="101"/>
        <v/>
      </c>
      <c r="AY102" s="3" t="str">
        <f t="shared" si="102"/>
        <v/>
      </c>
      <c r="AZ102" s="3" t="str">
        <f t="shared" si="103"/>
        <v/>
      </c>
      <c r="BA102" s="5">
        <f t="shared" si="109"/>
        <v>0</v>
      </c>
      <c r="BB102" s="709"/>
      <c r="BC102" s="711" t="str">
        <f t="shared" si="104"/>
        <v/>
      </c>
    </row>
    <row r="103" spans="1:55" ht="16.5" x14ac:dyDescent="0.3">
      <c r="A103" s="712" t="s">
        <v>72</v>
      </c>
      <c r="B103" s="9">
        <v>190</v>
      </c>
      <c r="C103" s="4">
        <v>190</v>
      </c>
      <c r="D103" s="4">
        <v>0</v>
      </c>
      <c r="E103" s="5">
        <f t="shared" si="114"/>
        <v>190</v>
      </c>
      <c r="F103" s="5">
        <v>155.60999999999999</v>
      </c>
      <c r="G103" s="8">
        <v>1425000</v>
      </c>
      <c r="H103" s="9"/>
      <c r="I103" s="4"/>
      <c r="J103" s="4"/>
      <c r="K103" s="5">
        <f t="shared" si="110"/>
        <v>0</v>
      </c>
      <c r="L103" s="5"/>
      <c r="M103" s="8"/>
      <c r="N103" s="9"/>
      <c r="O103" s="4"/>
      <c r="P103" s="4"/>
      <c r="Q103" s="5">
        <f t="shared" si="111"/>
        <v>0</v>
      </c>
      <c r="R103" s="5"/>
      <c r="S103" s="8"/>
      <c r="T103" s="9" t="str">
        <f>IFERROR(VLOOKUP(A103,Tisoy_wSamar,3,FALSE),"")</f>
        <v/>
      </c>
      <c r="U103" s="4" t="str">
        <f>IFERROR(VLOOKUP(A103,Tisoy_wSamar,6,FALSE),"")</f>
        <v/>
      </c>
      <c r="V103" s="4" t="str">
        <f>IFERROR(VLOOKUP(A103,Tisoy_wSamar,7,FALSE),"")</f>
        <v/>
      </c>
      <c r="W103" s="5">
        <f t="shared" si="112"/>
        <v>0</v>
      </c>
      <c r="X103" s="5" t="str">
        <f>IFERROR(VLOOKUP(A103,Tisoy_wSamar,14,FALSE),"")</f>
        <v/>
      </c>
      <c r="Y103" s="8" t="str">
        <f>IFERROR(VLOOKUP(A103,Tisoy_wSamar,16,FALSE),"")</f>
        <v/>
      </c>
      <c r="Z103" s="9">
        <f>IFERROR(VLOOKUP(A103,Glenda_Samar,2,FALSE),"")</f>
        <v>1656</v>
      </c>
      <c r="AA103" s="4">
        <f>IFERROR(VLOOKUP(A103,Glenda_Samar,5,FALSE),"")</f>
        <v>326.39999999999998</v>
      </c>
      <c r="AB103" s="4">
        <f>IFERROR(VLOOKUP(A103,Glenda_Samar,6,FALSE),"")</f>
        <v>1495.6</v>
      </c>
      <c r="AC103" s="5">
        <f t="shared" si="105"/>
        <v>1822</v>
      </c>
      <c r="AD103" s="5"/>
      <c r="AE103" s="8">
        <f>IFERROR(VLOOKUP(A103,Glenda_Samar,15,FALSE),"")</f>
        <v>27287020.322021846</v>
      </c>
      <c r="AF103" s="9" t="str">
        <f>IFERROR(VLOOKUP(A103,Nona_Samar,3,FALSE),"")</f>
        <v/>
      </c>
      <c r="AG103" s="4" t="str">
        <f>IFERROR(VLOOKUP(A103,Nona_Samar,6,FALSE),"")</f>
        <v/>
      </c>
      <c r="AH103" s="4" t="str">
        <f>IFERROR(VLOOKUP(A103,Nona_Samar,7,FALSE),"")</f>
        <v/>
      </c>
      <c r="AI103" s="5">
        <f t="shared" si="106"/>
        <v>0</v>
      </c>
      <c r="AJ103" s="5" t="str">
        <f>IFERROR(VLOOKUP(A103,Nona_Samar,14,FALSE),"")</f>
        <v/>
      </c>
      <c r="AK103" s="8" t="str">
        <f>IFERROR(VLOOKUP(A103,Nona_Samar,16,FALSE),"")</f>
        <v/>
      </c>
      <c r="AL103" s="9">
        <f>IFERROR(VLOOKUP(A103,Ruby_Samar,3,FALSE),"")</f>
        <v>50</v>
      </c>
      <c r="AM103" s="4">
        <f>IFERROR(VLOOKUP(A103,Ruby_Samar,6,FALSE),"")</f>
        <v>0</v>
      </c>
      <c r="AN103" s="4">
        <f>IFERROR(VLOOKUP(A103,Ruby_Samar,7,FALSE),"")</f>
        <v>50</v>
      </c>
      <c r="AO103" s="5">
        <f t="shared" si="107"/>
        <v>50</v>
      </c>
      <c r="AP103" s="5">
        <f>IFERROR(VLOOKUP(A103,Ruby_Samar,14,FALSE),"")</f>
        <v>52.65</v>
      </c>
      <c r="AQ103" s="8">
        <f>IFERROR(VLOOKUP(A103,Ruby_Samar,16,FALSE),"")</f>
        <v>895050</v>
      </c>
      <c r="AR103" s="9" t="str">
        <f>IFERROR(VLOOKUP(A103,Urduja_Samar,3,FALSE),"")</f>
        <v/>
      </c>
      <c r="AS103" s="4" t="str">
        <f>IFERROR(VLOOKUP(A103,Urduja_Samar,6,FALSE),"")</f>
        <v/>
      </c>
      <c r="AT103" s="4" t="str">
        <f>IFERROR(VLOOKUP(A103,Urduja_Samar,7,FALSE),"")</f>
        <v/>
      </c>
      <c r="AU103" s="5">
        <f t="shared" si="108"/>
        <v>0</v>
      </c>
      <c r="AV103" s="5"/>
      <c r="AW103" s="8" t="str">
        <f>IFERROR(VLOOKUP(A103,Urduja_Samar,17,FALSE),"")</f>
        <v/>
      </c>
      <c r="AX103" s="3">
        <f t="shared" si="101"/>
        <v>150</v>
      </c>
      <c r="AY103" s="3">
        <f t="shared" si="102"/>
        <v>0</v>
      </c>
      <c r="AZ103" s="3">
        <f t="shared" si="103"/>
        <v>100</v>
      </c>
      <c r="BA103" s="5">
        <f t="shared" si="109"/>
        <v>100</v>
      </c>
      <c r="BB103" s="709"/>
      <c r="BC103" s="711">
        <f t="shared" si="104"/>
        <v>671768.02973977698</v>
      </c>
    </row>
    <row r="104" spans="1:55" ht="16.5" x14ac:dyDescent="0.3">
      <c r="A104" s="712" t="s">
        <v>73</v>
      </c>
      <c r="B104" s="9">
        <v>12</v>
      </c>
      <c r="C104" s="4">
        <v>2</v>
      </c>
      <c r="D104" s="4">
        <v>8</v>
      </c>
      <c r="E104" s="5">
        <f t="shared" si="114"/>
        <v>10</v>
      </c>
      <c r="F104" s="5">
        <v>8.19</v>
      </c>
      <c r="G104" s="8">
        <v>75000</v>
      </c>
      <c r="H104" s="9"/>
      <c r="I104" s="4"/>
      <c r="J104" s="4"/>
      <c r="K104" s="5">
        <f t="shared" si="110"/>
        <v>0</v>
      </c>
      <c r="L104" s="5"/>
      <c r="M104" s="8"/>
      <c r="N104" s="9"/>
      <c r="O104" s="4"/>
      <c r="P104" s="4"/>
      <c r="Q104" s="5">
        <f t="shared" si="111"/>
        <v>0</v>
      </c>
      <c r="R104" s="5"/>
      <c r="S104" s="8"/>
      <c r="T104" s="9" t="str">
        <f>IFERROR(VLOOKUP(A104,Tisoy_wSamar,3,FALSE),"")</f>
        <v/>
      </c>
      <c r="U104" s="4" t="str">
        <f>IFERROR(VLOOKUP(A104,Tisoy_wSamar,6,FALSE),"")</f>
        <v/>
      </c>
      <c r="V104" s="4" t="str">
        <f>IFERROR(VLOOKUP(A104,Tisoy_wSamar,7,FALSE),"")</f>
        <v/>
      </c>
      <c r="W104" s="5">
        <f t="shared" si="112"/>
        <v>0</v>
      </c>
      <c r="X104" s="5" t="str">
        <f>IFERROR(VLOOKUP(A104,Tisoy_wSamar,14,FALSE),"")</f>
        <v/>
      </c>
      <c r="Y104" s="8" t="str">
        <f>IFERROR(VLOOKUP(A104,Tisoy_wSamar,16,FALSE),"")</f>
        <v/>
      </c>
      <c r="Z104" s="9" t="str">
        <f>IFERROR(VLOOKUP(A104,Glenda_Samar,2,FALSE),"")</f>
        <v/>
      </c>
      <c r="AA104" s="4" t="str">
        <f>IFERROR(VLOOKUP(A104,Glenda_Samar,5,FALSE),"")</f>
        <v/>
      </c>
      <c r="AB104" s="4" t="str">
        <f>IFERROR(VLOOKUP(A104,Glenda_Samar,6,FALSE),"")</f>
        <v/>
      </c>
      <c r="AC104" s="5">
        <f t="shared" si="105"/>
        <v>0</v>
      </c>
      <c r="AD104" s="5"/>
      <c r="AE104" s="8" t="str">
        <f>IFERROR(VLOOKUP(A104,Glenda_Samar,15,FALSE),"")</f>
        <v/>
      </c>
      <c r="AF104" s="9"/>
      <c r="AG104" s="4"/>
      <c r="AH104" s="4"/>
      <c r="AI104" s="5">
        <f t="shared" ref="AI104:AI132" si="132">SUM(AG104:AH104)</f>
        <v>0</v>
      </c>
      <c r="AJ104" s="5"/>
      <c r="AK104" s="8"/>
      <c r="AL104" s="9">
        <f>IFERROR(VLOOKUP(A104,Ruby_Samar,3,FALSE),"")</f>
        <v>10</v>
      </c>
      <c r="AM104" s="4">
        <f>IFERROR(VLOOKUP(A104,Ruby_Samar,6,FALSE),"")</f>
        <v>10</v>
      </c>
      <c r="AN104" s="4">
        <f>IFERROR(VLOOKUP(A104,Ruby_Samar,7,FALSE),"")</f>
        <v>0</v>
      </c>
      <c r="AO104" s="5">
        <f t="shared" si="107"/>
        <v>10</v>
      </c>
      <c r="AP104" s="5">
        <f>IFERROR(VLOOKUP(A104,Ruby_Samar,14,FALSE),"")</f>
        <v>3.51</v>
      </c>
      <c r="AQ104" s="8">
        <f>IFERROR(VLOOKUP(A104,Ruby_Samar,16,FALSE),"")</f>
        <v>59670</v>
      </c>
      <c r="AR104" s="9" t="str">
        <f>IFERROR(VLOOKUP(A104,Urduja_Samar,3,FALSE),"")</f>
        <v/>
      </c>
      <c r="AS104" s="4" t="str">
        <f>IFERROR(VLOOKUP(A104,Urduja_Samar,6,FALSE),"")</f>
        <v/>
      </c>
      <c r="AT104" s="4" t="str">
        <f>IFERROR(VLOOKUP(A104,Urduja_Samar,7,FALSE),"")</f>
        <v/>
      </c>
      <c r="AU104" s="5">
        <f t="shared" si="108"/>
        <v>0</v>
      </c>
      <c r="AV104" s="5"/>
      <c r="AW104" s="8" t="str">
        <f>IFERROR(VLOOKUP(A104,Urduja_Samar,17,FALSE),"")</f>
        <v/>
      </c>
      <c r="AX104" s="3">
        <f t="shared" si="101"/>
        <v>12</v>
      </c>
      <c r="AY104" s="3">
        <f t="shared" si="102"/>
        <v>0</v>
      </c>
      <c r="AZ104" s="3">
        <f t="shared" si="103"/>
        <v>9</v>
      </c>
      <c r="BA104" s="5">
        <f t="shared" si="109"/>
        <v>9</v>
      </c>
      <c r="BB104" s="709"/>
      <c r="BC104" s="711">
        <f t="shared" si="104"/>
        <v>90688.684014869898</v>
      </c>
    </row>
    <row r="105" spans="1:55" ht="16.5" x14ac:dyDescent="0.3">
      <c r="A105" s="713"/>
      <c r="B105" s="9"/>
      <c r="C105" s="4"/>
      <c r="D105" s="4"/>
      <c r="E105" s="5">
        <f t="shared" si="114"/>
        <v>0</v>
      </c>
      <c r="G105" s="8"/>
      <c r="H105" s="9"/>
      <c r="I105" s="4"/>
      <c r="J105" s="4"/>
      <c r="K105" s="5">
        <f t="shared" si="110"/>
        <v>0</v>
      </c>
      <c r="L105" s="5"/>
      <c r="M105" s="8"/>
      <c r="N105" s="9"/>
      <c r="O105" s="4"/>
      <c r="P105" s="4"/>
      <c r="Q105" s="5">
        <f t="shared" si="111"/>
        <v>0</v>
      </c>
      <c r="R105" s="5"/>
      <c r="S105" s="8"/>
      <c r="T105" s="9"/>
      <c r="U105" s="4"/>
      <c r="V105" s="4"/>
      <c r="W105" s="5">
        <f t="shared" si="112"/>
        <v>0</v>
      </c>
      <c r="X105" s="5"/>
      <c r="Y105" s="8"/>
      <c r="Z105" s="9"/>
      <c r="AA105" s="4"/>
      <c r="AB105" s="4"/>
      <c r="AC105" s="5">
        <f t="shared" ref="AC105:AC132" si="133">SUM(AA105:AB105)</f>
        <v>0</v>
      </c>
      <c r="AD105" s="5"/>
      <c r="AE105" s="8"/>
      <c r="AF105" s="9"/>
      <c r="AG105" s="4"/>
      <c r="AH105" s="4"/>
      <c r="AI105" s="5">
        <f t="shared" si="132"/>
        <v>0</v>
      </c>
      <c r="AJ105" s="5"/>
      <c r="AK105" s="8"/>
      <c r="AL105" s="9"/>
      <c r="AM105" s="4"/>
      <c r="AN105" s="4"/>
      <c r="AO105" s="5">
        <f t="shared" ref="AO105:AO132" si="134">SUM(AM105:AN105)</f>
        <v>0</v>
      </c>
      <c r="AP105" s="5"/>
      <c r="AQ105" s="8"/>
      <c r="AR105" s="9"/>
      <c r="AS105" s="4"/>
      <c r="AT105" s="4"/>
      <c r="AU105" s="5">
        <f t="shared" ref="AU105:AU132" si="135">SUM(AS105:AT105)</f>
        <v>0</v>
      </c>
      <c r="AV105" s="5"/>
      <c r="AW105" s="8"/>
      <c r="AX105" s="3"/>
      <c r="AY105" s="4"/>
      <c r="AZ105" s="4"/>
      <c r="BA105" s="5">
        <f t="shared" si="75"/>
        <v>0</v>
      </c>
      <c r="BB105" s="5"/>
      <c r="BC105" s="711"/>
    </row>
    <row r="106" spans="1:55" s="735" customFormat="1" ht="16.5" x14ac:dyDescent="0.3">
      <c r="A106" s="728" t="s">
        <v>74</v>
      </c>
      <c r="B106" s="729">
        <f>SUM(B107:B129)</f>
        <v>3296</v>
      </c>
      <c r="C106" s="730">
        <f t="shared" ref="C106:BC106" si="136">SUM(C107:C129)</f>
        <v>799.2</v>
      </c>
      <c r="D106" s="730">
        <f t="shared" si="136"/>
        <v>3533.25</v>
      </c>
      <c r="E106" s="731">
        <f t="shared" si="136"/>
        <v>4332.45</v>
      </c>
      <c r="F106" s="731">
        <f t="shared" si="136"/>
        <v>4432.0963500000007</v>
      </c>
      <c r="G106" s="732">
        <f t="shared" si="136"/>
        <v>32454000</v>
      </c>
      <c r="H106" s="729">
        <f t="shared" si="136"/>
        <v>0</v>
      </c>
      <c r="I106" s="730">
        <f t="shared" si="136"/>
        <v>0</v>
      </c>
      <c r="J106" s="730">
        <f t="shared" si="136"/>
        <v>0</v>
      </c>
      <c r="K106" s="731">
        <f t="shared" si="136"/>
        <v>0</v>
      </c>
      <c r="L106" s="731">
        <f t="shared" si="136"/>
        <v>0</v>
      </c>
      <c r="M106" s="732">
        <f t="shared" si="136"/>
        <v>0</v>
      </c>
      <c r="N106" s="729">
        <f t="shared" si="136"/>
        <v>261</v>
      </c>
      <c r="O106" s="730">
        <f t="shared" si="136"/>
        <v>64.599999999999994</v>
      </c>
      <c r="P106" s="730">
        <f t="shared" si="136"/>
        <v>2.4</v>
      </c>
      <c r="Q106" s="731">
        <f t="shared" si="136"/>
        <v>4</v>
      </c>
      <c r="R106" s="731">
        <f t="shared" si="136"/>
        <v>26.46</v>
      </c>
      <c r="S106" s="732">
        <f t="shared" si="136"/>
        <v>449820</v>
      </c>
      <c r="T106" s="729">
        <f t="shared" si="136"/>
        <v>628</v>
      </c>
      <c r="U106" s="730">
        <f t="shared" si="136"/>
        <v>550.92000000000007</v>
      </c>
      <c r="V106" s="730">
        <f t="shared" si="136"/>
        <v>114</v>
      </c>
      <c r="W106" s="731">
        <f t="shared" si="136"/>
        <v>262.92</v>
      </c>
      <c r="X106" s="731">
        <f t="shared" si="136"/>
        <v>0</v>
      </c>
      <c r="Y106" s="732">
        <f t="shared" si="136"/>
        <v>6030018.3169811312</v>
      </c>
      <c r="Z106" s="729">
        <f t="shared" si="136"/>
        <v>1174</v>
      </c>
      <c r="AA106" s="730">
        <f t="shared" si="136"/>
        <v>138.75</v>
      </c>
      <c r="AB106" s="730">
        <f t="shared" si="136"/>
        <v>995.25</v>
      </c>
      <c r="AC106" s="731">
        <f t="shared" si="136"/>
        <v>1134</v>
      </c>
      <c r="AD106" s="731">
        <f t="shared" si="136"/>
        <v>0</v>
      </c>
      <c r="AE106" s="732">
        <f t="shared" si="136"/>
        <v>4775728.4837893248</v>
      </c>
      <c r="AF106" s="729">
        <f t="shared" si="136"/>
        <v>322</v>
      </c>
      <c r="AG106" s="730">
        <f t="shared" si="136"/>
        <v>348</v>
      </c>
      <c r="AH106" s="730">
        <f t="shared" si="136"/>
        <v>0</v>
      </c>
      <c r="AI106" s="731">
        <f t="shared" si="136"/>
        <v>348</v>
      </c>
      <c r="AJ106" s="731">
        <f t="shared" si="136"/>
        <v>1076.2784000000001</v>
      </c>
      <c r="AK106" s="732">
        <f t="shared" si="136"/>
        <v>18296732.800000001</v>
      </c>
      <c r="AL106" s="729">
        <f t="shared" si="136"/>
        <v>7953</v>
      </c>
      <c r="AM106" s="730">
        <f t="shared" si="136"/>
        <v>9474.75</v>
      </c>
      <c r="AN106" s="730">
        <f t="shared" si="136"/>
        <v>2261.75</v>
      </c>
      <c r="AO106" s="731">
        <f t="shared" si="136"/>
        <v>11736.5</v>
      </c>
      <c r="AP106" s="731">
        <f t="shared" si="136"/>
        <v>4691.6414999999997</v>
      </c>
      <c r="AQ106" s="732">
        <f t="shared" si="136"/>
        <v>79757905.5</v>
      </c>
      <c r="AR106" s="729">
        <f t="shared" si="136"/>
        <v>6783.5</v>
      </c>
      <c r="AS106" s="730">
        <f t="shared" si="136"/>
        <v>6774.5</v>
      </c>
      <c r="AT106" s="730">
        <f t="shared" si="136"/>
        <v>3178</v>
      </c>
      <c r="AU106" s="731">
        <f t="shared" si="136"/>
        <v>9952.5</v>
      </c>
      <c r="AV106" s="731">
        <f t="shared" si="136"/>
        <v>0</v>
      </c>
      <c r="AW106" s="732">
        <f t="shared" si="136"/>
        <v>218311212.52293578</v>
      </c>
      <c r="AX106" s="733">
        <f t="shared" si="136"/>
        <v>311</v>
      </c>
      <c r="AY106" s="730">
        <f t="shared" si="136"/>
        <v>7</v>
      </c>
      <c r="AZ106" s="730">
        <f t="shared" si="136"/>
        <v>222.83</v>
      </c>
      <c r="BA106" s="731">
        <f t="shared" si="136"/>
        <v>229.83</v>
      </c>
      <c r="BB106" s="731">
        <f t="shared" si="136"/>
        <v>0</v>
      </c>
      <c r="BC106" s="734">
        <f t="shared" si="136"/>
        <v>894902.60943396227</v>
      </c>
    </row>
    <row r="107" spans="1:55" ht="16.5" x14ac:dyDescent="0.3">
      <c r="A107" s="712" t="s">
        <v>111</v>
      </c>
      <c r="B107" s="7"/>
      <c r="C107" s="6"/>
      <c r="D107" s="6"/>
      <c r="G107" s="8"/>
      <c r="H107" s="7"/>
      <c r="I107" s="6"/>
      <c r="J107" s="6"/>
      <c r="K107" s="5"/>
      <c r="L107" s="5"/>
      <c r="M107" s="8"/>
      <c r="N107" s="7">
        <v>15</v>
      </c>
      <c r="O107" s="6">
        <v>15</v>
      </c>
      <c r="P107" s="6"/>
      <c r="Q107" s="5"/>
      <c r="R107" s="5">
        <v>17.5</v>
      </c>
      <c r="S107" s="8">
        <v>297500</v>
      </c>
      <c r="T107" s="7">
        <f>IFERROR(VLOOKUP(A107,Tisoy_ESamar,3,FALSE),"")</f>
        <v>6</v>
      </c>
      <c r="U107" s="6">
        <f>IFERROR(VLOOKUP(A107,Tisoy_ESamar,6,FALSE),"")</f>
        <v>10</v>
      </c>
      <c r="V107" s="6">
        <f>IFERROR(VLOOKUP(A107,Tisoy_ESamar,7,FALSE),"")</f>
        <v>0</v>
      </c>
      <c r="W107" s="5"/>
      <c r="X107" s="5"/>
      <c r="Y107" s="8">
        <f>IFERROR(VLOOKUP(A107,Tisoy_wSamar,13,FALSE),"")</f>
        <v>74700</v>
      </c>
      <c r="Z107" s="7" t="str">
        <f>IFERROR(VLOOKUP(A107,Glenda_ESamar,2,FALSE),"")</f>
        <v/>
      </c>
      <c r="AA107" s="6" t="str">
        <f>IFERROR(VLOOKUP(A107,Glenda_ESamar,5,FALSE),"")</f>
        <v/>
      </c>
      <c r="AB107" s="6" t="str">
        <f>IFERROR(VLOOKUP(A107,Glenda_ESamar,6,FALSE),"")</f>
        <v/>
      </c>
      <c r="AC107" s="5">
        <f t="shared" si="133"/>
        <v>0</v>
      </c>
      <c r="AD107" s="5"/>
      <c r="AE107" s="8" t="str">
        <f>IFERROR(VLOOKUP(A107,Glenda_ESamar,12,FALSE),"")</f>
        <v/>
      </c>
      <c r="AF107" s="7">
        <f>IFERROR(VLOOKUP(A107,Nona_ESamar,3,FALSE),"")</f>
        <v>200</v>
      </c>
      <c r="AG107" s="6">
        <f>IFERROR(VLOOKUP(A107,Nona_ESamar,6,FALSE),"")</f>
        <v>223</v>
      </c>
      <c r="AH107" s="6">
        <f>IFERROR(VLOOKUP(A107,Nona_ESamar,7,FALSE),"")</f>
        <v>0</v>
      </c>
      <c r="AI107" s="5">
        <f t="shared" si="132"/>
        <v>223</v>
      </c>
      <c r="AJ107" s="5">
        <f>IFERROR(VLOOKUP(A107,Nona_ESamar,14,FALSE),"")</f>
        <v>699.84090000000003</v>
      </c>
      <c r="AK107" s="8">
        <f>IFERROR(VLOOKUP(A107,Nona_ESamar,16,FALSE),"")</f>
        <v>11897295.300000001</v>
      </c>
      <c r="AL107" s="7" t="str">
        <f t="shared" ref="AL107:AL129" si="137">IFERROR(VLOOKUP(A107,Ruby_ESamar,3,FALSE),"")</f>
        <v/>
      </c>
      <c r="AM107" s="6" t="str">
        <f t="shared" ref="AM107:AM129" si="138">IFERROR(VLOOKUP(A107,Ruby_ESamar,6,FALSE),"")</f>
        <v/>
      </c>
      <c r="AN107" s="6" t="str">
        <f t="shared" ref="AN107:AN129" si="139">IFERROR(VLOOKUP(A107,Ruby_ESamar,7,FALSE),"")</f>
        <v/>
      </c>
      <c r="AO107" s="5">
        <f t="shared" si="134"/>
        <v>0</v>
      </c>
      <c r="AP107" s="5" t="str">
        <f t="shared" ref="AP107:AP129" si="140">IFERROR(VLOOKUP(A107,Ruby_ESamar,14,FALSE),"")</f>
        <v/>
      </c>
      <c r="AQ107" s="8" t="str">
        <f t="shared" ref="AQ107:AQ129" si="141">IFERROR(VLOOKUP(A107,Ruby_ESamar,16,FALSE),"")</f>
        <v/>
      </c>
      <c r="AR107" s="7">
        <f t="shared" ref="AR107:AR129" si="142">IFERROR(VLOOKUP(A107,Urduja_ESamar,3,FALSE),"")</f>
        <v>438</v>
      </c>
      <c r="AS107" s="6">
        <f t="shared" ref="AS107:AS129" si="143">IFERROR(VLOOKUP(A107,Urduja_ESamar,6,FALSE),"")</f>
        <v>808</v>
      </c>
      <c r="AT107" s="6">
        <f t="shared" ref="AT107:AT129" si="144">IFERROR(VLOOKUP(A107,Urduja_ESamar,7,FALSE),"")</f>
        <v>0</v>
      </c>
      <c r="AU107" s="5">
        <f t="shared" si="135"/>
        <v>808</v>
      </c>
      <c r="AV107" s="5"/>
      <c r="AW107" s="8">
        <f t="shared" ref="AW107:AW129" si="145">IFERROR(VLOOKUP(A107,Urduja_ESamar,17,FALSE),"")</f>
        <v>6035760</v>
      </c>
      <c r="AX107" s="3" t="str">
        <f t="shared" ref="AX107:AX129" si="146">IFERROR(VLOOKUP(A107,Ursula_ESamar,3,FALSE),"")</f>
        <v/>
      </c>
      <c r="AY107" s="3" t="str">
        <f t="shared" ref="AY107:AY129" si="147">IFERROR(VLOOKUP(A107,Ursula_ESamar,6,FALSE),"")</f>
        <v/>
      </c>
      <c r="AZ107" s="3" t="str">
        <f t="shared" ref="AZ107:AZ129" si="148">IFERROR(VLOOKUP(A107,Ursula_ESamar,7,FALSE),"")</f>
        <v/>
      </c>
      <c r="BA107" s="5">
        <f t="shared" si="75"/>
        <v>0</v>
      </c>
      <c r="BB107" s="709"/>
      <c r="BC107" s="711" t="str">
        <f t="shared" ref="BC107:BC129" si="149">IFERROR(VLOOKUP(A107,Ursula_ESamar,13,FALSE),"")</f>
        <v/>
      </c>
    </row>
    <row r="108" spans="1:55" ht="16.5" x14ac:dyDescent="0.3">
      <c r="A108" s="712" t="s">
        <v>109</v>
      </c>
      <c r="B108" s="7"/>
      <c r="C108" s="6"/>
      <c r="D108" s="6"/>
      <c r="G108" s="8"/>
      <c r="H108" s="7"/>
      <c r="I108" s="6"/>
      <c r="J108" s="6"/>
      <c r="K108" s="5"/>
      <c r="L108" s="5"/>
      <c r="M108" s="8"/>
      <c r="N108" s="7">
        <v>87</v>
      </c>
      <c r="O108" s="6">
        <v>48</v>
      </c>
      <c r="P108" s="6"/>
      <c r="Q108" s="5"/>
      <c r="R108" s="5"/>
      <c r="S108" s="8"/>
      <c r="T108" s="7">
        <f>IFERROR(VLOOKUP(A108,Tisoy_ESamar,3,FALSE),"")</f>
        <v>101</v>
      </c>
      <c r="U108" s="6">
        <f>IFERROR(VLOOKUP(A108,Tisoy_ESamar,6,FALSE),"")</f>
        <v>0</v>
      </c>
      <c r="V108" s="6">
        <f>IFERROR(VLOOKUP(A108,Tisoy_ESamar,7,FALSE),"")</f>
        <v>114</v>
      </c>
      <c r="W108" s="5"/>
      <c r="X108" s="5"/>
      <c r="Y108" s="8">
        <f>IFERROR(VLOOKUP(A108,Tisoy_wSamar,13,FALSE),"")</f>
        <v>1914645.916981132</v>
      </c>
      <c r="Z108" s="7" t="str">
        <f>IFERROR(VLOOKUP(A108,Glenda_ESamar,2,FALSE),"")</f>
        <v/>
      </c>
      <c r="AA108" s="6" t="str">
        <f>IFERROR(VLOOKUP(A108,Glenda_ESamar,5,FALSE),"")</f>
        <v/>
      </c>
      <c r="AB108" s="6" t="str">
        <f>IFERROR(VLOOKUP(A108,Glenda_ESamar,6,FALSE),"")</f>
        <v/>
      </c>
      <c r="AC108" s="5">
        <f t="shared" ref="AC108:AC129" si="150">SUM(AA108:AB108)</f>
        <v>0</v>
      </c>
      <c r="AD108" s="5"/>
      <c r="AE108" s="8" t="str">
        <f>IFERROR(VLOOKUP(A108,Glenda_ESamar,12,FALSE),"")</f>
        <v/>
      </c>
      <c r="AF108" s="7" t="str">
        <f>IFERROR(VLOOKUP(A108,Nona_ESamar,3,FALSE),"")</f>
        <v/>
      </c>
      <c r="AG108" s="6" t="str">
        <f>IFERROR(VLOOKUP(A108,Nona_ESamar,6,FALSE),"")</f>
        <v/>
      </c>
      <c r="AH108" s="6" t="str">
        <f>IFERROR(VLOOKUP(A108,Nona_ESamar,7,FALSE),"")</f>
        <v/>
      </c>
      <c r="AI108" s="5">
        <f t="shared" ref="AI108:AI129" si="151">SUM(AG108:AH108)</f>
        <v>0</v>
      </c>
      <c r="AJ108" s="5" t="str">
        <f>IFERROR(VLOOKUP(A108,Nona_ESamar,14,FALSE),"")</f>
        <v/>
      </c>
      <c r="AK108" s="8" t="str">
        <f>IFERROR(VLOOKUP(A108,Nona_ESamar,16,FALSE),"")</f>
        <v/>
      </c>
      <c r="AL108" s="7">
        <f t="shared" si="137"/>
        <v>295</v>
      </c>
      <c r="AM108" s="6">
        <f t="shared" si="138"/>
        <v>824</v>
      </c>
      <c r="AN108" s="6">
        <f t="shared" si="139"/>
        <v>206</v>
      </c>
      <c r="AO108" s="5">
        <f t="shared" ref="AO108:AO129" si="152">SUM(AM108:AN108)</f>
        <v>1030</v>
      </c>
      <c r="AP108" s="5">
        <f t="shared" si="140"/>
        <v>566.5139999999999</v>
      </c>
      <c r="AQ108" s="8">
        <f t="shared" si="141"/>
        <v>9630737.9999999981</v>
      </c>
      <c r="AR108" s="7">
        <f t="shared" si="142"/>
        <v>350</v>
      </c>
      <c r="AS108" s="6">
        <f t="shared" si="143"/>
        <v>247</v>
      </c>
      <c r="AT108" s="6">
        <f t="shared" si="144"/>
        <v>0</v>
      </c>
      <c r="AU108" s="5">
        <f t="shared" ref="AU108:AU129" si="153">SUM(AS108:AT108)</f>
        <v>247</v>
      </c>
      <c r="AV108" s="5"/>
      <c r="AW108" s="8">
        <f t="shared" si="145"/>
        <v>8265608</v>
      </c>
      <c r="AX108" s="3" t="str">
        <f t="shared" si="146"/>
        <v/>
      </c>
      <c r="AY108" s="3" t="str">
        <f t="shared" si="147"/>
        <v/>
      </c>
      <c r="AZ108" s="3" t="str">
        <f t="shared" si="148"/>
        <v/>
      </c>
      <c r="BA108" s="5">
        <f t="shared" ref="BA108:BA129" si="154">SUM(AY108:AZ108)</f>
        <v>0</v>
      </c>
      <c r="BB108" s="709"/>
      <c r="BC108" s="711" t="str">
        <f t="shared" si="149"/>
        <v/>
      </c>
    </row>
    <row r="109" spans="1:55" ht="16.5" x14ac:dyDescent="0.3">
      <c r="A109" s="712" t="s">
        <v>264</v>
      </c>
      <c r="B109" s="7"/>
      <c r="C109" s="6"/>
      <c r="D109" s="6"/>
      <c r="G109" s="8"/>
      <c r="H109" s="7"/>
      <c r="I109" s="6"/>
      <c r="J109" s="6"/>
      <c r="K109" s="5"/>
      <c r="L109" s="5"/>
      <c r="M109" s="8"/>
      <c r="N109" s="7"/>
      <c r="O109" s="6"/>
      <c r="P109" s="6"/>
      <c r="Q109" s="5"/>
      <c r="R109" s="5"/>
      <c r="S109" s="8"/>
      <c r="T109" s="7"/>
      <c r="U109" s="6"/>
      <c r="V109" s="6"/>
      <c r="W109" s="5"/>
      <c r="X109" s="5"/>
      <c r="Y109" s="8"/>
      <c r="Z109" s="7"/>
      <c r="AA109" s="6"/>
      <c r="AB109" s="6"/>
      <c r="AC109" s="5"/>
      <c r="AD109" s="5"/>
      <c r="AE109" s="8"/>
      <c r="AF109" s="7"/>
      <c r="AG109" s="6"/>
      <c r="AH109" s="6"/>
      <c r="AI109" s="5"/>
      <c r="AJ109" s="5"/>
      <c r="AK109" s="8"/>
      <c r="AL109" s="7">
        <f t="shared" si="137"/>
        <v>45</v>
      </c>
      <c r="AM109" s="6">
        <f t="shared" si="138"/>
        <v>0</v>
      </c>
      <c r="AN109" s="6">
        <f t="shared" si="139"/>
        <v>36</v>
      </c>
      <c r="AO109" s="5">
        <f t="shared" ref="AO109:AO113" si="155">SUM(AM109:AN109)</f>
        <v>36</v>
      </c>
      <c r="AP109" s="5">
        <f t="shared" si="140"/>
        <v>37.907999999999994</v>
      </c>
      <c r="AQ109" s="8">
        <f t="shared" si="141"/>
        <v>644435.99999999988</v>
      </c>
      <c r="AR109" s="7">
        <f t="shared" si="142"/>
        <v>399</v>
      </c>
      <c r="AS109" s="6">
        <f t="shared" si="143"/>
        <v>570</v>
      </c>
      <c r="AT109" s="6">
        <f t="shared" si="144"/>
        <v>0</v>
      </c>
      <c r="AU109" s="5">
        <f t="shared" si="153"/>
        <v>570</v>
      </c>
      <c r="AV109" s="5"/>
      <c r="AW109" s="8">
        <f t="shared" si="145"/>
        <v>4257900</v>
      </c>
      <c r="AX109" s="3" t="str">
        <f t="shared" si="146"/>
        <v/>
      </c>
      <c r="AY109" s="3" t="str">
        <f t="shared" si="147"/>
        <v/>
      </c>
      <c r="AZ109" s="3" t="str">
        <f t="shared" si="148"/>
        <v/>
      </c>
      <c r="BA109" s="5">
        <f t="shared" si="154"/>
        <v>0</v>
      </c>
      <c r="BB109" s="709"/>
      <c r="BC109" s="711" t="str">
        <f t="shared" si="149"/>
        <v/>
      </c>
    </row>
    <row r="110" spans="1:55" ht="16.5" x14ac:dyDescent="0.3">
      <c r="A110" s="712" t="s">
        <v>75</v>
      </c>
      <c r="B110" s="9">
        <v>10</v>
      </c>
      <c r="C110" s="4">
        <v>8</v>
      </c>
      <c r="D110" s="4">
        <v>0</v>
      </c>
      <c r="E110" s="5">
        <f t="shared" si="114"/>
        <v>8</v>
      </c>
      <c r="F110" s="5">
        <v>8.1839999999999993</v>
      </c>
      <c r="G110" s="8">
        <v>60000</v>
      </c>
      <c r="H110" s="9"/>
      <c r="I110" s="4"/>
      <c r="J110" s="4"/>
      <c r="K110" s="5">
        <f t="shared" si="110"/>
        <v>0</v>
      </c>
      <c r="L110" s="5"/>
      <c r="M110" s="8"/>
      <c r="N110" s="9"/>
      <c r="O110" s="4"/>
      <c r="P110" s="4"/>
      <c r="Q110" s="5">
        <f t="shared" si="111"/>
        <v>0</v>
      </c>
      <c r="R110" s="5"/>
      <c r="S110" s="8"/>
      <c r="T110" s="9" t="str">
        <f>IFERROR(VLOOKUP(A110,Tisoy_ESamar,3,FALSE),"")</f>
        <v/>
      </c>
      <c r="U110" s="4" t="str">
        <f>IFERROR(VLOOKUP(A110,Tisoy_ESamar,6,FALSE),"")</f>
        <v/>
      </c>
      <c r="V110" s="4" t="str">
        <f>IFERROR(VLOOKUP(A110,Tisoy_ESamar,7,FALSE),"")</f>
        <v/>
      </c>
      <c r="W110" s="5">
        <f t="shared" si="112"/>
        <v>0</v>
      </c>
      <c r="X110" s="5"/>
      <c r="Y110" s="8" t="str">
        <f>IFERROR(VLOOKUP(A110,Tisoy_wSamar,13,FALSE),"")</f>
        <v/>
      </c>
      <c r="Z110" s="9" t="str">
        <f>IFERROR(VLOOKUP(A110,Glenda_ESamar,2,FALSE),"")</f>
        <v/>
      </c>
      <c r="AA110" s="4" t="str">
        <f>IFERROR(VLOOKUP(A110,Glenda_ESamar,5,FALSE),"")</f>
        <v/>
      </c>
      <c r="AB110" s="4" t="str">
        <f>IFERROR(VLOOKUP(A110,Glenda_ESamar,6,FALSE),"")</f>
        <v/>
      </c>
      <c r="AC110" s="5">
        <f t="shared" si="150"/>
        <v>0</v>
      </c>
      <c r="AD110" s="5"/>
      <c r="AE110" s="8" t="str">
        <f>IFERROR(VLOOKUP(A110,Glenda_ESamar,12,FALSE),"")</f>
        <v/>
      </c>
      <c r="AF110" s="9" t="str">
        <f>IFERROR(VLOOKUP(A110,Nona_ESamar,3,FALSE),"")</f>
        <v/>
      </c>
      <c r="AG110" s="4" t="str">
        <f>IFERROR(VLOOKUP(A110,Nona_ESamar,6,FALSE),"")</f>
        <v/>
      </c>
      <c r="AH110" s="4" t="str">
        <f>IFERROR(VLOOKUP(A110,Nona_ESamar,7,FALSE),"")</f>
        <v/>
      </c>
      <c r="AI110" s="5">
        <f t="shared" si="151"/>
        <v>0</v>
      </c>
      <c r="AJ110" s="5" t="str">
        <f>IFERROR(VLOOKUP(A110,Nona_ESamar,14,FALSE),"")</f>
        <v/>
      </c>
      <c r="AK110" s="8" t="str">
        <f>IFERROR(VLOOKUP(A110,Nona_ESamar,16,FALSE),"")</f>
        <v/>
      </c>
      <c r="AL110" s="9">
        <f t="shared" si="137"/>
        <v>47</v>
      </c>
      <c r="AM110" s="4">
        <f t="shared" si="138"/>
        <v>42</v>
      </c>
      <c r="AN110" s="4">
        <f t="shared" si="139"/>
        <v>10</v>
      </c>
      <c r="AO110" s="5">
        <f t="shared" si="155"/>
        <v>52</v>
      </c>
      <c r="AP110" s="5">
        <f t="shared" si="140"/>
        <v>18.251999999999999</v>
      </c>
      <c r="AQ110" s="8">
        <f t="shared" si="141"/>
        <v>310284</v>
      </c>
      <c r="AR110" s="9">
        <f t="shared" si="142"/>
        <v>0</v>
      </c>
      <c r="AS110" s="4">
        <f t="shared" si="143"/>
        <v>0</v>
      </c>
      <c r="AT110" s="4">
        <f t="shared" si="144"/>
        <v>0</v>
      </c>
      <c r="AU110" s="5">
        <f t="shared" si="153"/>
        <v>0</v>
      </c>
      <c r="AV110" s="5"/>
      <c r="AW110" s="8">
        <f t="shared" si="145"/>
        <v>0</v>
      </c>
      <c r="AX110" s="3" t="str">
        <f t="shared" si="146"/>
        <v/>
      </c>
      <c r="AY110" s="3" t="str">
        <f t="shared" si="147"/>
        <v/>
      </c>
      <c r="AZ110" s="3" t="str">
        <f t="shared" si="148"/>
        <v/>
      </c>
      <c r="BA110" s="5">
        <f t="shared" si="154"/>
        <v>0</v>
      </c>
      <c r="BB110" s="709"/>
      <c r="BC110" s="711" t="str">
        <f t="shared" si="149"/>
        <v/>
      </c>
    </row>
    <row r="111" spans="1:55" ht="16.5" x14ac:dyDescent="0.3">
      <c r="A111" s="712" t="s">
        <v>76</v>
      </c>
      <c r="B111" s="9">
        <v>25</v>
      </c>
      <c r="C111" s="4">
        <v>20</v>
      </c>
      <c r="D111" s="4">
        <v>0</v>
      </c>
      <c r="E111" s="5">
        <f t="shared" si="114"/>
        <v>20</v>
      </c>
      <c r="F111" s="5">
        <v>20.46</v>
      </c>
      <c r="G111" s="8">
        <v>150000</v>
      </c>
      <c r="H111" s="9"/>
      <c r="I111" s="4"/>
      <c r="J111" s="4"/>
      <c r="K111" s="5">
        <f t="shared" si="110"/>
        <v>0</v>
      </c>
      <c r="L111" s="5"/>
      <c r="M111" s="8"/>
      <c r="N111" s="9"/>
      <c r="O111" s="4"/>
      <c r="P111" s="4"/>
      <c r="Q111" s="5">
        <f t="shared" si="111"/>
        <v>0</v>
      </c>
      <c r="R111" s="5"/>
      <c r="S111" s="8"/>
      <c r="T111" s="9" t="str">
        <f>IFERROR(VLOOKUP(A111,Tisoy_ESamar,3,FALSE),"")</f>
        <v/>
      </c>
      <c r="U111" s="4" t="str">
        <f>IFERROR(VLOOKUP(A111,Tisoy_ESamar,6,FALSE),"")</f>
        <v/>
      </c>
      <c r="V111" s="4" t="str">
        <f>IFERROR(VLOOKUP(A111,Tisoy_ESamar,7,FALSE),"")</f>
        <v/>
      </c>
      <c r="W111" s="5">
        <f t="shared" si="112"/>
        <v>0</v>
      </c>
      <c r="X111" s="5"/>
      <c r="Y111" s="8" t="str">
        <f>IFERROR(VLOOKUP(A111,Tisoy_wSamar,13,FALSE),"")</f>
        <v/>
      </c>
      <c r="Z111" s="9" t="str">
        <f>IFERROR(VLOOKUP(A111,Glenda_ESamar,2,FALSE),"")</f>
        <v/>
      </c>
      <c r="AA111" s="4" t="str">
        <f>IFERROR(VLOOKUP(A111,Glenda_ESamar,5,FALSE),"")</f>
        <v/>
      </c>
      <c r="AB111" s="4" t="str">
        <f>IFERROR(VLOOKUP(A111,Glenda_ESamar,6,FALSE),"")</f>
        <v/>
      </c>
      <c r="AC111" s="5">
        <f t="shared" si="150"/>
        <v>0</v>
      </c>
      <c r="AD111" s="5"/>
      <c r="AE111" s="8" t="str">
        <f>IFERROR(VLOOKUP(A111,Glenda_ESamar,12,FALSE),"")</f>
        <v/>
      </c>
      <c r="AF111" s="9" t="str">
        <f>IFERROR(VLOOKUP(A111,Nona_ESamar,3,FALSE),"")</f>
        <v/>
      </c>
      <c r="AG111" s="4" t="str">
        <f>IFERROR(VLOOKUP(A111,Nona_ESamar,6,FALSE),"")</f>
        <v/>
      </c>
      <c r="AH111" s="4" t="str">
        <f>IFERROR(VLOOKUP(A111,Nona_ESamar,7,FALSE),"")</f>
        <v/>
      </c>
      <c r="AI111" s="5">
        <f t="shared" si="151"/>
        <v>0</v>
      </c>
      <c r="AJ111" s="5" t="str">
        <f>IFERROR(VLOOKUP(A111,Nona_ESamar,14,FALSE),"")</f>
        <v/>
      </c>
      <c r="AK111" s="8" t="str">
        <f>IFERROR(VLOOKUP(A111,Nona_ESamar,16,FALSE),"")</f>
        <v/>
      </c>
      <c r="AL111" s="9">
        <f t="shared" si="137"/>
        <v>1200</v>
      </c>
      <c r="AM111" s="4">
        <f t="shared" si="138"/>
        <v>1071</v>
      </c>
      <c r="AN111" s="4">
        <f t="shared" si="139"/>
        <v>0</v>
      </c>
      <c r="AO111" s="5">
        <f t="shared" si="155"/>
        <v>1071</v>
      </c>
      <c r="AP111" s="5">
        <f t="shared" si="140"/>
        <v>375.92099999999999</v>
      </c>
      <c r="AQ111" s="8">
        <f t="shared" si="141"/>
        <v>6390657</v>
      </c>
      <c r="AR111" s="9">
        <f t="shared" si="142"/>
        <v>200</v>
      </c>
      <c r="AS111" s="4">
        <f t="shared" si="143"/>
        <v>120</v>
      </c>
      <c r="AT111" s="4">
        <f t="shared" si="144"/>
        <v>0</v>
      </c>
      <c r="AU111" s="5">
        <f t="shared" si="153"/>
        <v>120</v>
      </c>
      <c r="AV111" s="5"/>
      <c r="AW111" s="8">
        <f t="shared" si="145"/>
        <v>0</v>
      </c>
      <c r="AX111" s="3" t="str">
        <f t="shared" si="146"/>
        <v/>
      </c>
      <c r="AY111" s="3" t="str">
        <f t="shared" si="147"/>
        <v/>
      </c>
      <c r="AZ111" s="3" t="str">
        <f t="shared" si="148"/>
        <v/>
      </c>
      <c r="BA111" s="5">
        <f t="shared" si="154"/>
        <v>0</v>
      </c>
      <c r="BB111" s="709"/>
      <c r="BC111" s="711" t="str">
        <f t="shared" si="149"/>
        <v/>
      </c>
    </row>
    <row r="112" spans="1:55" ht="16.5" x14ac:dyDescent="0.3">
      <c r="A112" s="712" t="s">
        <v>77</v>
      </c>
      <c r="B112" s="9">
        <v>2879</v>
      </c>
      <c r="C112" s="4">
        <v>614.25</v>
      </c>
      <c r="D112" s="4">
        <v>3480.75</v>
      </c>
      <c r="E112" s="5">
        <f t="shared" si="114"/>
        <v>4095</v>
      </c>
      <c r="F112" s="5">
        <v>4189.1850000000004</v>
      </c>
      <c r="G112" s="8">
        <v>30712500</v>
      </c>
      <c r="H112" s="9"/>
      <c r="I112" s="4"/>
      <c r="J112" s="4"/>
      <c r="K112" s="5">
        <f t="shared" si="110"/>
        <v>0</v>
      </c>
      <c r="L112" s="5"/>
      <c r="M112" s="8"/>
      <c r="N112" s="9">
        <v>9</v>
      </c>
      <c r="O112" s="4">
        <v>1.6</v>
      </c>
      <c r="P112" s="4">
        <v>2.4</v>
      </c>
      <c r="Q112" s="5">
        <f t="shared" si="111"/>
        <v>4</v>
      </c>
      <c r="R112" s="5">
        <v>8.9600000000000009</v>
      </c>
      <c r="S112" s="8">
        <v>152320</v>
      </c>
      <c r="T112" s="9" t="str">
        <f>IFERROR(VLOOKUP(A112,Tisoy_ESamar,3,FALSE),"")</f>
        <v/>
      </c>
      <c r="U112" s="4" t="str">
        <f>IFERROR(VLOOKUP(A112,Tisoy_ESamar,6,FALSE),"")</f>
        <v/>
      </c>
      <c r="V112" s="4" t="str">
        <f>IFERROR(VLOOKUP(A112,Tisoy_ESamar,7,FALSE),"")</f>
        <v/>
      </c>
      <c r="W112" s="5">
        <f t="shared" si="112"/>
        <v>0</v>
      </c>
      <c r="X112" s="5"/>
      <c r="Y112" s="8" t="str">
        <f>IFERROR(VLOOKUP(A112,Tisoy_wSamar,13,FALSE),"")</f>
        <v/>
      </c>
      <c r="Z112" s="9">
        <f>IFERROR(VLOOKUP(A112,Glenda_ESamar,2,FALSE),"")</f>
        <v>300</v>
      </c>
      <c r="AA112" s="4">
        <f>IFERROR(VLOOKUP(A112,Glenda_ESamar,5,FALSE),"")</f>
        <v>50</v>
      </c>
      <c r="AB112" s="4">
        <f>IFERROR(VLOOKUP(A112,Glenda_ESamar,6,FALSE),"")</f>
        <v>331</v>
      </c>
      <c r="AC112" s="5">
        <f t="shared" si="150"/>
        <v>381</v>
      </c>
      <c r="AD112" s="5"/>
      <c r="AE112" s="8">
        <f>IFERROR(VLOOKUP(A112,Glenda_ESamar,12,FALSE),"")</f>
        <v>1143145.1162562279</v>
      </c>
      <c r="AF112" s="9" t="str">
        <f>IFERROR(VLOOKUP(A112,Nona_ESamar,3,FALSE),"")</f>
        <v/>
      </c>
      <c r="AG112" s="4" t="str">
        <f>IFERROR(VLOOKUP(A112,Nona_ESamar,6,FALSE),"")</f>
        <v/>
      </c>
      <c r="AH112" s="4" t="str">
        <f>IFERROR(VLOOKUP(A112,Nona_ESamar,7,FALSE),"")</f>
        <v/>
      </c>
      <c r="AI112" s="5">
        <f t="shared" si="151"/>
        <v>0</v>
      </c>
      <c r="AJ112" s="5" t="str">
        <f>IFERROR(VLOOKUP(A112,Nona_ESamar,14,FALSE),"")</f>
        <v/>
      </c>
      <c r="AK112" s="8" t="str">
        <f>IFERROR(VLOOKUP(A112,Nona_ESamar,16,FALSE),"")</f>
        <v/>
      </c>
      <c r="AL112" s="9">
        <f t="shared" si="137"/>
        <v>2982</v>
      </c>
      <c r="AM112" s="4">
        <f t="shared" si="138"/>
        <v>4628.25</v>
      </c>
      <c r="AN112" s="4">
        <f t="shared" si="139"/>
        <v>1800.75</v>
      </c>
      <c r="AO112" s="5">
        <f t="shared" si="155"/>
        <v>6429</v>
      </c>
      <c r="AP112" s="5">
        <f t="shared" si="140"/>
        <v>2256.5789999999997</v>
      </c>
      <c r="AQ112" s="8">
        <f t="shared" si="141"/>
        <v>38361842.999999993</v>
      </c>
      <c r="AR112" s="9">
        <f t="shared" si="142"/>
        <v>3129</v>
      </c>
      <c r="AS112" s="4">
        <f t="shared" si="143"/>
        <v>3265</v>
      </c>
      <c r="AT112" s="4">
        <f t="shared" si="144"/>
        <v>3123</v>
      </c>
      <c r="AU112" s="5">
        <f t="shared" si="153"/>
        <v>6388</v>
      </c>
      <c r="AV112" s="5"/>
      <c r="AW112" s="8">
        <f t="shared" si="145"/>
        <v>182607368.33027524</v>
      </c>
      <c r="AX112" s="3" t="str">
        <f t="shared" si="146"/>
        <v/>
      </c>
      <c r="AY112" s="3" t="str">
        <f t="shared" si="147"/>
        <v/>
      </c>
      <c r="AZ112" s="3" t="str">
        <f t="shared" si="148"/>
        <v/>
      </c>
      <c r="BA112" s="5">
        <f t="shared" si="154"/>
        <v>0</v>
      </c>
      <c r="BB112" s="709"/>
      <c r="BC112" s="711" t="str">
        <f t="shared" si="149"/>
        <v/>
      </c>
    </row>
    <row r="113" spans="1:55" ht="16.5" x14ac:dyDescent="0.3">
      <c r="A113" s="712" t="s">
        <v>263</v>
      </c>
      <c r="B113" s="9"/>
      <c r="C113" s="4"/>
      <c r="D113" s="4"/>
      <c r="G113" s="8"/>
      <c r="H113" s="9"/>
      <c r="I113" s="4"/>
      <c r="J113" s="4"/>
      <c r="K113" s="5"/>
      <c r="L113" s="5"/>
      <c r="M113" s="8"/>
      <c r="N113" s="9"/>
      <c r="O113" s="4"/>
      <c r="P113" s="4"/>
      <c r="Q113" s="5"/>
      <c r="R113" s="5"/>
      <c r="S113" s="8"/>
      <c r="T113" s="9"/>
      <c r="U113" s="4"/>
      <c r="V113" s="4"/>
      <c r="W113" s="5"/>
      <c r="X113" s="5"/>
      <c r="Y113" s="8"/>
      <c r="Z113" s="9"/>
      <c r="AA113" s="4"/>
      <c r="AB113" s="4"/>
      <c r="AC113" s="5"/>
      <c r="AD113" s="5"/>
      <c r="AE113" s="8"/>
      <c r="AF113" s="9"/>
      <c r="AG113" s="4"/>
      <c r="AH113" s="4"/>
      <c r="AI113" s="5"/>
      <c r="AJ113" s="5"/>
      <c r="AK113" s="8"/>
      <c r="AL113" s="9">
        <f t="shared" si="137"/>
        <v>2</v>
      </c>
      <c r="AM113" s="4">
        <f t="shared" si="138"/>
        <v>2</v>
      </c>
      <c r="AN113" s="4">
        <f t="shared" si="139"/>
        <v>0</v>
      </c>
      <c r="AO113" s="5">
        <f t="shared" si="155"/>
        <v>2</v>
      </c>
      <c r="AP113" s="5">
        <f t="shared" si="140"/>
        <v>0.70199999999999996</v>
      </c>
      <c r="AQ113" s="8">
        <f t="shared" si="141"/>
        <v>11934</v>
      </c>
      <c r="AR113" s="9" t="str">
        <f t="shared" si="142"/>
        <v/>
      </c>
      <c r="AS113" s="4" t="str">
        <f t="shared" si="143"/>
        <v/>
      </c>
      <c r="AT113" s="4" t="str">
        <f t="shared" si="144"/>
        <v/>
      </c>
      <c r="AU113" s="5">
        <f t="shared" si="153"/>
        <v>0</v>
      </c>
      <c r="AV113" s="5"/>
      <c r="AW113" s="8" t="str">
        <f t="shared" si="145"/>
        <v/>
      </c>
      <c r="AX113" s="3">
        <f t="shared" si="146"/>
        <v>24</v>
      </c>
      <c r="AY113" s="3">
        <f t="shared" si="147"/>
        <v>4</v>
      </c>
      <c r="AZ113" s="3">
        <f t="shared" si="148"/>
        <v>19</v>
      </c>
      <c r="BA113" s="5">
        <f t="shared" si="154"/>
        <v>23</v>
      </c>
      <c r="BB113" s="709"/>
      <c r="BC113" s="711">
        <f t="shared" si="149"/>
        <v>91472.264150943389</v>
      </c>
    </row>
    <row r="114" spans="1:55" ht="16.5" x14ac:dyDescent="0.3">
      <c r="A114" s="712" t="s">
        <v>78</v>
      </c>
      <c r="B114" s="9">
        <v>40</v>
      </c>
      <c r="C114" s="4">
        <v>41.5</v>
      </c>
      <c r="D114" s="4">
        <v>0</v>
      </c>
      <c r="E114" s="5">
        <f t="shared" si="114"/>
        <v>41.5</v>
      </c>
      <c r="F114" s="5">
        <v>42.454499999999996</v>
      </c>
      <c r="G114" s="8">
        <v>311250</v>
      </c>
      <c r="H114" s="9"/>
      <c r="I114" s="4"/>
      <c r="J114" s="4"/>
      <c r="K114" s="5">
        <f t="shared" si="110"/>
        <v>0</v>
      </c>
      <c r="L114" s="5"/>
      <c r="M114" s="8"/>
      <c r="N114" s="9"/>
      <c r="O114" s="4"/>
      <c r="P114" s="4"/>
      <c r="Q114" s="5">
        <f t="shared" si="111"/>
        <v>0</v>
      </c>
      <c r="R114" s="5"/>
      <c r="S114" s="8"/>
      <c r="T114" s="9" t="str">
        <f>IFERROR(VLOOKUP(A114,Tisoy_ESamar,3,FALSE),"")</f>
        <v/>
      </c>
      <c r="U114" s="4" t="str">
        <f>IFERROR(VLOOKUP(A114,Tisoy_ESamar,6,FALSE),"")</f>
        <v/>
      </c>
      <c r="V114" s="4" t="str">
        <f>IFERROR(VLOOKUP(A114,Tisoy_ESamar,7,FALSE),"")</f>
        <v/>
      </c>
      <c r="W114" s="5">
        <f t="shared" si="112"/>
        <v>0</v>
      </c>
      <c r="X114" s="5"/>
      <c r="Y114" s="8" t="str">
        <f>IFERROR(VLOOKUP(A114,Tisoy_wSamar,13,FALSE),"")</f>
        <v/>
      </c>
      <c r="Z114" s="9" t="str">
        <f>IFERROR(VLOOKUP(A114,Glenda_ESamar,2,FALSE),"")</f>
        <v/>
      </c>
      <c r="AA114" s="4" t="str">
        <f>IFERROR(VLOOKUP(A114,Glenda_ESamar,5,FALSE),"")</f>
        <v/>
      </c>
      <c r="AB114" s="4" t="str">
        <f>IFERROR(VLOOKUP(A114,Glenda_ESamar,6,FALSE),"")</f>
        <v/>
      </c>
      <c r="AC114" s="5">
        <f t="shared" si="150"/>
        <v>0</v>
      </c>
      <c r="AD114" s="5"/>
      <c r="AE114" s="8" t="str">
        <f>IFERROR(VLOOKUP(A114,Glenda_ESamar,12,FALSE),"")</f>
        <v/>
      </c>
      <c r="AF114" s="9" t="str">
        <f>IFERROR(VLOOKUP(A114,Nona_ESamar,3,FALSE),"")</f>
        <v/>
      </c>
      <c r="AG114" s="4" t="str">
        <f>IFERROR(VLOOKUP(A114,Nona_ESamar,6,FALSE),"")</f>
        <v/>
      </c>
      <c r="AH114" s="4" t="str">
        <f>IFERROR(VLOOKUP(A114,Nona_ESamar,7,FALSE),"")</f>
        <v/>
      </c>
      <c r="AI114" s="5">
        <f t="shared" si="151"/>
        <v>0</v>
      </c>
      <c r="AJ114" s="5" t="str">
        <f>IFERROR(VLOOKUP(A114,Nona_ESamar,14,FALSE),"")</f>
        <v/>
      </c>
      <c r="AK114" s="8" t="str">
        <f>IFERROR(VLOOKUP(A114,Nona_ESamar,16,FALSE),"")</f>
        <v/>
      </c>
      <c r="AL114" s="9">
        <f t="shared" si="137"/>
        <v>3</v>
      </c>
      <c r="AM114" s="4">
        <f t="shared" si="138"/>
        <v>0</v>
      </c>
      <c r="AN114" s="4">
        <f t="shared" si="139"/>
        <v>2.5</v>
      </c>
      <c r="AO114" s="5">
        <f t="shared" si="152"/>
        <v>2.5</v>
      </c>
      <c r="AP114" s="5">
        <f t="shared" si="140"/>
        <v>2.6324999999999994</v>
      </c>
      <c r="AQ114" s="8">
        <f t="shared" si="141"/>
        <v>44752.499999999993</v>
      </c>
      <c r="AR114" s="9">
        <f t="shared" si="142"/>
        <v>0</v>
      </c>
      <c r="AS114" s="4">
        <f t="shared" si="143"/>
        <v>0</v>
      </c>
      <c r="AT114" s="4">
        <f t="shared" si="144"/>
        <v>0</v>
      </c>
      <c r="AU114" s="5">
        <f t="shared" si="153"/>
        <v>0</v>
      </c>
      <c r="AV114" s="5"/>
      <c r="AW114" s="8">
        <f t="shared" si="145"/>
        <v>0</v>
      </c>
      <c r="AX114" s="3" t="str">
        <f t="shared" si="146"/>
        <v/>
      </c>
      <c r="AY114" s="3" t="str">
        <f t="shared" si="147"/>
        <v/>
      </c>
      <c r="AZ114" s="3" t="str">
        <f t="shared" si="148"/>
        <v/>
      </c>
      <c r="BA114" s="5">
        <f t="shared" si="154"/>
        <v>0</v>
      </c>
      <c r="BB114" s="709"/>
      <c r="BC114" s="711" t="str">
        <f t="shared" si="149"/>
        <v/>
      </c>
    </row>
    <row r="115" spans="1:55" ht="16.5" x14ac:dyDescent="0.3">
      <c r="A115" s="712" t="s">
        <v>79</v>
      </c>
      <c r="B115" s="9">
        <v>15</v>
      </c>
      <c r="C115" s="4">
        <v>11.25</v>
      </c>
      <c r="D115" s="4">
        <v>0</v>
      </c>
      <c r="E115" s="5">
        <f t="shared" si="114"/>
        <v>11.25</v>
      </c>
      <c r="F115" s="5">
        <v>11.508750000000001</v>
      </c>
      <c r="G115" s="8">
        <v>84375</v>
      </c>
      <c r="H115" s="9"/>
      <c r="I115" s="4"/>
      <c r="J115" s="4"/>
      <c r="K115" s="5">
        <f t="shared" si="110"/>
        <v>0</v>
      </c>
      <c r="L115" s="5"/>
      <c r="M115" s="8"/>
      <c r="N115" s="9"/>
      <c r="O115" s="4"/>
      <c r="P115" s="4"/>
      <c r="Q115" s="5">
        <f t="shared" si="111"/>
        <v>0</v>
      </c>
      <c r="R115" s="5"/>
      <c r="S115" s="8"/>
      <c r="T115" s="9">
        <f>IFERROR(VLOOKUP(A115,Tisoy_ESamar,3,FALSE),"")</f>
        <v>10</v>
      </c>
      <c r="U115" s="4">
        <f>IFERROR(VLOOKUP(A115,Tisoy_ESamar,6,FALSE),"")</f>
        <v>14.5</v>
      </c>
      <c r="V115" s="4">
        <f>IFERROR(VLOOKUP(A115,Tisoy_ESamar,7,FALSE),"")</f>
        <v>0</v>
      </c>
      <c r="W115" s="5">
        <f t="shared" si="112"/>
        <v>14.5</v>
      </c>
      <c r="X115" s="5"/>
      <c r="Y115" s="8">
        <f>IFERROR(VLOOKUP(A115,Tisoy_wSamar,13,FALSE),"")</f>
        <v>108315</v>
      </c>
      <c r="Z115" s="9" t="str">
        <f>IFERROR(VLOOKUP(A115,Glenda_ESamar,2,FALSE),"")</f>
        <v/>
      </c>
      <c r="AA115" s="4" t="str">
        <f>IFERROR(VLOOKUP(A115,Glenda_ESamar,5,FALSE),"")</f>
        <v/>
      </c>
      <c r="AB115" s="4" t="str">
        <f>IFERROR(VLOOKUP(A115,Glenda_ESamar,6,FALSE),"")</f>
        <v/>
      </c>
      <c r="AC115" s="5">
        <f t="shared" si="150"/>
        <v>0</v>
      </c>
      <c r="AD115" s="5"/>
      <c r="AE115" s="8" t="str">
        <f>IFERROR(VLOOKUP(A115,Glenda_ESamar,12,FALSE),"")</f>
        <v/>
      </c>
      <c r="AF115" s="9" t="str">
        <f>IFERROR(VLOOKUP(A115,Nona_ESamar,3,FALSE),"")</f>
        <v/>
      </c>
      <c r="AG115" s="4" t="str">
        <f>IFERROR(VLOOKUP(A115,Nona_ESamar,6,FALSE),"")</f>
        <v/>
      </c>
      <c r="AH115" s="4" t="str">
        <f>IFERROR(VLOOKUP(A115,Nona_ESamar,7,FALSE),"")</f>
        <v/>
      </c>
      <c r="AI115" s="5">
        <f t="shared" si="151"/>
        <v>0</v>
      </c>
      <c r="AJ115" s="5" t="str">
        <f>IFERROR(VLOOKUP(A115,Nona_ESamar,14,FALSE),"")</f>
        <v/>
      </c>
      <c r="AK115" s="8" t="str">
        <f>IFERROR(VLOOKUP(A115,Nona_ESamar,16,FALSE),"")</f>
        <v/>
      </c>
      <c r="AL115" s="9">
        <f t="shared" si="137"/>
        <v>25</v>
      </c>
      <c r="AM115" s="4">
        <f t="shared" si="138"/>
        <v>0</v>
      </c>
      <c r="AN115" s="4">
        <f t="shared" si="139"/>
        <v>15</v>
      </c>
      <c r="AO115" s="5">
        <f t="shared" si="152"/>
        <v>15</v>
      </c>
      <c r="AP115" s="5">
        <f t="shared" si="140"/>
        <v>15.794999999999998</v>
      </c>
      <c r="AQ115" s="8">
        <f t="shared" si="141"/>
        <v>268514.99999999994</v>
      </c>
      <c r="AR115" s="9">
        <f t="shared" si="142"/>
        <v>0</v>
      </c>
      <c r="AS115" s="4">
        <f t="shared" si="143"/>
        <v>0</v>
      </c>
      <c r="AT115" s="4">
        <f t="shared" si="144"/>
        <v>0</v>
      </c>
      <c r="AU115" s="5">
        <f t="shared" si="153"/>
        <v>0</v>
      </c>
      <c r="AV115" s="5"/>
      <c r="AW115" s="8">
        <f t="shared" si="145"/>
        <v>0</v>
      </c>
      <c r="AX115" s="3">
        <f t="shared" si="146"/>
        <v>30</v>
      </c>
      <c r="AY115" s="3">
        <f t="shared" si="147"/>
        <v>0</v>
      </c>
      <c r="AZ115" s="3">
        <f t="shared" si="148"/>
        <v>10</v>
      </c>
      <c r="BA115" s="5">
        <f t="shared" si="154"/>
        <v>10</v>
      </c>
      <c r="BB115" s="709"/>
      <c r="BC115" s="711">
        <f t="shared" si="149"/>
        <v>74700</v>
      </c>
    </row>
    <row r="116" spans="1:55" ht="16.5" x14ac:dyDescent="0.3">
      <c r="A116" s="712" t="s">
        <v>262</v>
      </c>
      <c r="B116" s="9"/>
      <c r="C116" s="4"/>
      <c r="D116" s="4"/>
      <c r="G116" s="8"/>
      <c r="H116" s="9"/>
      <c r="I116" s="4"/>
      <c r="J116" s="4"/>
      <c r="K116" s="5"/>
      <c r="L116" s="5"/>
      <c r="M116" s="8"/>
      <c r="N116" s="9"/>
      <c r="O116" s="4"/>
      <c r="P116" s="4"/>
      <c r="Q116" s="5"/>
      <c r="R116" s="5"/>
      <c r="S116" s="8"/>
      <c r="T116" s="9"/>
      <c r="U116" s="4"/>
      <c r="V116" s="4"/>
      <c r="W116" s="5"/>
      <c r="X116" s="5"/>
      <c r="Y116" s="8"/>
      <c r="Z116" s="9"/>
      <c r="AA116" s="4"/>
      <c r="AB116" s="4"/>
      <c r="AC116" s="5"/>
      <c r="AD116" s="5"/>
      <c r="AE116" s="8"/>
      <c r="AF116" s="9"/>
      <c r="AG116" s="4"/>
      <c r="AH116" s="4"/>
      <c r="AI116" s="5"/>
      <c r="AJ116" s="5"/>
      <c r="AK116" s="8"/>
      <c r="AL116" s="9">
        <f t="shared" si="137"/>
        <v>165</v>
      </c>
      <c r="AM116" s="4">
        <f t="shared" si="138"/>
        <v>188</v>
      </c>
      <c r="AN116" s="4">
        <f t="shared" si="139"/>
        <v>0</v>
      </c>
      <c r="AO116" s="5">
        <f t="shared" ref="AO116:AO128" si="156">SUM(AM116:AN116)</f>
        <v>188</v>
      </c>
      <c r="AP116" s="5">
        <f t="shared" si="140"/>
        <v>65.988</v>
      </c>
      <c r="AQ116" s="8">
        <f t="shared" si="141"/>
        <v>1121796</v>
      </c>
      <c r="AR116" s="9">
        <f t="shared" si="142"/>
        <v>0</v>
      </c>
      <c r="AS116" s="4">
        <f t="shared" si="143"/>
        <v>0</v>
      </c>
      <c r="AT116" s="4">
        <f t="shared" si="144"/>
        <v>0</v>
      </c>
      <c r="AU116" s="5">
        <f t="shared" si="153"/>
        <v>0</v>
      </c>
      <c r="AV116" s="5"/>
      <c r="AW116" s="8">
        <f t="shared" si="145"/>
        <v>0</v>
      </c>
      <c r="AX116" s="3" t="str">
        <f t="shared" si="146"/>
        <v/>
      </c>
      <c r="AY116" s="3" t="str">
        <f t="shared" si="147"/>
        <v/>
      </c>
      <c r="AZ116" s="3" t="str">
        <f t="shared" si="148"/>
        <v/>
      </c>
      <c r="BA116" s="5">
        <f t="shared" si="154"/>
        <v>0</v>
      </c>
      <c r="BB116" s="709"/>
      <c r="BC116" s="711" t="str">
        <f t="shared" si="149"/>
        <v/>
      </c>
    </row>
    <row r="117" spans="1:55" ht="16.5" x14ac:dyDescent="0.3">
      <c r="A117" s="712" t="s">
        <v>110</v>
      </c>
      <c r="B117" s="9"/>
      <c r="C117" s="4"/>
      <c r="D117" s="4"/>
      <c r="G117" s="8"/>
      <c r="H117" s="9"/>
      <c r="I117" s="4"/>
      <c r="J117" s="4"/>
      <c r="K117" s="5"/>
      <c r="L117" s="5"/>
      <c r="M117" s="8"/>
      <c r="N117" s="9">
        <v>150</v>
      </c>
      <c r="O117" s="4"/>
      <c r="P117" s="4"/>
      <c r="Q117" s="5"/>
      <c r="R117" s="5"/>
      <c r="S117" s="8"/>
      <c r="T117" s="9">
        <f>IFERROR(VLOOKUP(A117,Tisoy_ESamar,3,FALSE),"")</f>
        <v>278</v>
      </c>
      <c r="U117" s="4">
        <f>IFERROR(VLOOKUP(A117,Tisoy_ESamar,6,FALSE),"")</f>
        <v>278</v>
      </c>
      <c r="V117" s="4">
        <f>IFERROR(VLOOKUP(A117,Tisoy_ESamar,7,FALSE),"")</f>
        <v>0</v>
      </c>
      <c r="W117" s="5"/>
      <c r="X117" s="5"/>
      <c r="Y117" s="8">
        <f>IFERROR(VLOOKUP(A117,Tisoy_wSamar,13,FALSE),"")</f>
        <v>2076660</v>
      </c>
      <c r="Z117" s="9">
        <f>IFERROR(VLOOKUP(A117,Glenda_ESamar,2,FALSE),"")</f>
        <v>35</v>
      </c>
      <c r="AA117" s="4">
        <f>IFERROR(VLOOKUP(A117,Glenda_ESamar,5,FALSE),"")</f>
        <v>23</v>
      </c>
      <c r="AB117" s="4">
        <f>IFERROR(VLOOKUP(A117,Glenda_ESamar,6,FALSE),"")</f>
        <v>0</v>
      </c>
      <c r="AC117" s="5">
        <f t="shared" si="150"/>
        <v>23</v>
      </c>
      <c r="AD117" s="5"/>
      <c r="AE117" s="8">
        <f>IFERROR(VLOOKUP(A117,Glenda_ESamar,12,FALSE),"")</f>
        <v>769672</v>
      </c>
      <c r="AF117" s="9">
        <f>IFERROR(VLOOKUP(A117,Nona_ESamar,3,FALSE),"")</f>
        <v>122</v>
      </c>
      <c r="AG117" s="4">
        <f>IFERROR(VLOOKUP(A117,Nona_ESamar,6,FALSE),"")</f>
        <v>125</v>
      </c>
      <c r="AH117" s="4">
        <f>IFERROR(VLOOKUP(A117,Nona_ESamar,7,FALSE),"")</f>
        <v>0</v>
      </c>
      <c r="AI117" s="5">
        <f t="shared" si="151"/>
        <v>125</v>
      </c>
      <c r="AJ117" s="5">
        <f>IFERROR(VLOOKUP(A117,Nona_ESamar,14,FALSE),"")</f>
        <v>376.4375</v>
      </c>
      <c r="AK117" s="8">
        <f>IFERROR(VLOOKUP(A117,Nona_ESamar,16,FALSE),"")</f>
        <v>6399437.5</v>
      </c>
      <c r="AL117" s="9" t="str">
        <f t="shared" si="137"/>
        <v/>
      </c>
      <c r="AM117" s="4" t="str">
        <f t="shared" si="138"/>
        <v/>
      </c>
      <c r="AN117" s="4" t="str">
        <f t="shared" si="139"/>
        <v/>
      </c>
      <c r="AO117" s="5">
        <f t="shared" si="156"/>
        <v>0</v>
      </c>
      <c r="AP117" s="5" t="str">
        <f t="shared" si="140"/>
        <v/>
      </c>
      <c r="AQ117" s="8" t="str">
        <f t="shared" si="141"/>
        <v/>
      </c>
      <c r="AR117" s="9">
        <f t="shared" si="142"/>
        <v>410</v>
      </c>
      <c r="AS117" s="4">
        <f t="shared" si="143"/>
        <v>311.5</v>
      </c>
      <c r="AT117" s="4">
        <f t="shared" si="144"/>
        <v>0</v>
      </c>
      <c r="AU117" s="5">
        <f t="shared" si="153"/>
        <v>311.5</v>
      </c>
      <c r="AV117" s="5"/>
      <c r="AW117" s="8">
        <f t="shared" si="145"/>
        <v>2326905</v>
      </c>
      <c r="AX117" s="3" t="str">
        <f t="shared" si="146"/>
        <v/>
      </c>
      <c r="AY117" s="3" t="str">
        <f t="shared" si="147"/>
        <v/>
      </c>
      <c r="AZ117" s="3" t="str">
        <f t="shared" si="148"/>
        <v/>
      </c>
      <c r="BA117" s="5">
        <f t="shared" si="154"/>
        <v>0</v>
      </c>
      <c r="BB117" s="709"/>
      <c r="BC117" s="711" t="str">
        <f t="shared" si="149"/>
        <v/>
      </c>
    </row>
    <row r="118" spans="1:55" ht="16.5" x14ac:dyDescent="0.3">
      <c r="A118" s="712" t="s">
        <v>80</v>
      </c>
      <c r="B118" s="9">
        <v>25</v>
      </c>
      <c r="C118" s="4">
        <v>16</v>
      </c>
      <c r="D118" s="4">
        <v>0</v>
      </c>
      <c r="E118" s="5">
        <f t="shared" si="114"/>
        <v>16</v>
      </c>
      <c r="F118" s="5">
        <v>16.367999999999999</v>
      </c>
      <c r="G118" s="8">
        <v>120000</v>
      </c>
      <c r="H118" s="9"/>
      <c r="I118" s="4"/>
      <c r="J118" s="4"/>
      <c r="K118" s="5">
        <f t="shared" si="110"/>
        <v>0</v>
      </c>
      <c r="L118" s="5"/>
      <c r="M118" s="8"/>
      <c r="N118" s="9"/>
      <c r="O118" s="4"/>
      <c r="P118" s="4"/>
      <c r="Q118" s="5">
        <f t="shared" si="111"/>
        <v>0</v>
      </c>
      <c r="R118" s="5"/>
      <c r="S118" s="8"/>
      <c r="T118" s="9" t="str">
        <f>IFERROR(VLOOKUP(A118,Tisoy_ESamar,3,FALSE),"")</f>
        <v/>
      </c>
      <c r="U118" s="4" t="str">
        <f>IFERROR(VLOOKUP(A118,Tisoy_ESamar,6,FALSE),"")</f>
        <v/>
      </c>
      <c r="V118" s="4" t="str">
        <f>IFERROR(VLOOKUP(A118,Tisoy_ESamar,7,FALSE),"")</f>
        <v/>
      </c>
      <c r="W118" s="5">
        <f t="shared" si="112"/>
        <v>0</v>
      </c>
      <c r="X118" s="5"/>
      <c r="Y118" s="8" t="str">
        <f>IFERROR(VLOOKUP(A118,Tisoy_wSamar,13,FALSE),"")</f>
        <v/>
      </c>
      <c r="Z118" s="9" t="str">
        <f>IFERROR(VLOOKUP(A118,Glenda_ESamar,2,FALSE),"")</f>
        <v/>
      </c>
      <c r="AA118" s="4" t="str">
        <f>IFERROR(VLOOKUP(A118,Glenda_ESamar,5,FALSE),"")</f>
        <v/>
      </c>
      <c r="AB118" s="4" t="str">
        <f>IFERROR(VLOOKUP(A118,Glenda_ESamar,6,FALSE),"")</f>
        <v/>
      </c>
      <c r="AC118" s="5">
        <f t="shared" si="150"/>
        <v>0</v>
      </c>
      <c r="AD118" s="5"/>
      <c r="AE118" s="8" t="str">
        <f>IFERROR(VLOOKUP(A118,Glenda_ESamar,12,FALSE),"")</f>
        <v/>
      </c>
      <c r="AF118" s="9" t="str">
        <f>IFERROR(VLOOKUP(A118,Nona_ESamar,3,FALSE),"")</f>
        <v/>
      </c>
      <c r="AG118" s="4" t="str">
        <f>IFERROR(VLOOKUP(A118,Nona_ESamar,6,FALSE),"")</f>
        <v/>
      </c>
      <c r="AH118" s="4" t="str">
        <f>IFERROR(VLOOKUP(A118,Nona_ESamar,7,FALSE),"")</f>
        <v/>
      </c>
      <c r="AI118" s="5">
        <f t="shared" si="151"/>
        <v>0</v>
      </c>
      <c r="AJ118" s="5" t="str">
        <f>IFERROR(VLOOKUP(A118,Nona_ESamar,14,FALSE),"")</f>
        <v/>
      </c>
      <c r="AK118" s="8" t="str">
        <f>IFERROR(VLOOKUP(A118,Nona_ESamar,16,FALSE),"")</f>
        <v/>
      </c>
      <c r="AL118" s="9">
        <f t="shared" si="137"/>
        <v>10</v>
      </c>
      <c r="AM118" s="4">
        <f t="shared" si="138"/>
        <v>4</v>
      </c>
      <c r="AN118" s="4">
        <f t="shared" si="139"/>
        <v>4</v>
      </c>
      <c r="AO118" s="5">
        <f t="shared" si="156"/>
        <v>8</v>
      </c>
      <c r="AP118" s="5">
        <f t="shared" si="140"/>
        <v>2.8079999999999998</v>
      </c>
      <c r="AQ118" s="8">
        <f t="shared" si="141"/>
        <v>47736</v>
      </c>
      <c r="AR118" s="9">
        <f t="shared" si="142"/>
        <v>0</v>
      </c>
      <c r="AS118" s="4">
        <f t="shared" si="143"/>
        <v>0</v>
      </c>
      <c r="AT118" s="4">
        <f t="shared" si="144"/>
        <v>0</v>
      </c>
      <c r="AU118" s="5">
        <f t="shared" si="153"/>
        <v>0</v>
      </c>
      <c r="AV118" s="5"/>
      <c r="AW118" s="8">
        <f t="shared" si="145"/>
        <v>0</v>
      </c>
      <c r="AX118" s="3" t="str">
        <f t="shared" si="146"/>
        <v/>
      </c>
      <c r="AY118" s="3" t="str">
        <f t="shared" si="147"/>
        <v/>
      </c>
      <c r="AZ118" s="3" t="str">
        <f t="shared" si="148"/>
        <v/>
      </c>
      <c r="BA118" s="5">
        <f t="shared" si="154"/>
        <v>0</v>
      </c>
      <c r="BB118" s="709"/>
      <c r="BC118" s="711" t="str">
        <f t="shared" si="149"/>
        <v/>
      </c>
    </row>
    <row r="119" spans="1:55" ht="16.5" x14ac:dyDescent="0.3">
      <c r="A119" s="712" t="s">
        <v>81</v>
      </c>
      <c r="B119" s="9">
        <v>65</v>
      </c>
      <c r="C119" s="4">
        <v>37.5</v>
      </c>
      <c r="D119" s="4">
        <v>0</v>
      </c>
      <c r="E119" s="5">
        <f t="shared" si="114"/>
        <v>37.5</v>
      </c>
      <c r="F119" s="5">
        <v>38.362500000000004</v>
      </c>
      <c r="G119" s="8">
        <v>281250</v>
      </c>
      <c r="H119" s="9"/>
      <c r="I119" s="4"/>
      <c r="J119" s="4"/>
      <c r="K119" s="5">
        <f t="shared" si="110"/>
        <v>0</v>
      </c>
      <c r="L119" s="5"/>
      <c r="M119" s="8"/>
      <c r="N119" s="9"/>
      <c r="O119" s="4"/>
      <c r="P119" s="4"/>
      <c r="Q119" s="5">
        <f t="shared" si="111"/>
        <v>0</v>
      </c>
      <c r="R119" s="5"/>
      <c r="S119" s="8"/>
      <c r="T119" s="9" t="str">
        <f>IFERROR(VLOOKUP(A119,Tisoy_ESamar,3,FALSE),"")</f>
        <v/>
      </c>
      <c r="U119" s="4" t="str">
        <f>IFERROR(VLOOKUP(A119,Tisoy_ESamar,6,FALSE),"")</f>
        <v/>
      </c>
      <c r="V119" s="4" t="str">
        <f>IFERROR(VLOOKUP(A119,Tisoy_ESamar,7,FALSE),"")</f>
        <v/>
      </c>
      <c r="W119" s="5">
        <f t="shared" si="112"/>
        <v>0</v>
      </c>
      <c r="X119" s="5"/>
      <c r="Y119" s="8" t="str">
        <f>IFERROR(VLOOKUP(A119,Tisoy_wSamar,13,FALSE),"")</f>
        <v/>
      </c>
      <c r="Z119" s="9" t="str">
        <f>IFERROR(VLOOKUP(A119,Glenda_ESamar,2,FALSE),"")</f>
        <v/>
      </c>
      <c r="AA119" s="4" t="str">
        <f>IFERROR(VLOOKUP(A119,Glenda_ESamar,5,FALSE),"")</f>
        <v/>
      </c>
      <c r="AB119" s="4" t="str">
        <f>IFERROR(VLOOKUP(A119,Glenda_ESamar,6,FALSE),"")</f>
        <v/>
      </c>
      <c r="AC119" s="5">
        <f t="shared" si="150"/>
        <v>0</v>
      </c>
      <c r="AD119" s="5"/>
      <c r="AE119" s="8" t="str">
        <f>IFERROR(VLOOKUP(A119,Glenda_ESamar,12,FALSE),"")</f>
        <v/>
      </c>
      <c r="AF119" s="9" t="str">
        <f>IFERROR(VLOOKUP(A119,Nona_ESamar,3,FALSE),"")</f>
        <v/>
      </c>
      <c r="AG119" s="4" t="str">
        <f>IFERROR(VLOOKUP(A119,Nona_ESamar,6,FALSE),"")</f>
        <v/>
      </c>
      <c r="AH119" s="4" t="str">
        <f>IFERROR(VLOOKUP(A119,Nona_ESamar,7,FALSE),"")</f>
        <v/>
      </c>
      <c r="AI119" s="5">
        <f t="shared" si="151"/>
        <v>0</v>
      </c>
      <c r="AJ119" s="5" t="str">
        <f>IFERROR(VLOOKUP(A119,Nona_ESamar,14,FALSE),"")</f>
        <v/>
      </c>
      <c r="AK119" s="8" t="str">
        <f>IFERROR(VLOOKUP(A119,Nona_ESamar,16,FALSE),"")</f>
        <v/>
      </c>
      <c r="AL119" s="9" t="str">
        <f t="shared" si="137"/>
        <v/>
      </c>
      <c r="AM119" s="4" t="str">
        <f t="shared" si="138"/>
        <v/>
      </c>
      <c r="AN119" s="4" t="str">
        <f t="shared" si="139"/>
        <v/>
      </c>
      <c r="AO119" s="5">
        <f t="shared" si="156"/>
        <v>0</v>
      </c>
      <c r="AP119" s="5" t="str">
        <f t="shared" si="140"/>
        <v/>
      </c>
      <c r="AQ119" s="8" t="str">
        <f t="shared" si="141"/>
        <v/>
      </c>
      <c r="AR119" s="9">
        <f t="shared" si="142"/>
        <v>0</v>
      </c>
      <c r="AS119" s="4">
        <f t="shared" si="143"/>
        <v>0</v>
      </c>
      <c r="AT119" s="4">
        <f t="shared" si="144"/>
        <v>0</v>
      </c>
      <c r="AU119" s="5">
        <f t="shared" si="153"/>
        <v>0</v>
      </c>
      <c r="AV119" s="5"/>
      <c r="AW119" s="8">
        <f t="shared" si="145"/>
        <v>0</v>
      </c>
      <c r="AX119" s="3" t="str">
        <f t="shared" si="146"/>
        <v/>
      </c>
      <c r="AY119" s="3" t="str">
        <f t="shared" si="147"/>
        <v/>
      </c>
      <c r="AZ119" s="3" t="str">
        <f t="shared" si="148"/>
        <v/>
      </c>
      <c r="BA119" s="5">
        <f t="shared" si="154"/>
        <v>0</v>
      </c>
      <c r="BB119" s="709"/>
      <c r="BC119" s="711" t="str">
        <f t="shared" si="149"/>
        <v/>
      </c>
    </row>
    <row r="120" spans="1:55" ht="16.5" x14ac:dyDescent="0.3">
      <c r="A120" s="712" t="s">
        <v>2</v>
      </c>
      <c r="B120" s="9"/>
      <c r="C120" s="4"/>
      <c r="D120" s="4"/>
      <c r="G120" s="8"/>
      <c r="H120" s="9"/>
      <c r="I120" s="4"/>
      <c r="J120" s="4"/>
      <c r="K120" s="5"/>
      <c r="L120" s="5"/>
      <c r="M120" s="8"/>
      <c r="N120" s="9"/>
      <c r="O120" s="4"/>
      <c r="P120" s="4"/>
      <c r="Q120" s="5"/>
      <c r="R120" s="5"/>
      <c r="S120" s="8"/>
      <c r="T120" s="9"/>
      <c r="U120" s="4"/>
      <c r="V120" s="4"/>
      <c r="W120" s="5"/>
      <c r="X120" s="5"/>
      <c r="Y120" s="8"/>
      <c r="Z120" s="9"/>
      <c r="AA120" s="4"/>
      <c r="AB120" s="4"/>
      <c r="AC120" s="5"/>
      <c r="AD120" s="5"/>
      <c r="AE120" s="8"/>
      <c r="AF120" s="9"/>
      <c r="AG120" s="4"/>
      <c r="AH120" s="4"/>
      <c r="AI120" s="5"/>
      <c r="AJ120" s="5"/>
      <c r="AK120" s="8"/>
      <c r="AL120" s="9">
        <f t="shared" si="137"/>
        <v>5</v>
      </c>
      <c r="AM120" s="4">
        <f t="shared" si="138"/>
        <v>5</v>
      </c>
      <c r="AN120" s="4">
        <f t="shared" si="139"/>
        <v>0</v>
      </c>
      <c r="AO120" s="5">
        <f t="shared" si="156"/>
        <v>5</v>
      </c>
      <c r="AP120" s="5">
        <f t="shared" si="140"/>
        <v>1.7549999999999999</v>
      </c>
      <c r="AQ120" s="8">
        <f t="shared" si="141"/>
        <v>29835</v>
      </c>
      <c r="AR120" s="9">
        <f t="shared" si="142"/>
        <v>0</v>
      </c>
      <c r="AS120" s="4">
        <f t="shared" si="143"/>
        <v>0</v>
      </c>
      <c r="AT120" s="4">
        <f t="shared" si="144"/>
        <v>0</v>
      </c>
      <c r="AU120" s="5">
        <f t="shared" si="153"/>
        <v>0</v>
      </c>
      <c r="AV120" s="5"/>
      <c r="AW120" s="8">
        <f t="shared" si="145"/>
        <v>0</v>
      </c>
      <c r="AX120" s="3" t="str">
        <f t="shared" si="146"/>
        <v/>
      </c>
      <c r="AY120" s="3" t="str">
        <f t="shared" si="147"/>
        <v/>
      </c>
      <c r="AZ120" s="3" t="str">
        <f t="shared" si="148"/>
        <v/>
      </c>
      <c r="BA120" s="5">
        <f t="shared" si="154"/>
        <v>0</v>
      </c>
      <c r="BB120" s="709"/>
      <c r="BC120" s="711" t="str">
        <f t="shared" si="149"/>
        <v/>
      </c>
    </row>
    <row r="121" spans="1:55" ht="16.5" x14ac:dyDescent="0.3">
      <c r="A121" s="712" t="s">
        <v>261</v>
      </c>
      <c r="B121" s="9"/>
      <c r="C121" s="4"/>
      <c r="D121" s="4"/>
      <c r="G121" s="8"/>
      <c r="H121" s="9"/>
      <c r="I121" s="4"/>
      <c r="J121" s="4"/>
      <c r="K121" s="5"/>
      <c r="L121" s="5"/>
      <c r="M121" s="8"/>
      <c r="N121" s="9"/>
      <c r="O121" s="4"/>
      <c r="P121" s="4"/>
      <c r="Q121" s="5"/>
      <c r="R121" s="5"/>
      <c r="S121" s="8"/>
      <c r="T121" s="9"/>
      <c r="U121" s="4"/>
      <c r="V121" s="4"/>
      <c r="W121" s="5"/>
      <c r="X121" s="5"/>
      <c r="Y121" s="8"/>
      <c r="Z121" s="9"/>
      <c r="AA121" s="4"/>
      <c r="AB121" s="4"/>
      <c r="AC121" s="5"/>
      <c r="AD121" s="5"/>
      <c r="AE121" s="8"/>
      <c r="AF121" s="9"/>
      <c r="AG121" s="4"/>
      <c r="AH121" s="4"/>
      <c r="AI121" s="5"/>
      <c r="AJ121" s="5"/>
      <c r="AK121" s="8"/>
      <c r="AL121" s="9">
        <f t="shared" si="137"/>
        <v>384</v>
      </c>
      <c r="AM121" s="4">
        <f t="shared" si="138"/>
        <v>199</v>
      </c>
      <c r="AN121" s="4">
        <f t="shared" si="139"/>
        <v>0</v>
      </c>
      <c r="AO121" s="5">
        <f t="shared" si="156"/>
        <v>199</v>
      </c>
      <c r="AP121" s="5">
        <f t="shared" si="140"/>
        <v>69.849000000000004</v>
      </c>
      <c r="AQ121" s="8">
        <f t="shared" si="141"/>
        <v>1187433</v>
      </c>
      <c r="AR121" s="9">
        <f t="shared" si="142"/>
        <v>235</v>
      </c>
      <c r="AS121" s="4">
        <f t="shared" si="143"/>
        <v>185</v>
      </c>
      <c r="AT121" s="4">
        <f t="shared" si="144"/>
        <v>0</v>
      </c>
      <c r="AU121" s="5">
        <f t="shared" si="153"/>
        <v>185</v>
      </c>
      <c r="AV121" s="5"/>
      <c r="AW121" s="8">
        <f t="shared" si="145"/>
        <v>1381950</v>
      </c>
      <c r="AX121" s="3" t="str">
        <f t="shared" si="146"/>
        <v/>
      </c>
      <c r="AY121" s="3" t="str">
        <f t="shared" si="147"/>
        <v/>
      </c>
      <c r="AZ121" s="3" t="str">
        <f t="shared" si="148"/>
        <v/>
      </c>
      <c r="BA121" s="5">
        <f t="shared" si="154"/>
        <v>0</v>
      </c>
      <c r="BB121" s="709"/>
      <c r="BC121" s="711" t="str">
        <f t="shared" si="149"/>
        <v/>
      </c>
    </row>
    <row r="122" spans="1:55" ht="16.5" x14ac:dyDescent="0.3">
      <c r="A122" s="712" t="s">
        <v>82</v>
      </c>
      <c r="B122" s="9">
        <v>131</v>
      </c>
      <c r="C122" s="4">
        <v>0</v>
      </c>
      <c r="D122" s="4">
        <v>26.25</v>
      </c>
      <c r="E122" s="5">
        <f t="shared" si="114"/>
        <v>26.25</v>
      </c>
      <c r="F122" s="5">
        <v>26.853750000000002</v>
      </c>
      <c r="G122" s="8">
        <v>157500</v>
      </c>
      <c r="H122" s="9"/>
      <c r="I122" s="4"/>
      <c r="J122" s="4"/>
      <c r="K122" s="5">
        <f t="shared" si="110"/>
        <v>0</v>
      </c>
      <c r="L122" s="5"/>
      <c r="M122" s="8"/>
      <c r="N122" s="9"/>
      <c r="O122" s="4"/>
      <c r="P122" s="4"/>
      <c r="Q122" s="5">
        <f t="shared" si="111"/>
        <v>0</v>
      </c>
      <c r="R122" s="5"/>
      <c r="S122" s="8"/>
      <c r="T122" s="9" t="str">
        <f>IFERROR(VLOOKUP(A122,Tisoy_ESamar,3,FALSE),"")</f>
        <v/>
      </c>
      <c r="U122" s="4" t="str">
        <f>IFERROR(VLOOKUP(A122,Tisoy_ESamar,6,FALSE),"")</f>
        <v/>
      </c>
      <c r="V122" s="4" t="str">
        <f>IFERROR(VLOOKUP(A122,Tisoy_ESamar,7,FALSE),"")</f>
        <v/>
      </c>
      <c r="W122" s="5">
        <f t="shared" si="112"/>
        <v>0</v>
      </c>
      <c r="X122" s="5"/>
      <c r="Y122" s="8" t="str">
        <f>IFERROR(VLOOKUP(A122,Tisoy_wSamar,13,FALSE),"")</f>
        <v/>
      </c>
      <c r="Z122" s="9" t="str">
        <f>IFERROR(VLOOKUP(A122,Glenda_ESamar,2,FALSE),"")</f>
        <v/>
      </c>
      <c r="AA122" s="4" t="str">
        <f>IFERROR(VLOOKUP(A122,Glenda_ESamar,5,FALSE),"")</f>
        <v/>
      </c>
      <c r="AB122" s="4" t="str">
        <f>IFERROR(VLOOKUP(A122,Glenda_ESamar,6,FALSE),"")</f>
        <v/>
      </c>
      <c r="AC122" s="5">
        <f t="shared" si="150"/>
        <v>0</v>
      </c>
      <c r="AD122" s="5"/>
      <c r="AE122" s="8" t="str">
        <f>IFERROR(VLOOKUP(A122,Glenda_ESamar,12,FALSE),"")</f>
        <v/>
      </c>
      <c r="AF122" s="9" t="str">
        <f>IFERROR(VLOOKUP(A122,Nona_ESamar,3,FALSE),"")</f>
        <v/>
      </c>
      <c r="AG122" s="4" t="str">
        <f>IFERROR(VLOOKUP(A122,Nona_ESamar,6,FALSE),"")</f>
        <v/>
      </c>
      <c r="AH122" s="4" t="str">
        <f>IFERROR(VLOOKUP(A122,Nona_ESamar,7,FALSE),"")</f>
        <v/>
      </c>
      <c r="AI122" s="5">
        <f t="shared" si="151"/>
        <v>0</v>
      </c>
      <c r="AJ122" s="5" t="str">
        <f>IFERROR(VLOOKUP(A122,Nona_ESamar,14,FALSE),"")</f>
        <v/>
      </c>
      <c r="AK122" s="8" t="str">
        <f>IFERROR(VLOOKUP(A122,Nona_ESamar,16,FALSE),"")</f>
        <v/>
      </c>
      <c r="AL122" s="9">
        <f t="shared" si="137"/>
        <v>275</v>
      </c>
      <c r="AM122" s="4">
        <f t="shared" si="138"/>
        <v>200</v>
      </c>
      <c r="AN122" s="4">
        <f t="shared" si="139"/>
        <v>70</v>
      </c>
      <c r="AO122" s="5">
        <f t="shared" si="156"/>
        <v>270</v>
      </c>
      <c r="AP122" s="5">
        <f t="shared" si="140"/>
        <v>235.17</v>
      </c>
      <c r="AQ122" s="8">
        <f t="shared" si="141"/>
        <v>3997890</v>
      </c>
      <c r="AR122" s="9">
        <f t="shared" si="142"/>
        <v>150</v>
      </c>
      <c r="AS122" s="4">
        <f t="shared" si="143"/>
        <v>110</v>
      </c>
      <c r="AT122" s="4">
        <f t="shared" si="144"/>
        <v>0</v>
      </c>
      <c r="AU122" s="5">
        <f t="shared" si="153"/>
        <v>110</v>
      </c>
      <c r="AV122" s="5"/>
      <c r="AW122" s="8">
        <f t="shared" si="145"/>
        <v>3681040</v>
      </c>
      <c r="AX122" s="3" t="str">
        <f t="shared" si="146"/>
        <v/>
      </c>
      <c r="AY122" s="3" t="str">
        <f t="shared" si="147"/>
        <v/>
      </c>
      <c r="AZ122" s="3" t="str">
        <f t="shared" si="148"/>
        <v/>
      </c>
      <c r="BA122" s="5">
        <f t="shared" si="154"/>
        <v>0</v>
      </c>
      <c r="BB122" s="709"/>
      <c r="BC122" s="711" t="str">
        <f t="shared" si="149"/>
        <v/>
      </c>
    </row>
    <row r="123" spans="1:55" ht="16.5" x14ac:dyDescent="0.3">
      <c r="A123" s="712" t="s">
        <v>83</v>
      </c>
      <c r="B123" s="9">
        <v>75</v>
      </c>
      <c r="C123" s="4">
        <v>25.5</v>
      </c>
      <c r="D123" s="4">
        <v>26.25</v>
      </c>
      <c r="E123" s="5">
        <f t="shared" si="114"/>
        <v>51.75</v>
      </c>
      <c r="F123" s="5">
        <v>52.940249999999999</v>
      </c>
      <c r="G123" s="8">
        <v>388125</v>
      </c>
      <c r="H123" s="9"/>
      <c r="I123" s="4"/>
      <c r="J123" s="4"/>
      <c r="K123" s="5">
        <f t="shared" si="110"/>
        <v>0</v>
      </c>
      <c r="L123" s="5"/>
      <c r="M123" s="8"/>
      <c r="N123" s="9"/>
      <c r="O123" s="4"/>
      <c r="P123" s="4"/>
      <c r="Q123" s="5">
        <f t="shared" si="111"/>
        <v>0</v>
      </c>
      <c r="R123" s="5"/>
      <c r="S123" s="8"/>
      <c r="T123" s="9">
        <f>IFERROR(VLOOKUP(A123,Tisoy_ESamar,3,FALSE),"")</f>
        <v>23</v>
      </c>
      <c r="U123" s="4">
        <f>IFERROR(VLOOKUP(A123,Tisoy_ESamar,6,FALSE),"")</f>
        <v>0.92</v>
      </c>
      <c r="V123" s="4">
        <f>IFERROR(VLOOKUP(A123,Tisoy_ESamar,7,FALSE),"")</f>
        <v>0</v>
      </c>
      <c r="W123" s="5">
        <f t="shared" si="112"/>
        <v>0.92</v>
      </c>
      <c r="X123" s="5"/>
      <c r="Y123" s="8">
        <f>IFERROR(VLOOKUP(A123,Tisoy_wSamar,13,FALSE),"")</f>
        <v>6872.4000000000005</v>
      </c>
      <c r="Z123" s="9">
        <f>IFERROR(VLOOKUP(A123,Glenda_ESamar,2,FALSE),"")</f>
        <v>0</v>
      </c>
      <c r="AA123" s="4">
        <f>IFERROR(VLOOKUP(A123,Glenda_ESamar,5,FALSE),"")</f>
        <v>25.75</v>
      </c>
      <c r="AB123" s="4">
        <f>IFERROR(VLOOKUP(A123,Glenda_ESamar,6,FALSE),"")</f>
        <v>186.25</v>
      </c>
      <c r="AC123" s="5">
        <f t="shared" si="150"/>
        <v>212</v>
      </c>
      <c r="AD123" s="5"/>
      <c r="AE123" s="8">
        <f>IFERROR(VLOOKUP(A123,Glenda_ESamar,12,FALSE),"")</f>
        <v>694968.61027758021</v>
      </c>
      <c r="AF123" s="9" t="str">
        <f>IFERROR(VLOOKUP(A123,Nona_ESamar,3,FALSE),"")</f>
        <v/>
      </c>
      <c r="AG123" s="4" t="str">
        <f>IFERROR(VLOOKUP(A123,Nona_ESamar,6,FALSE),"")</f>
        <v/>
      </c>
      <c r="AH123" s="4" t="str">
        <f>IFERROR(VLOOKUP(A123,Nona_ESamar,7,FALSE),"")</f>
        <v/>
      </c>
      <c r="AI123" s="5">
        <f t="shared" si="151"/>
        <v>0</v>
      </c>
      <c r="AJ123" s="5" t="str">
        <f>IFERROR(VLOOKUP(A123,Nona_ESamar,14,FALSE),"")</f>
        <v/>
      </c>
      <c r="AK123" s="8" t="str">
        <f>IFERROR(VLOOKUP(A123,Nona_ESamar,16,FALSE),"")</f>
        <v/>
      </c>
      <c r="AL123" s="9">
        <f t="shared" si="137"/>
        <v>155</v>
      </c>
      <c r="AM123" s="4">
        <f t="shared" si="138"/>
        <v>152</v>
      </c>
      <c r="AN123" s="4">
        <f t="shared" si="139"/>
        <v>0</v>
      </c>
      <c r="AO123" s="5">
        <f t="shared" si="156"/>
        <v>152</v>
      </c>
      <c r="AP123" s="5">
        <f t="shared" si="140"/>
        <v>160.05599999999998</v>
      </c>
      <c r="AQ123" s="8">
        <f t="shared" si="141"/>
        <v>2720951.9999999995</v>
      </c>
      <c r="AR123" s="9">
        <f t="shared" si="142"/>
        <v>59.5</v>
      </c>
      <c r="AS123" s="4">
        <f t="shared" si="143"/>
        <v>85</v>
      </c>
      <c r="AT123" s="4">
        <f t="shared" si="144"/>
        <v>0</v>
      </c>
      <c r="AU123" s="5">
        <f t="shared" si="153"/>
        <v>85</v>
      </c>
      <c r="AV123" s="5"/>
      <c r="AW123" s="8">
        <f t="shared" si="145"/>
        <v>1544740</v>
      </c>
      <c r="AX123" s="3" t="str">
        <f t="shared" si="146"/>
        <v/>
      </c>
      <c r="AY123" s="3" t="str">
        <f t="shared" si="147"/>
        <v/>
      </c>
      <c r="AZ123" s="3" t="str">
        <f t="shared" si="148"/>
        <v/>
      </c>
      <c r="BA123" s="5">
        <f t="shared" si="154"/>
        <v>0</v>
      </c>
      <c r="BB123" s="709"/>
      <c r="BC123" s="711" t="str">
        <f t="shared" si="149"/>
        <v/>
      </c>
    </row>
    <row r="124" spans="1:55" ht="16.5" x14ac:dyDescent="0.3">
      <c r="A124" s="712" t="s">
        <v>260</v>
      </c>
      <c r="B124" s="9"/>
      <c r="C124" s="4"/>
      <c r="D124" s="4"/>
      <c r="G124" s="8"/>
      <c r="H124" s="9"/>
      <c r="I124" s="4"/>
      <c r="J124" s="4"/>
      <c r="K124" s="5"/>
      <c r="L124" s="5"/>
      <c r="M124" s="8"/>
      <c r="N124" s="9"/>
      <c r="O124" s="4"/>
      <c r="P124" s="4"/>
      <c r="Q124" s="5"/>
      <c r="R124" s="5"/>
      <c r="S124" s="8"/>
      <c r="T124" s="9"/>
      <c r="U124" s="4"/>
      <c r="V124" s="4"/>
      <c r="W124" s="5"/>
      <c r="X124" s="5"/>
      <c r="Y124" s="8"/>
      <c r="Z124" s="9"/>
      <c r="AA124" s="4"/>
      <c r="AB124" s="4"/>
      <c r="AC124" s="5"/>
      <c r="AD124" s="5"/>
      <c r="AE124" s="8"/>
      <c r="AF124" s="9"/>
      <c r="AG124" s="4"/>
      <c r="AH124" s="4"/>
      <c r="AI124" s="5"/>
      <c r="AJ124" s="5"/>
      <c r="AK124" s="8"/>
      <c r="AL124" s="9">
        <f t="shared" si="137"/>
        <v>34</v>
      </c>
      <c r="AM124" s="4">
        <f t="shared" si="138"/>
        <v>36</v>
      </c>
      <c r="AN124" s="4">
        <f t="shared" si="139"/>
        <v>0</v>
      </c>
      <c r="AO124" s="5">
        <f t="shared" si="156"/>
        <v>36</v>
      </c>
      <c r="AP124" s="5">
        <f t="shared" si="140"/>
        <v>12.635999999999999</v>
      </c>
      <c r="AQ124" s="8">
        <f t="shared" si="141"/>
        <v>214812</v>
      </c>
      <c r="AR124" s="9">
        <f t="shared" si="142"/>
        <v>0</v>
      </c>
      <c r="AS124" s="4">
        <f t="shared" si="143"/>
        <v>0</v>
      </c>
      <c r="AT124" s="4">
        <f t="shared" si="144"/>
        <v>0</v>
      </c>
      <c r="AU124" s="5">
        <f t="shared" si="153"/>
        <v>0</v>
      </c>
      <c r="AV124" s="5"/>
      <c r="AW124" s="8">
        <f t="shared" si="145"/>
        <v>0</v>
      </c>
      <c r="AX124" s="3">
        <f t="shared" si="146"/>
        <v>3</v>
      </c>
      <c r="AY124" s="3">
        <f t="shared" si="147"/>
        <v>3</v>
      </c>
      <c r="AZ124" s="3">
        <f t="shared" si="148"/>
        <v>0</v>
      </c>
      <c r="BA124" s="5">
        <f t="shared" si="154"/>
        <v>3</v>
      </c>
      <c r="BB124" s="709"/>
      <c r="BC124" s="711">
        <f t="shared" si="149"/>
        <v>100392</v>
      </c>
    </row>
    <row r="125" spans="1:55" ht="16.5" x14ac:dyDescent="0.3">
      <c r="A125" s="712" t="s">
        <v>229</v>
      </c>
      <c r="B125" s="9"/>
      <c r="C125" s="4"/>
      <c r="D125" s="4"/>
      <c r="G125" s="8"/>
      <c r="H125" s="9"/>
      <c r="I125" s="4"/>
      <c r="J125" s="4"/>
      <c r="K125" s="5"/>
      <c r="L125" s="5"/>
      <c r="M125" s="8"/>
      <c r="N125" s="9"/>
      <c r="O125" s="4"/>
      <c r="P125" s="4"/>
      <c r="Q125" s="5"/>
      <c r="R125" s="5"/>
      <c r="S125" s="8"/>
      <c r="T125" s="9"/>
      <c r="U125" s="4"/>
      <c r="V125" s="4"/>
      <c r="W125" s="5"/>
      <c r="X125" s="5"/>
      <c r="Y125" s="8"/>
      <c r="Z125" s="9">
        <f>IFERROR(VLOOKUP(A125,Glenda_ESamar,2,FALSE),"")</f>
        <v>306</v>
      </c>
      <c r="AA125" s="4">
        <f>IFERROR(VLOOKUP(A125,Glenda_ESamar,5,FALSE),"")</f>
        <v>0</v>
      </c>
      <c r="AB125" s="4">
        <f>IFERROR(VLOOKUP(A125,Glenda_ESamar,6,FALSE),"")</f>
        <v>350</v>
      </c>
      <c r="AC125" s="5">
        <f t="shared" ref="AC125:AC127" si="157">SUM(AA125:AB125)</f>
        <v>350</v>
      </c>
      <c r="AD125" s="5"/>
      <c r="AE125" s="8">
        <f>IFERROR(VLOOKUP(A125,Glenda_ESamar,12,FALSE),"")</f>
        <v>1050133.3088967972</v>
      </c>
      <c r="AF125" s="9" t="str">
        <f>IFERROR(VLOOKUP(A125,Nona_ESamar,3,FALSE),"")</f>
        <v/>
      </c>
      <c r="AG125" s="4" t="str">
        <f>IFERROR(VLOOKUP(A125,Nona_ESamar,6,FALSE),"")</f>
        <v/>
      </c>
      <c r="AH125" s="4" t="str">
        <f>IFERROR(VLOOKUP(A125,Nona_ESamar,7,FALSE),"")</f>
        <v/>
      </c>
      <c r="AI125" s="5">
        <f t="shared" si="151"/>
        <v>0</v>
      </c>
      <c r="AJ125" s="5" t="str">
        <f>IFERROR(VLOOKUP(A125,Nona_ESamar,14,FALSE),"")</f>
        <v/>
      </c>
      <c r="AK125" s="8" t="str">
        <f>IFERROR(VLOOKUP(A125,Nona_ESamar,16,FALSE),"")</f>
        <v/>
      </c>
      <c r="AL125" s="9" t="str">
        <f t="shared" si="137"/>
        <v/>
      </c>
      <c r="AM125" s="4" t="str">
        <f t="shared" si="138"/>
        <v/>
      </c>
      <c r="AN125" s="4" t="str">
        <f t="shared" si="139"/>
        <v/>
      </c>
      <c r="AO125" s="5">
        <f t="shared" si="156"/>
        <v>0</v>
      </c>
      <c r="AP125" s="5" t="str">
        <f t="shared" si="140"/>
        <v/>
      </c>
      <c r="AQ125" s="8" t="str">
        <f t="shared" si="141"/>
        <v/>
      </c>
      <c r="AR125" s="9">
        <f t="shared" si="142"/>
        <v>50</v>
      </c>
      <c r="AS125" s="4">
        <f t="shared" si="143"/>
        <v>15</v>
      </c>
      <c r="AT125" s="4">
        <f t="shared" si="144"/>
        <v>35</v>
      </c>
      <c r="AU125" s="5">
        <f t="shared" si="153"/>
        <v>50</v>
      </c>
      <c r="AV125" s="5"/>
      <c r="AW125" s="8">
        <f t="shared" si="145"/>
        <v>262135.32110091744</v>
      </c>
      <c r="AX125" s="3" t="str">
        <f t="shared" si="146"/>
        <v/>
      </c>
      <c r="AY125" s="3" t="str">
        <f t="shared" si="147"/>
        <v/>
      </c>
      <c r="AZ125" s="3" t="str">
        <f t="shared" si="148"/>
        <v/>
      </c>
      <c r="BA125" s="5">
        <f t="shared" si="154"/>
        <v>0</v>
      </c>
      <c r="BB125" s="709"/>
      <c r="BC125" s="711" t="str">
        <f t="shared" si="149"/>
        <v/>
      </c>
    </row>
    <row r="126" spans="1:55" ht="16.5" x14ac:dyDescent="0.3">
      <c r="A126" s="712" t="s">
        <v>259</v>
      </c>
      <c r="B126" s="9"/>
      <c r="C126" s="4"/>
      <c r="D126" s="4"/>
      <c r="G126" s="8"/>
      <c r="H126" s="9"/>
      <c r="I126" s="4"/>
      <c r="J126" s="4"/>
      <c r="K126" s="5"/>
      <c r="L126" s="5"/>
      <c r="M126" s="8"/>
      <c r="N126" s="9"/>
      <c r="O126" s="4"/>
      <c r="P126" s="4"/>
      <c r="Q126" s="5"/>
      <c r="R126" s="5"/>
      <c r="S126" s="8"/>
      <c r="T126" s="9"/>
      <c r="U126" s="4"/>
      <c r="V126" s="4"/>
      <c r="W126" s="5"/>
      <c r="X126" s="5"/>
      <c r="Y126" s="8"/>
      <c r="Z126" s="9"/>
      <c r="AA126" s="4"/>
      <c r="AB126" s="4"/>
      <c r="AC126" s="5"/>
      <c r="AD126" s="5"/>
      <c r="AE126" s="8"/>
      <c r="AF126" s="9"/>
      <c r="AG126" s="4"/>
      <c r="AH126" s="4"/>
      <c r="AI126" s="5"/>
      <c r="AJ126" s="5"/>
      <c r="AK126" s="8"/>
      <c r="AL126" s="9">
        <f t="shared" si="137"/>
        <v>428</v>
      </c>
      <c r="AM126" s="4">
        <f t="shared" si="138"/>
        <v>350</v>
      </c>
      <c r="AN126" s="4">
        <f t="shared" si="139"/>
        <v>65.5</v>
      </c>
      <c r="AO126" s="5">
        <f t="shared" si="156"/>
        <v>415.5</v>
      </c>
      <c r="AP126" s="5">
        <f t="shared" si="140"/>
        <v>191.82150000000001</v>
      </c>
      <c r="AQ126" s="8">
        <f t="shared" si="141"/>
        <v>3260965.5</v>
      </c>
      <c r="AR126" s="9">
        <f t="shared" si="142"/>
        <v>25</v>
      </c>
      <c r="AS126" s="4">
        <f t="shared" si="143"/>
        <v>10</v>
      </c>
      <c r="AT126" s="4">
        <f t="shared" si="144"/>
        <v>20</v>
      </c>
      <c r="AU126" s="5">
        <f t="shared" si="153"/>
        <v>30</v>
      </c>
      <c r="AV126" s="5"/>
      <c r="AW126" s="8">
        <f t="shared" si="145"/>
        <v>119245.87155963303</v>
      </c>
      <c r="AX126" s="3" t="str">
        <f t="shared" si="146"/>
        <v/>
      </c>
      <c r="AY126" s="3" t="str">
        <f t="shared" si="147"/>
        <v/>
      </c>
      <c r="AZ126" s="3" t="str">
        <f t="shared" si="148"/>
        <v/>
      </c>
      <c r="BA126" s="5">
        <f t="shared" si="154"/>
        <v>0</v>
      </c>
      <c r="BB126" s="709"/>
      <c r="BC126" s="711" t="str">
        <f t="shared" si="149"/>
        <v/>
      </c>
    </row>
    <row r="127" spans="1:55" ht="16.5" x14ac:dyDescent="0.3">
      <c r="A127" s="712" t="s">
        <v>123</v>
      </c>
      <c r="B127" s="9"/>
      <c r="C127" s="4"/>
      <c r="D127" s="4"/>
      <c r="G127" s="8"/>
      <c r="H127" s="9"/>
      <c r="I127" s="4"/>
      <c r="J127" s="4"/>
      <c r="K127" s="5"/>
      <c r="L127" s="5"/>
      <c r="M127" s="8"/>
      <c r="N127" s="9"/>
      <c r="O127" s="4"/>
      <c r="P127" s="4"/>
      <c r="Q127" s="5"/>
      <c r="R127" s="5"/>
      <c r="S127" s="8"/>
      <c r="T127" s="9"/>
      <c r="U127" s="4"/>
      <c r="V127" s="4"/>
      <c r="W127" s="5"/>
      <c r="X127" s="5"/>
      <c r="Y127" s="8"/>
      <c r="Z127" s="9">
        <f>IFERROR(VLOOKUP(A127,Glenda_ESamar,2,FALSE),"")</f>
        <v>25</v>
      </c>
      <c r="AA127" s="4">
        <f>IFERROR(VLOOKUP(A127,Glenda_ESamar,5,FALSE),"")</f>
        <v>0</v>
      </c>
      <c r="AB127" s="4">
        <f>IFERROR(VLOOKUP(A127,Glenda_ESamar,6,FALSE),"")</f>
        <v>20</v>
      </c>
      <c r="AC127" s="5">
        <f t="shared" si="157"/>
        <v>20</v>
      </c>
      <c r="AD127" s="5"/>
      <c r="AE127" s="8">
        <f>IFERROR(VLOOKUP(A127,Glenda_ESamar,12,FALSE),"")</f>
        <v>133072.55337603798</v>
      </c>
      <c r="AF127" s="9" t="str">
        <f>IFERROR(VLOOKUP(A127,Nona_ESamar,3,FALSE),"")</f>
        <v/>
      </c>
      <c r="AG127" s="4" t="str">
        <f>IFERROR(VLOOKUP(A127,Nona_ESamar,6,FALSE),"")</f>
        <v/>
      </c>
      <c r="AH127" s="4" t="str">
        <f>IFERROR(VLOOKUP(A127,Nona_ESamar,7,FALSE),"")</f>
        <v/>
      </c>
      <c r="AI127" s="5">
        <f t="shared" si="151"/>
        <v>0</v>
      </c>
      <c r="AJ127" s="5" t="str">
        <f>IFERROR(VLOOKUP(A127,Nona_ESamar,14,FALSE),"")</f>
        <v/>
      </c>
      <c r="AK127" s="8" t="str">
        <f>IFERROR(VLOOKUP(A127,Nona_ESamar,16,FALSE),"")</f>
        <v/>
      </c>
      <c r="AL127" s="9">
        <f t="shared" si="137"/>
        <v>557</v>
      </c>
      <c r="AM127" s="4">
        <f t="shared" si="138"/>
        <v>490.5</v>
      </c>
      <c r="AN127" s="4">
        <f t="shared" si="139"/>
        <v>52</v>
      </c>
      <c r="AO127" s="5">
        <f t="shared" si="156"/>
        <v>542.5</v>
      </c>
      <c r="AP127" s="5">
        <f t="shared" si="140"/>
        <v>226.92150000000001</v>
      </c>
      <c r="AQ127" s="8">
        <f t="shared" si="141"/>
        <v>3857665.5</v>
      </c>
      <c r="AR127" s="9">
        <f t="shared" si="142"/>
        <v>378</v>
      </c>
      <c r="AS127" s="4">
        <f t="shared" si="143"/>
        <v>255</v>
      </c>
      <c r="AT127" s="4">
        <f t="shared" si="144"/>
        <v>0</v>
      </c>
      <c r="AU127" s="5">
        <f t="shared" si="153"/>
        <v>255</v>
      </c>
      <c r="AV127" s="5"/>
      <c r="AW127" s="8">
        <f t="shared" si="145"/>
        <v>1904850</v>
      </c>
      <c r="AX127" s="3" t="str">
        <f t="shared" si="146"/>
        <v/>
      </c>
      <c r="AY127" s="3" t="str">
        <f t="shared" si="147"/>
        <v/>
      </c>
      <c r="AZ127" s="3" t="str">
        <f t="shared" si="148"/>
        <v/>
      </c>
      <c r="BA127" s="5">
        <f t="shared" si="154"/>
        <v>0</v>
      </c>
      <c r="BB127" s="709"/>
      <c r="BC127" s="711" t="str">
        <f t="shared" si="149"/>
        <v/>
      </c>
    </row>
    <row r="128" spans="1:55" ht="16.5" x14ac:dyDescent="0.3">
      <c r="A128" s="712" t="s">
        <v>84</v>
      </c>
      <c r="B128" s="9">
        <v>27</v>
      </c>
      <c r="C128" s="4">
        <v>24</v>
      </c>
      <c r="D128" s="4">
        <v>0</v>
      </c>
      <c r="E128" s="5">
        <f t="shared" si="114"/>
        <v>24</v>
      </c>
      <c r="F128" s="5">
        <v>24.552</v>
      </c>
      <c r="G128" s="8">
        <v>180000</v>
      </c>
      <c r="H128" s="9"/>
      <c r="I128" s="4"/>
      <c r="J128" s="4"/>
      <c r="K128" s="5">
        <f t="shared" si="110"/>
        <v>0</v>
      </c>
      <c r="L128" s="5"/>
      <c r="M128" s="8"/>
      <c r="N128" s="9"/>
      <c r="O128" s="4"/>
      <c r="P128" s="4"/>
      <c r="Q128" s="5">
        <f t="shared" si="111"/>
        <v>0</v>
      </c>
      <c r="R128" s="5"/>
      <c r="S128" s="8"/>
      <c r="T128" s="9" t="str">
        <f>IFERROR(VLOOKUP(A128,Tisoy_ESamar,3,FALSE),"")</f>
        <v/>
      </c>
      <c r="U128" s="4" t="str">
        <f>IFERROR(VLOOKUP(A128,Tisoy_ESamar,6,FALSE),"")</f>
        <v/>
      </c>
      <c r="V128" s="4" t="str">
        <f>IFERROR(VLOOKUP(A128,Tisoy_ESamar,7,FALSE),"")</f>
        <v/>
      </c>
      <c r="W128" s="5">
        <f t="shared" si="112"/>
        <v>0</v>
      </c>
      <c r="X128" s="5"/>
      <c r="Y128" s="8" t="str">
        <f>IFERROR(VLOOKUP(A128,Tisoy_wSamar,13,FALSE),"")</f>
        <v/>
      </c>
      <c r="Z128" s="9" t="str">
        <f>IFERROR(VLOOKUP(A128,Glenda_ESamar,2,FALSE),"")</f>
        <v/>
      </c>
      <c r="AA128" s="4" t="str">
        <f>IFERROR(VLOOKUP(A128,Glenda_ESamar,5,FALSE),"")</f>
        <v/>
      </c>
      <c r="AB128" s="4" t="str">
        <f>IFERROR(VLOOKUP(A128,Glenda_ESamar,6,FALSE),"")</f>
        <v/>
      </c>
      <c r="AC128" s="5">
        <f t="shared" si="150"/>
        <v>0</v>
      </c>
      <c r="AD128" s="5"/>
      <c r="AE128" s="8" t="str">
        <f>IFERROR(VLOOKUP(A128,Glenda_ESamar,12,FALSE),"")</f>
        <v/>
      </c>
      <c r="AF128" s="9" t="str">
        <f>IFERROR(VLOOKUP(A128,Nona_ESamar,3,FALSE),"")</f>
        <v/>
      </c>
      <c r="AG128" s="4" t="str">
        <f>IFERROR(VLOOKUP(A128,Nona_ESamar,6,FALSE),"")</f>
        <v/>
      </c>
      <c r="AH128" s="4" t="str">
        <f>IFERROR(VLOOKUP(A128,Nona_ESamar,7,FALSE),"")</f>
        <v/>
      </c>
      <c r="AI128" s="5">
        <f t="shared" si="151"/>
        <v>0</v>
      </c>
      <c r="AJ128" s="5" t="str">
        <f>IFERROR(VLOOKUP(A128,Nona_ESamar,14,FALSE),"")</f>
        <v/>
      </c>
      <c r="AK128" s="8" t="str">
        <f>IFERROR(VLOOKUP(A128,Nona_ESamar,16,FALSE),"")</f>
        <v/>
      </c>
      <c r="AL128" s="9" t="str">
        <f t="shared" si="137"/>
        <v/>
      </c>
      <c r="AM128" s="4" t="str">
        <f t="shared" si="138"/>
        <v/>
      </c>
      <c r="AN128" s="4" t="str">
        <f t="shared" si="139"/>
        <v/>
      </c>
      <c r="AO128" s="5">
        <f t="shared" si="156"/>
        <v>0</v>
      </c>
      <c r="AP128" s="5" t="str">
        <f t="shared" si="140"/>
        <v/>
      </c>
      <c r="AQ128" s="8" t="str">
        <f t="shared" si="141"/>
        <v/>
      </c>
      <c r="AR128" s="9">
        <f t="shared" si="142"/>
        <v>280</v>
      </c>
      <c r="AS128" s="4">
        <f t="shared" si="143"/>
        <v>200</v>
      </c>
      <c r="AT128" s="4">
        <f t="shared" si="144"/>
        <v>0</v>
      </c>
      <c r="AU128" s="5">
        <f t="shared" si="153"/>
        <v>200</v>
      </c>
      <c r="AV128" s="5"/>
      <c r="AW128" s="8">
        <f t="shared" si="145"/>
        <v>1494000</v>
      </c>
      <c r="AX128" s="3">
        <f t="shared" si="146"/>
        <v>254</v>
      </c>
      <c r="AY128" s="3">
        <f t="shared" si="147"/>
        <v>0</v>
      </c>
      <c r="AZ128" s="3">
        <f t="shared" si="148"/>
        <v>193.83</v>
      </c>
      <c r="BA128" s="5">
        <f t="shared" si="154"/>
        <v>193.83</v>
      </c>
      <c r="BB128" s="709"/>
      <c r="BC128" s="711">
        <f t="shared" si="149"/>
        <v>628338.34528301889</v>
      </c>
    </row>
    <row r="129" spans="1:55" ht="16.5" x14ac:dyDescent="0.3">
      <c r="A129" s="712" t="s">
        <v>85</v>
      </c>
      <c r="B129" s="9">
        <v>4</v>
      </c>
      <c r="C129" s="4">
        <v>1.2</v>
      </c>
      <c r="D129" s="4">
        <v>0</v>
      </c>
      <c r="E129" s="5">
        <f t="shared" si="114"/>
        <v>1.2</v>
      </c>
      <c r="F129" s="5">
        <v>1.2276</v>
      </c>
      <c r="G129" s="8">
        <v>9000</v>
      </c>
      <c r="H129" s="9"/>
      <c r="I129" s="4"/>
      <c r="J129" s="4"/>
      <c r="K129" s="5">
        <f t="shared" si="110"/>
        <v>0</v>
      </c>
      <c r="L129" s="5"/>
      <c r="M129" s="8"/>
      <c r="N129" s="9"/>
      <c r="O129" s="4"/>
      <c r="P129" s="4"/>
      <c r="Q129" s="5">
        <f t="shared" si="111"/>
        <v>0</v>
      </c>
      <c r="R129" s="5"/>
      <c r="S129" s="8"/>
      <c r="T129" s="9">
        <f>IFERROR(VLOOKUP(A129,Tisoy_ESamar,3,FALSE),"")</f>
        <v>210</v>
      </c>
      <c r="U129" s="4">
        <f>IFERROR(VLOOKUP(A129,Tisoy_ESamar,6,FALSE),"")</f>
        <v>247.5</v>
      </c>
      <c r="V129" s="4">
        <f>IFERROR(VLOOKUP(A129,Tisoy_ESamar,7,FALSE),"")</f>
        <v>0</v>
      </c>
      <c r="W129" s="5">
        <f t="shared" si="112"/>
        <v>247.5</v>
      </c>
      <c r="X129" s="5"/>
      <c r="Y129" s="8">
        <f>IFERROR(VLOOKUP(A129,Tisoy_wSamar,13,FALSE),"")</f>
        <v>1848825</v>
      </c>
      <c r="Z129" s="9">
        <f>IFERROR(VLOOKUP(A129,Glenda_ESamar,2,FALSE),"")</f>
        <v>508</v>
      </c>
      <c r="AA129" s="4">
        <f>IFERROR(VLOOKUP(A129,Glenda_ESamar,5,FALSE),"")</f>
        <v>40</v>
      </c>
      <c r="AB129" s="4">
        <f>IFERROR(VLOOKUP(A129,Glenda_ESamar,6,FALSE),"")</f>
        <v>108</v>
      </c>
      <c r="AC129" s="5">
        <f t="shared" si="150"/>
        <v>148</v>
      </c>
      <c r="AD129" s="5"/>
      <c r="AE129" s="8">
        <f>IFERROR(VLOOKUP(A129,Glenda_ESamar,12,FALSE),"")</f>
        <v>984736.89498268103</v>
      </c>
      <c r="AF129" s="9" t="str">
        <f>IFERROR(VLOOKUP(A129,Nona_ESamar,3,FALSE),"")</f>
        <v/>
      </c>
      <c r="AG129" s="4" t="str">
        <f>IFERROR(VLOOKUP(A129,Nona_ESamar,6,FALSE),"")</f>
        <v/>
      </c>
      <c r="AH129" s="4" t="str">
        <f>IFERROR(VLOOKUP(A129,Nona_ESamar,7,FALSE),"")</f>
        <v/>
      </c>
      <c r="AI129" s="5">
        <f t="shared" si="151"/>
        <v>0</v>
      </c>
      <c r="AJ129" s="5" t="str">
        <f>IFERROR(VLOOKUP(A129,Nona_ESamar,14,FALSE),"")</f>
        <v/>
      </c>
      <c r="AK129" s="8" t="str">
        <f>IFERROR(VLOOKUP(A129,Nona_ESamar,16,FALSE),"")</f>
        <v/>
      </c>
      <c r="AL129" s="9">
        <f t="shared" si="137"/>
        <v>1341</v>
      </c>
      <c r="AM129" s="4">
        <f t="shared" si="138"/>
        <v>1283</v>
      </c>
      <c r="AN129" s="4">
        <f t="shared" si="139"/>
        <v>0</v>
      </c>
      <c r="AO129" s="5">
        <f t="shared" si="152"/>
        <v>1283</v>
      </c>
      <c r="AP129" s="5">
        <f t="shared" si="140"/>
        <v>450.33300000000003</v>
      </c>
      <c r="AQ129" s="8">
        <f t="shared" si="141"/>
        <v>7655661</v>
      </c>
      <c r="AR129" s="9">
        <f t="shared" si="142"/>
        <v>680</v>
      </c>
      <c r="AS129" s="4">
        <f t="shared" si="143"/>
        <v>593</v>
      </c>
      <c r="AT129" s="4">
        <f t="shared" si="144"/>
        <v>0</v>
      </c>
      <c r="AU129" s="5">
        <f t="shared" si="153"/>
        <v>593</v>
      </c>
      <c r="AV129" s="5"/>
      <c r="AW129" s="8">
        <f t="shared" si="145"/>
        <v>4429710</v>
      </c>
      <c r="AX129" s="3" t="str">
        <f t="shared" si="146"/>
        <v/>
      </c>
      <c r="AY129" s="3" t="str">
        <f t="shared" si="147"/>
        <v/>
      </c>
      <c r="AZ129" s="3" t="str">
        <f t="shared" si="148"/>
        <v/>
      </c>
      <c r="BA129" s="5">
        <f t="shared" si="154"/>
        <v>0</v>
      </c>
      <c r="BB129" s="709"/>
      <c r="BC129" s="711" t="str">
        <f t="shared" si="149"/>
        <v/>
      </c>
    </row>
    <row r="130" spans="1:55" ht="16.5" x14ac:dyDescent="0.3">
      <c r="A130" s="713"/>
      <c r="B130" s="9"/>
      <c r="C130" s="4"/>
      <c r="D130" s="4"/>
      <c r="E130" s="5">
        <f t="shared" si="114"/>
        <v>0</v>
      </c>
      <c r="G130" s="8"/>
      <c r="H130" s="9"/>
      <c r="I130" s="4"/>
      <c r="J130" s="4"/>
      <c r="K130" s="5">
        <f t="shared" si="110"/>
        <v>0</v>
      </c>
      <c r="L130" s="5"/>
      <c r="M130" s="8"/>
      <c r="N130" s="9"/>
      <c r="O130" s="4"/>
      <c r="P130" s="4"/>
      <c r="Q130" s="5">
        <f t="shared" si="111"/>
        <v>0</v>
      </c>
      <c r="R130" s="5"/>
      <c r="S130" s="8"/>
      <c r="T130" s="9"/>
      <c r="U130" s="4"/>
      <c r="V130" s="4"/>
      <c r="W130" s="5">
        <f t="shared" si="112"/>
        <v>0</v>
      </c>
      <c r="X130" s="5"/>
      <c r="Y130" s="8"/>
      <c r="Z130" s="9"/>
      <c r="AA130" s="4"/>
      <c r="AB130" s="4"/>
      <c r="AC130" s="5">
        <f t="shared" si="133"/>
        <v>0</v>
      </c>
      <c r="AD130" s="5"/>
      <c r="AE130" s="8"/>
      <c r="AF130" s="9"/>
      <c r="AG130" s="4"/>
      <c r="AH130" s="4"/>
      <c r="AI130" s="5">
        <f t="shared" si="132"/>
        <v>0</v>
      </c>
      <c r="AJ130" s="5"/>
      <c r="AK130" s="8"/>
      <c r="AL130" s="9"/>
      <c r="AM130" s="4"/>
      <c r="AN130" s="4"/>
      <c r="AO130" s="5">
        <f t="shared" si="134"/>
        <v>0</v>
      </c>
      <c r="AP130" s="5"/>
      <c r="AQ130" s="8"/>
      <c r="AR130" s="9"/>
      <c r="AS130" s="4"/>
      <c r="AT130" s="4"/>
      <c r="AU130" s="5">
        <f t="shared" si="135"/>
        <v>0</v>
      </c>
      <c r="AV130" s="5"/>
      <c r="AW130" s="8"/>
      <c r="AX130" s="3"/>
      <c r="AY130" s="4"/>
      <c r="AZ130" s="4"/>
      <c r="BA130" s="5">
        <f t="shared" si="75"/>
        <v>0</v>
      </c>
      <c r="BB130" s="5"/>
      <c r="BC130" s="711"/>
    </row>
    <row r="131" spans="1:55" s="735" customFormat="1" ht="16.5" x14ac:dyDescent="0.3">
      <c r="A131" s="728" t="s">
        <v>86</v>
      </c>
      <c r="B131" s="729">
        <f>SUM(B132:B153)</f>
        <v>684</v>
      </c>
      <c r="C131" s="730">
        <f t="shared" ref="C131:BC131" si="158">SUM(C132:C153)</f>
        <v>611.87000000000012</v>
      </c>
      <c r="D131" s="730">
        <f t="shared" si="158"/>
        <v>147.38</v>
      </c>
      <c r="E131" s="731">
        <f t="shared" si="158"/>
        <v>759.25</v>
      </c>
      <c r="F131" s="731">
        <f t="shared" si="158"/>
        <v>631.01024999999993</v>
      </c>
      <c r="G131" s="732">
        <f t="shared" si="158"/>
        <v>3946425</v>
      </c>
      <c r="H131" s="729">
        <f t="shared" si="158"/>
        <v>64</v>
      </c>
      <c r="I131" s="730">
        <f t="shared" si="158"/>
        <v>0</v>
      </c>
      <c r="J131" s="730">
        <f t="shared" si="158"/>
        <v>44</v>
      </c>
      <c r="K131" s="731">
        <f t="shared" si="158"/>
        <v>23</v>
      </c>
      <c r="L131" s="731">
        <f t="shared" si="158"/>
        <v>63.348799999999997</v>
      </c>
      <c r="M131" s="732">
        <f t="shared" si="158"/>
        <v>1140278.3999999999</v>
      </c>
      <c r="N131" s="729">
        <f t="shared" si="158"/>
        <v>87</v>
      </c>
      <c r="O131" s="730">
        <f t="shared" si="158"/>
        <v>51.37</v>
      </c>
      <c r="P131" s="730">
        <f t="shared" si="158"/>
        <v>18.079999999999998</v>
      </c>
      <c r="Q131" s="731">
        <f t="shared" si="158"/>
        <v>62.7</v>
      </c>
      <c r="R131" s="731">
        <f t="shared" si="158"/>
        <v>34.853000000000002</v>
      </c>
      <c r="S131" s="732">
        <f t="shared" si="158"/>
        <v>605175.48</v>
      </c>
      <c r="T131" s="729">
        <f t="shared" si="158"/>
        <v>2696</v>
      </c>
      <c r="U131" s="730">
        <f t="shared" si="158"/>
        <v>2738.3</v>
      </c>
      <c r="V131" s="730">
        <f t="shared" si="158"/>
        <v>97</v>
      </c>
      <c r="W131" s="731">
        <f t="shared" si="158"/>
        <v>2835.3</v>
      </c>
      <c r="X131" s="731">
        <f t="shared" si="158"/>
        <v>0</v>
      </c>
      <c r="Y131" s="732">
        <f t="shared" si="158"/>
        <v>21546103.252747253</v>
      </c>
      <c r="Z131" s="729">
        <f t="shared" si="158"/>
        <v>2888</v>
      </c>
      <c r="AA131" s="730">
        <f t="shared" si="158"/>
        <v>695</v>
      </c>
      <c r="AB131" s="730">
        <f t="shared" si="158"/>
        <v>2920</v>
      </c>
      <c r="AC131" s="731">
        <f t="shared" si="158"/>
        <v>3615</v>
      </c>
      <c r="AD131" s="731">
        <f t="shared" si="158"/>
        <v>0</v>
      </c>
      <c r="AE131" s="732">
        <f t="shared" si="158"/>
        <v>21007278.830250278</v>
      </c>
      <c r="AF131" s="729">
        <f t="shared" si="158"/>
        <v>5728</v>
      </c>
      <c r="AG131" s="730">
        <f t="shared" si="158"/>
        <v>5736.45</v>
      </c>
      <c r="AH131" s="730">
        <f t="shared" si="158"/>
        <v>1383</v>
      </c>
      <c r="AI131" s="731">
        <f t="shared" si="158"/>
        <v>7119.4499999999989</v>
      </c>
      <c r="AJ131" s="731">
        <f t="shared" si="158"/>
        <v>14657.684354999998</v>
      </c>
      <c r="AK131" s="732">
        <f t="shared" si="158"/>
        <v>249180634.03500003</v>
      </c>
      <c r="AL131" s="729">
        <f t="shared" si="158"/>
        <v>2687</v>
      </c>
      <c r="AM131" s="730">
        <f t="shared" si="158"/>
        <v>2117.2249999999999</v>
      </c>
      <c r="AN131" s="730">
        <f t="shared" si="158"/>
        <v>1080.4000000000001</v>
      </c>
      <c r="AO131" s="731">
        <f t="shared" si="158"/>
        <v>3197.625</v>
      </c>
      <c r="AP131" s="731">
        <f t="shared" si="158"/>
        <v>1337.4830000000002</v>
      </c>
      <c r="AQ131" s="732">
        <f t="shared" si="158"/>
        <v>22737211</v>
      </c>
      <c r="AR131" s="729">
        <f t="shared" si="158"/>
        <v>1832</v>
      </c>
      <c r="AS131" s="730">
        <f t="shared" si="158"/>
        <v>1712</v>
      </c>
      <c r="AT131" s="730">
        <f t="shared" si="158"/>
        <v>150</v>
      </c>
      <c r="AU131" s="731">
        <f t="shared" si="158"/>
        <v>1862</v>
      </c>
      <c r="AV131" s="731">
        <f t="shared" si="158"/>
        <v>0</v>
      </c>
      <c r="AW131" s="732">
        <f t="shared" si="158"/>
        <v>20503240</v>
      </c>
      <c r="AX131" s="733">
        <f t="shared" si="158"/>
        <v>0</v>
      </c>
      <c r="AY131" s="730">
        <f t="shared" si="158"/>
        <v>0</v>
      </c>
      <c r="AZ131" s="730">
        <f t="shared" si="158"/>
        <v>0</v>
      </c>
      <c r="BA131" s="731">
        <f t="shared" si="158"/>
        <v>0</v>
      </c>
      <c r="BB131" s="731">
        <f t="shared" si="158"/>
        <v>0</v>
      </c>
      <c r="BC131" s="734">
        <f t="shared" si="158"/>
        <v>0</v>
      </c>
    </row>
    <row r="132" spans="1:55" ht="16.5" x14ac:dyDescent="0.3">
      <c r="A132" s="712" t="s">
        <v>87</v>
      </c>
      <c r="B132" s="9">
        <v>100</v>
      </c>
      <c r="C132" s="4">
        <v>59.25</v>
      </c>
      <c r="D132" s="4">
        <v>19.75</v>
      </c>
      <c r="E132" s="5">
        <f t="shared" si="114"/>
        <v>79</v>
      </c>
      <c r="F132" s="5">
        <v>83.186999999999998</v>
      </c>
      <c r="G132" s="8">
        <v>592500</v>
      </c>
      <c r="H132" s="9"/>
      <c r="I132" s="4"/>
      <c r="J132" s="4"/>
      <c r="K132" s="5">
        <f t="shared" si="110"/>
        <v>0</v>
      </c>
      <c r="L132" s="5"/>
      <c r="M132" s="8"/>
      <c r="N132" s="9"/>
      <c r="O132" s="4"/>
      <c r="P132" s="4"/>
      <c r="Q132" s="5">
        <f t="shared" si="111"/>
        <v>0</v>
      </c>
      <c r="R132" s="5"/>
      <c r="S132" s="8"/>
      <c r="T132" s="9">
        <f t="shared" ref="T132:T147" si="159">IFERROR(VLOOKUP(A132,Tisoy_NSamar,3,FALSE),"")</f>
        <v>11</v>
      </c>
      <c r="U132" s="4">
        <f t="shared" ref="U132:U147" si="160">IFERROR(VLOOKUP(A132,Tisoy_NSamar,6,FALSE),"")</f>
        <v>9</v>
      </c>
      <c r="V132" s="4">
        <f t="shared" ref="V132:V147" si="161">IFERROR(VLOOKUP(A132,Tisoy_NSamar,7,FALSE),"")</f>
        <v>0</v>
      </c>
      <c r="W132" s="5">
        <f t="shared" ref="W132" si="162">SUM(U132:V132)</f>
        <v>9</v>
      </c>
      <c r="X132" s="5"/>
      <c r="Y132" s="8">
        <f t="shared" ref="Y132:Y147" si="163">IFERROR(VLOOKUP(A132,Tisoy_NSamar,13,FALSE),"")</f>
        <v>67230</v>
      </c>
      <c r="Z132" s="9">
        <f t="shared" ref="Z132:Z153" si="164">IFERROR(VLOOKUP(A132,Glenda_NSamar,2,FALSE),"")</f>
        <v>70</v>
      </c>
      <c r="AA132" s="4">
        <f t="shared" ref="AA132:AA153" si="165">IFERROR(VLOOKUP(A132,Glenda_NSamar,5,FALSE),"")</f>
        <v>0</v>
      </c>
      <c r="AB132" s="4">
        <f t="shared" ref="AB132:AB153" si="166">IFERROR(VLOOKUP(A132,Glenda_NSamar,6,FALSE),"")</f>
        <v>101</v>
      </c>
      <c r="AC132" s="5">
        <f t="shared" si="133"/>
        <v>101</v>
      </c>
      <c r="AD132" s="5"/>
      <c r="AE132" s="8">
        <f t="shared" ref="AE132:AE153" si="167">IFERROR(VLOOKUP(A132,Glenda_NSamar,12,FALSE),"")</f>
        <v>584126.74618114554</v>
      </c>
      <c r="AF132" s="9">
        <f t="shared" ref="AF132:AF153" si="168">IFERROR(VLOOKUP(A132,Nona_NSamar,3,FALSE),"")</f>
        <v>617</v>
      </c>
      <c r="AG132" s="4">
        <f t="shared" ref="AG132:AG153" si="169">IFERROR(VLOOKUP(A132,Nona_NSamar,6,FALSE),"")</f>
        <v>202.8</v>
      </c>
      <c r="AH132" s="4">
        <f t="shared" ref="AH132:AH153" si="170">IFERROR(VLOOKUP(A132,Nona_NSamar,7,FALSE),"")</f>
        <v>153.80000000000001</v>
      </c>
      <c r="AI132" s="5">
        <f t="shared" si="132"/>
        <v>356.6</v>
      </c>
      <c r="AJ132" s="5">
        <f t="shared" ref="AJ132:AJ153" si="171">IFERROR(VLOOKUP(A132,Nona_NSamar,14,FALSE),"")</f>
        <v>1119.7148200000001</v>
      </c>
      <c r="AK132" s="8">
        <f t="shared" ref="AK132:AK153" si="172">IFERROR(VLOOKUP(A132,Nona_NSamar,16,FALSE),"")</f>
        <v>19035151.940000005</v>
      </c>
      <c r="AL132" s="9" t="str">
        <f t="shared" ref="AL132:AL153" si="173">IFERROR(VLOOKUP(A132,Ruby_NSamar,3,FALSE),"")</f>
        <v/>
      </c>
      <c r="AM132" s="4" t="str">
        <f t="shared" ref="AM132:AM153" si="174">IFERROR(VLOOKUP(A132,Ruby_NSamar,6,FALSE),"")</f>
        <v/>
      </c>
      <c r="AN132" s="4" t="str">
        <f t="shared" ref="AN132:AN153" si="175">IFERROR(VLOOKUP(A132,Ruby_NSamar,7,FALSE),"")</f>
        <v/>
      </c>
      <c r="AO132" s="5">
        <f t="shared" si="134"/>
        <v>0</v>
      </c>
      <c r="AP132" s="5" t="str">
        <f t="shared" ref="AP132:AP153" si="176">IFERROR(VLOOKUP(A132,Ruby_NSamar,14,FALSE),"")</f>
        <v/>
      </c>
      <c r="AQ132" s="8" t="str">
        <f t="shared" ref="AQ132:AQ153" si="177">IFERROR(VLOOKUP(A132,Ruby_NSamar,16,FALSE),"")</f>
        <v/>
      </c>
      <c r="AR132" s="9" t="str">
        <f t="shared" ref="AR132:AR153" si="178">IFERROR(VLOOKUP(A132,Urduja_NSamar,3,FALSE),"")</f>
        <v/>
      </c>
      <c r="AS132" s="4" t="str">
        <f t="shared" ref="AS132:AS153" si="179">IFERROR(VLOOKUP(A132,Urduja_NSamar,6,FALSE),"")</f>
        <v/>
      </c>
      <c r="AT132" s="4" t="str">
        <f t="shared" ref="AT132:AT153" si="180">IFERROR(VLOOKUP(A132,Urduja_NSamar,7,FALSE),"")</f>
        <v/>
      </c>
      <c r="AU132" s="5">
        <f t="shared" si="135"/>
        <v>0</v>
      </c>
      <c r="AV132" s="5"/>
      <c r="AW132" s="8" t="str">
        <f t="shared" ref="AW132:AW153" si="181">IFERROR(VLOOKUP(A132,Urduja_NSamar,17,FALSE),"")</f>
        <v/>
      </c>
      <c r="AX132" s="3" t="str">
        <f t="shared" ref="AX132:AX153" si="182">IFERROR(VLOOKUP(G132,Urduja_NSamar,3,FALSE),"")</f>
        <v/>
      </c>
      <c r="AY132" s="3" t="str">
        <f t="shared" ref="AY132:AY153" si="183">IFERROR(VLOOKUP(G132,Urduja_NSamar,6,FALSE),"")</f>
        <v/>
      </c>
      <c r="AZ132" s="3" t="str">
        <f t="shared" ref="AZ132:AZ153" si="184">IFERROR(VLOOKUP(G132,Urduja_NSamar,7,FALSE),"")</f>
        <v/>
      </c>
      <c r="BA132" s="5">
        <f t="shared" si="75"/>
        <v>0</v>
      </c>
      <c r="BB132" s="709"/>
      <c r="BC132" s="711" t="str">
        <f t="shared" ref="BC132:BC153" si="185">IFERROR(VLOOKUP(G132,Urduja_NSamar,17,FALSE),"")</f>
        <v/>
      </c>
    </row>
    <row r="133" spans="1:55" ht="16.5" x14ac:dyDescent="0.3">
      <c r="A133" s="712" t="s">
        <v>195</v>
      </c>
      <c r="B133" s="9"/>
      <c r="C133" s="4"/>
      <c r="D133" s="4"/>
      <c r="G133" s="8"/>
      <c r="H133" s="9"/>
      <c r="I133" s="4"/>
      <c r="J133" s="4"/>
      <c r="K133" s="5"/>
      <c r="L133" s="5"/>
      <c r="M133" s="8"/>
      <c r="N133" s="9"/>
      <c r="O133" s="4"/>
      <c r="P133" s="4"/>
      <c r="Q133" s="5"/>
      <c r="R133" s="5"/>
      <c r="S133" s="8"/>
      <c r="T133" s="9">
        <f t="shared" si="159"/>
        <v>605</v>
      </c>
      <c r="U133" s="4">
        <f t="shared" si="160"/>
        <v>430</v>
      </c>
      <c r="V133" s="4">
        <f t="shared" si="161"/>
        <v>0</v>
      </c>
      <c r="W133" s="5">
        <f t="shared" ref="W133:W134" si="186">SUM(U133:V133)</f>
        <v>430</v>
      </c>
      <c r="X133" s="5"/>
      <c r="Y133" s="8">
        <f t="shared" si="163"/>
        <v>3406800</v>
      </c>
      <c r="Z133" s="9">
        <f t="shared" si="164"/>
        <v>110</v>
      </c>
      <c r="AA133" s="4">
        <f t="shared" si="165"/>
        <v>32.25</v>
      </c>
      <c r="AB133" s="4">
        <f t="shared" si="166"/>
        <v>89.75</v>
      </c>
      <c r="AC133" s="5">
        <f t="shared" ref="AC133:AC153" si="187">SUM(AA133:AB133)</f>
        <v>122</v>
      </c>
      <c r="AD133" s="5"/>
      <c r="AE133" s="8">
        <f t="shared" si="167"/>
        <v>366471.69855971489</v>
      </c>
      <c r="AF133" s="9">
        <f t="shared" si="168"/>
        <v>170</v>
      </c>
      <c r="AG133" s="4">
        <f t="shared" si="169"/>
        <v>49.9</v>
      </c>
      <c r="AH133" s="4">
        <f t="shared" si="170"/>
        <v>0</v>
      </c>
      <c r="AI133" s="5">
        <f t="shared" ref="AI133:AI153" si="188">SUM(AG133:AH133)</f>
        <v>49.9</v>
      </c>
      <c r="AJ133" s="5">
        <f t="shared" si="171"/>
        <v>156.68600000000001</v>
      </c>
      <c r="AK133" s="8">
        <f t="shared" si="172"/>
        <v>2663662</v>
      </c>
      <c r="AL133" s="9">
        <f t="shared" si="173"/>
        <v>314</v>
      </c>
      <c r="AM133" s="4">
        <f t="shared" si="174"/>
        <v>252.35</v>
      </c>
      <c r="AN133" s="4">
        <f t="shared" si="175"/>
        <v>262.64999999999998</v>
      </c>
      <c r="AO133" s="5">
        <f t="shared" ref="AO133:AO153" si="189">SUM(AM133:AN133)</f>
        <v>515</v>
      </c>
      <c r="AP133" s="5">
        <f t="shared" si="176"/>
        <v>180.76499999999999</v>
      </c>
      <c r="AQ133" s="8">
        <f t="shared" si="177"/>
        <v>3073005</v>
      </c>
      <c r="AR133" s="9" t="str">
        <f t="shared" si="178"/>
        <v/>
      </c>
      <c r="AS133" s="4" t="str">
        <f t="shared" si="179"/>
        <v/>
      </c>
      <c r="AT133" s="4" t="str">
        <f t="shared" si="180"/>
        <v/>
      </c>
      <c r="AU133" s="5">
        <f t="shared" ref="AU133:AU153" si="190">SUM(AS133:AT133)</f>
        <v>0</v>
      </c>
      <c r="AV133" s="5"/>
      <c r="AW133" s="8" t="str">
        <f t="shared" si="181"/>
        <v/>
      </c>
      <c r="AX133" s="3" t="str">
        <f t="shared" si="182"/>
        <v/>
      </c>
      <c r="AY133" s="3" t="str">
        <f t="shared" si="183"/>
        <v/>
      </c>
      <c r="AZ133" s="3" t="str">
        <f t="shared" si="184"/>
        <v/>
      </c>
      <c r="BA133" s="5">
        <f t="shared" si="75"/>
        <v>0</v>
      </c>
      <c r="BB133" s="709"/>
      <c r="BC133" s="711" t="str">
        <f t="shared" si="185"/>
        <v/>
      </c>
    </row>
    <row r="134" spans="1:55" ht="16.5" x14ac:dyDescent="0.3">
      <c r="A134" s="712" t="s">
        <v>88</v>
      </c>
      <c r="B134" s="9">
        <v>2</v>
      </c>
      <c r="C134" s="4">
        <v>1</v>
      </c>
      <c r="D134" s="4">
        <v>0</v>
      </c>
      <c r="E134" s="5">
        <f t="shared" si="114"/>
        <v>1</v>
      </c>
      <c r="F134" s="5">
        <v>1.0529999999999999</v>
      </c>
      <c r="G134" s="8">
        <v>7500</v>
      </c>
      <c r="H134" s="9"/>
      <c r="I134" s="4"/>
      <c r="J134" s="4"/>
      <c r="K134" s="5">
        <f t="shared" si="110"/>
        <v>0</v>
      </c>
      <c r="L134" s="5"/>
      <c r="M134" s="8"/>
      <c r="N134" s="9"/>
      <c r="O134" s="4"/>
      <c r="P134" s="4"/>
      <c r="Q134" s="5">
        <f t="shared" si="111"/>
        <v>0</v>
      </c>
      <c r="R134" s="5"/>
      <c r="S134" s="8"/>
      <c r="T134" s="9" t="str">
        <f t="shared" si="159"/>
        <v/>
      </c>
      <c r="U134" s="4" t="str">
        <f t="shared" si="160"/>
        <v/>
      </c>
      <c r="V134" s="4" t="str">
        <f t="shared" si="161"/>
        <v/>
      </c>
      <c r="W134" s="5">
        <f t="shared" si="186"/>
        <v>0</v>
      </c>
      <c r="X134" s="5"/>
      <c r="Y134" s="8" t="str">
        <f t="shared" si="163"/>
        <v/>
      </c>
      <c r="Z134" s="9" t="str">
        <f t="shared" si="164"/>
        <v/>
      </c>
      <c r="AA134" s="4" t="str">
        <f t="shared" si="165"/>
        <v/>
      </c>
      <c r="AB134" s="4" t="str">
        <f t="shared" si="166"/>
        <v/>
      </c>
      <c r="AC134" s="5">
        <f t="shared" si="187"/>
        <v>0</v>
      </c>
      <c r="AD134" s="5"/>
      <c r="AE134" s="8" t="str">
        <f t="shared" si="167"/>
        <v/>
      </c>
      <c r="AF134" s="9" t="str">
        <f t="shared" si="168"/>
        <v/>
      </c>
      <c r="AG134" s="4" t="str">
        <f t="shared" si="169"/>
        <v/>
      </c>
      <c r="AH134" s="4" t="str">
        <f t="shared" si="170"/>
        <v/>
      </c>
      <c r="AI134" s="5">
        <f t="shared" si="188"/>
        <v>0</v>
      </c>
      <c r="AJ134" s="5" t="str">
        <f t="shared" si="171"/>
        <v/>
      </c>
      <c r="AK134" s="8" t="str">
        <f t="shared" si="172"/>
        <v/>
      </c>
      <c r="AL134" s="9">
        <f t="shared" si="173"/>
        <v>13</v>
      </c>
      <c r="AM134" s="4">
        <f t="shared" si="174"/>
        <v>13</v>
      </c>
      <c r="AN134" s="4">
        <f t="shared" si="175"/>
        <v>0</v>
      </c>
      <c r="AO134" s="5">
        <f t="shared" si="189"/>
        <v>13</v>
      </c>
      <c r="AP134" s="5">
        <f t="shared" si="176"/>
        <v>9.1259999999999994</v>
      </c>
      <c r="AQ134" s="8">
        <f t="shared" si="177"/>
        <v>155142</v>
      </c>
      <c r="AR134" s="9" t="str">
        <f t="shared" si="178"/>
        <v/>
      </c>
      <c r="AS134" s="4" t="str">
        <f t="shared" si="179"/>
        <v/>
      </c>
      <c r="AT134" s="4" t="str">
        <f t="shared" si="180"/>
        <v/>
      </c>
      <c r="AU134" s="5">
        <f t="shared" si="190"/>
        <v>0</v>
      </c>
      <c r="AV134" s="5"/>
      <c r="AW134" s="8" t="str">
        <f t="shared" si="181"/>
        <v/>
      </c>
      <c r="AX134" s="3" t="str">
        <f t="shared" si="182"/>
        <v/>
      </c>
      <c r="AY134" s="3" t="str">
        <f t="shared" si="183"/>
        <v/>
      </c>
      <c r="AZ134" s="3" t="str">
        <f t="shared" si="184"/>
        <v/>
      </c>
      <c r="BA134" s="5">
        <f t="shared" si="75"/>
        <v>0</v>
      </c>
      <c r="BB134" s="709"/>
      <c r="BC134" s="711" t="str">
        <f t="shared" si="185"/>
        <v/>
      </c>
    </row>
    <row r="135" spans="1:55" ht="16.5" x14ac:dyDescent="0.3">
      <c r="A135" s="712" t="s">
        <v>89</v>
      </c>
      <c r="B135" s="9">
        <v>35</v>
      </c>
      <c r="C135" s="4">
        <v>30.75</v>
      </c>
      <c r="D135" s="4">
        <v>0</v>
      </c>
      <c r="E135" s="5">
        <f t="shared" si="114"/>
        <v>30.75</v>
      </c>
      <c r="F135" s="5">
        <v>32.379749999999994</v>
      </c>
      <c r="G135" s="8">
        <v>230625</v>
      </c>
      <c r="H135" s="9"/>
      <c r="I135" s="4"/>
      <c r="J135" s="4"/>
      <c r="K135" s="5">
        <f t="shared" si="110"/>
        <v>0</v>
      </c>
      <c r="L135" s="5"/>
      <c r="M135" s="8"/>
      <c r="N135" s="9"/>
      <c r="O135" s="4"/>
      <c r="P135" s="4"/>
      <c r="Q135" s="5">
        <f t="shared" si="111"/>
        <v>0</v>
      </c>
      <c r="R135" s="5"/>
      <c r="S135" s="8"/>
      <c r="T135" s="9">
        <f t="shared" si="159"/>
        <v>80</v>
      </c>
      <c r="U135" s="4">
        <f t="shared" si="160"/>
        <v>95.5</v>
      </c>
      <c r="V135" s="4">
        <f t="shared" si="161"/>
        <v>0</v>
      </c>
      <c r="W135" s="5">
        <f t="shared" ref="W135:W153" si="191">SUM(U135:V135)</f>
        <v>95.5</v>
      </c>
      <c r="X135" s="5"/>
      <c r="Y135" s="8">
        <f t="shared" si="163"/>
        <v>713385</v>
      </c>
      <c r="Z135" s="9">
        <f t="shared" si="164"/>
        <v>77</v>
      </c>
      <c r="AA135" s="4">
        <f t="shared" si="165"/>
        <v>31</v>
      </c>
      <c r="AB135" s="4">
        <f t="shared" si="166"/>
        <v>49</v>
      </c>
      <c r="AC135" s="5">
        <f t="shared" si="187"/>
        <v>80</v>
      </c>
      <c r="AD135" s="5"/>
      <c r="AE135" s="8">
        <f t="shared" si="167"/>
        <v>530452.03859724314</v>
      </c>
      <c r="AF135" s="9" t="str">
        <f t="shared" si="168"/>
        <v/>
      </c>
      <c r="AG135" s="4" t="str">
        <f t="shared" si="169"/>
        <v/>
      </c>
      <c r="AH135" s="4" t="str">
        <f t="shared" si="170"/>
        <v/>
      </c>
      <c r="AI135" s="5">
        <f t="shared" si="188"/>
        <v>0</v>
      </c>
      <c r="AJ135" s="5" t="str">
        <f t="shared" si="171"/>
        <v/>
      </c>
      <c r="AK135" s="8" t="str">
        <f t="shared" si="172"/>
        <v/>
      </c>
      <c r="AL135" s="9">
        <f t="shared" si="173"/>
        <v>58</v>
      </c>
      <c r="AM135" s="4">
        <f t="shared" si="174"/>
        <v>55</v>
      </c>
      <c r="AN135" s="4">
        <f t="shared" si="175"/>
        <v>0</v>
      </c>
      <c r="AO135" s="5">
        <f t="shared" si="189"/>
        <v>55</v>
      </c>
      <c r="AP135" s="5">
        <f t="shared" si="176"/>
        <v>19.305</v>
      </c>
      <c r="AQ135" s="8">
        <f t="shared" si="177"/>
        <v>328185</v>
      </c>
      <c r="AR135" s="9" t="str">
        <f t="shared" si="178"/>
        <v/>
      </c>
      <c r="AS135" s="4" t="str">
        <f t="shared" si="179"/>
        <v/>
      </c>
      <c r="AT135" s="4" t="str">
        <f t="shared" si="180"/>
        <v/>
      </c>
      <c r="AU135" s="5">
        <f t="shared" si="190"/>
        <v>0</v>
      </c>
      <c r="AV135" s="5"/>
      <c r="AW135" s="8" t="str">
        <f t="shared" si="181"/>
        <v/>
      </c>
      <c r="AX135" s="3" t="str">
        <f t="shared" si="182"/>
        <v/>
      </c>
      <c r="AY135" s="3" t="str">
        <f t="shared" si="183"/>
        <v/>
      </c>
      <c r="AZ135" s="3" t="str">
        <f t="shared" si="184"/>
        <v/>
      </c>
      <c r="BA135" s="5">
        <f t="shared" si="75"/>
        <v>0</v>
      </c>
      <c r="BB135" s="709"/>
      <c r="BC135" s="711" t="str">
        <f t="shared" si="185"/>
        <v/>
      </c>
    </row>
    <row r="136" spans="1:55" ht="16.5" x14ac:dyDescent="0.3">
      <c r="A136" s="712" t="s">
        <v>90</v>
      </c>
      <c r="B136" s="9">
        <v>167</v>
      </c>
      <c r="C136" s="4">
        <v>200</v>
      </c>
      <c r="D136" s="4">
        <v>50</v>
      </c>
      <c r="E136" s="5">
        <f t="shared" si="114"/>
        <v>250</v>
      </c>
      <c r="F136" s="5">
        <v>263.25</v>
      </c>
      <c r="G136" s="8">
        <v>1875000</v>
      </c>
      <c r="H136" s="9"/>
      <c r="I136" s="4"/>
      <c r="J136" s="4"/>
      <c r="K136" s="5">
        <f t="shared" si="110"/>
        <v>0</v>
      </c>
      <c r="L136" s="5"/>
      <c r="M136" s="8"/>
      <c r="N136" s="9"/>
      <c r="O136" s="4"/>
      <c r="P136" s="4"/>
      <c r="Q136" s="5">
        <f t="shared" si="111"/>
        <v>0</v>
      </c>
      <c r="R136" s="5"/>
      <c r="S136" s="8"/>
      <c r="T136" s="9">
        <f t="shared" si="159"/>
        <v>599</v>
      </c>
      <c r="U136" s="4">
        <f t="shared" si="160"/>
        <v>585</v>
      </c>
      <c r="V136" s="4">
        <f t="shared" si="161"/>
        <v>0</v>
      </c>
      <c r="W136" s="5">
        <f t="shared" si="191"/>
        <v>585</v>
      </c>
      <c r="X136" s="5"/>
      <c r="Y136" s="8">
        <f t="shared" si="163"/>
        <v>4369950</v>
      </c>
      <c r="Z136" s="9">
        <f t="shared" si="164"/>
        <v>376</v>
      </c>
      <c r="AA136" s="4">
        <f t="shared" si="165"/>
        <v>8</v>
      </c>
      <c r="AB136" s="4">
        <f t="shared" si="166"/>
        <v>353</v>
      </c>
      <c r="AC136" s="5">
        <f t="shared" si="187"/>
        <v>361</v>
      </c>
      <c r="AD136" s="5"/>
      <c r="AE136" s="8">
        <f t="shared" si="167"/>
        <v>1679522.589240273</v>
      </c>
      <c r="AF136" s="9">
        <f t="shared" si="168"/>
        <v>600</v>
      </c>
      <c r="AG136" s="4">
        <f t="shared" si="169"/>
        <v>630</v>
      </c>
      <c r="AH136" s="4">
        <f t="shared" si="170"/>
        <v>35</v>
      </c>
      <c r="AI136" s="5">
        <f t="shared" si="188"/>
        <v>665</v>
      </c>
      <c r="AJ136" s="5">
        <f t="shared" si="171"/>
        <v>2088.1</v>
      </c>
      <c r="AK136" s="8">
        <f t="shared" si="172"/>
        <v>35497700</v>
      </c>
      <c r="AL136" s="9">
        <f t="shared" si="173"/>
        <v>123</v>
      </c>
      <c r="AM136" s="4">
        <f t="shared" si="174"/>
        <v>100</v>
      </c>
      <c r="AN136" s="4">
        <f t="shared" si="175"/>
        <v>0</v>
      </c>
      <c r="AO136" s="5">
        <f t="shared" si="189"/>
        <v>100</v>
      </c>
      <c r="AP136" s="5">
        <f t="shared" si="176"/>
        <v>35.1</v>
      </c>
      <c r="AQ136" s="8">
        <f t="shared" si="177"/>
        <v>596700</v>
      </c>
      <c r="AR136" s="9" t="str">
        <f t="shared" si="178"/>
        <v/>
      </c>
      <c r="AS136" s="4" t="str">
        <f t="shared" si="179"/>
        <v/>
      </c>
      <c r="AT136" s="4" t="str">
        <f t="shared" si="180"/>
        <v/>
      </c>
      <c r="AU136" s="5">
        <f t="shared" si="190"/>
        <v>0</v>
      </c>
      <c r="AV136" s="5"/>
      <c r="AW136" s="8" t="str">
        <f t="shared" si="181"/>
        <v/>
      </c>
      <c r="AX136" s="3" t="str">
        <f t="shared" si="182"/>
        <v/>
      </c>
      <c r="AY136" s="3" t="str">
        <f t="shared" si="183"/>
        <v/>
      </c>
      <c r="AZ136" s="3" t="str">
        <f t="shared" si="184"/>
        <v/>
      </c>
      <c r="BA136" s="5">
        <f t="shared" si="75"/>
        <v>0</v>
      </c>
      <c r="BB136" s="709"/>
      <c r="BC136" s="711" t="str">
        <f t="shared" si="185"/>
        <v/>
      </c>
    </row>
    <row r="137" spans="1:55" ht="16.5" x14ac:dyDescent="0.3">
      <c r="A137" s="712" t="s">
        <v>91</v>
      </c>
      <c r="B137" s="9">
        <v>232</v>
      </c>
      <c r="C137" s="4">
        <v>240</v>
      </c>
      <c r="D137" s="4">
        <v>0</v>
      </c>
      <c r="E137" s="5">
        <f t="shared" si="114"/>
        <v>240</v>
      </c>
      <c r="F137" s="5">
        <v>84.24</v>
      </c>
      <c r="G137" s="8">
        <v>100800</v>
      </c>
      <c r="H137" s="9"/>
      <c r="I137" s="4"/>
      <c r="J137" s="4"/>
      <c r="K137" s="5">
        <f t="shared" si="110"/>
        <v>0</v>
      </c>
      <c r="L137" s="5"/>
      <c r="M137" s="8"/>
      <c r="N137" s="9">
        <v>2</v>
      </c>
      <c r="O137" s="4"/>
      <c r="P137" s="4">
        <v>3</v>
      </c>
      <c r="Q137" s="5">
        <f t="shared" si="111"/>
        <v>3</v>
      </c>
      <c r="R137" s="5">
        <v>5.7329999999999997</v>
      </c>
      <c r="S137" s="8">
        <v>103194</v>
      </c>
      <c r="T137" s="9">
        <f t="shared" si="159"/>
        <v>18</v>
      </c>
      <c r="U137" s="4">
        <f t="shared" si="160"/>
        <v>171.25</v>
      </c>
      <c r="V137" s="4">
        <f t="shared" si="161"/>
        <v>0</v>
      </c>
      <c r="W137" s="5">
        <f t="shared" si="191"/>
        <v>171.25</v>
      </c>
      <c r="X137" s="5"/>
      <c r="Y137" s="8">
        <f t="shared" si="163"/>
        <v>1279237.5</v>
      </c>
      <c r="Z137" s="9">
        <f t="shared" si="164"/>
        <v>467</v>
      </c>
      <c r="AA137" s="4">
        <f t="shared" si="165"/>
        <v>50</v>
      </c>
      <c r="AB137" s="4">
        <f t="shared" si="166"/>
        <v>644</v>
      </c>
      <c r="AC137" s="5">
        <f t="shared" si="187"/>
        <v>694</v>
      </c>
      <c r="AD137" s="5"/>
      <c r="AE137" s="8">
        <f t="shared" si="167"/>
        <v>3669587.9209181517</v>
      </c>
      <c r="AF137" s="9">
        <f t="shared" si="168"/>
        <v>1305</v>
      </c>
      <c r="AG137" s="4">
        <f t="shared" si="169"/>
        <v>1592.8</v>
      </c>
      <c r="AH137" s="4">
        <f t="shared" si="170"/>
        <v>0</v>
      </c>
      <c r="AI137" s="5">
        <f t="shared" si="188"/>
        <v>1592.8</v>
      </c>
      <c r="AJ137" s="5">
        <f t="shared" si="171"/>
        <v>2097.7175999999995</v>
      </c>
      <c r="AK137" s="8">
        <f t="shared" si="172"/>
        <v>35661199.199999996</v>
      </c>
      <c r="AL137" s="9">
        <f t="shared" si="173"/>
        <v>287</v>
      </c>
      <c r="AM137" s="4">
        <f t="shared" si="174"/>
        <v>557.25</v>
      </c>
      <c r="AN137" s="4">
        <f t="shared" si="175"/>
        <v>7</v>
      </c>
      <c r="AO137" s="5">
        <f t="shared" si="189"/>
        <v>564.25</v>
      </c>
      <c r="AP137" s="5">
        <f t="shared" si="176"/>
        <v>394.98899999999986</v>
      </c>
      <c r="AQ137" s="8">
        <f t="shared" si="177"/>
        <v>6714812.9999999981</v>
      </c>
      <c r="AR137" s="9">
        <f t="shared" si="178"/>
        <v>320</v>
      </c>
      <c r="AS137" s="4">
        <f t="shared" si="179"/>
        <v>260</v>
      </c>
      <c r="AT137" s="4">
        <f t="shared" si="180"/>
        <v>0</v>
      </c>
      <c r="AU137" s="5">
        <f t="shared" si="190"/>
        <v>260</v>
      </c>
      <c r="AV137" s="5"/>
      <c r="AW137" s="8">
        <f t="shared" si="181"/>
        <v>8700640</v>
      </c>
      <c r="AX137" s="3" t="str">
        <f t="shared" si="182"/>
        <v/>
      </c>
      <c r="AY137" s="3" t="str">
        <f t="shared" si="183"/>
        <v/>
      </c>
      <c r="AZ137" s="3" t="str">
        <f t="shared" si="184"/>
        <v/>
      </c>
      <c r="BA137" s="5">
        <f t="shared" si="75"/>
        <v>0</v>
      </c>
      <c r="BB137" s="709"/>
      <c r="BC137" s="711" t="str">
        <f t="shared" si="185"/>
        <v/>
      </c>
    </row>
    <row r="138" spans="1:55" ht="16.5" x14ac:dyDescent="0.3">
      <c r="A138" s="712" t="s">
        <v>121</v>
      </c>
      <c r="B138" s="9"/>
      <c r="C138" s="4"/>
      <c r="D138" s="4"/>
      <c r="G138" s="8"/>
      <c r="H138" s="9"/>
      <c r="I138" s="4"/>
      <c r="J138" s="4"/>
      <c r="K138" s="5"/>
      <c r="L138" s="5"/>
      <c r="M138" s="8"/>
      <c r="N138" s="9"/>
      <c r="O138" s="4"/>
      <c r="P138" s="4"/>
      <c r="Q138" s="5"/>
      <c r="R138" s="5"/>
      <c r="S138" s="8"/>
      <c r="T138" s="9">
        <f t="shared" si="159"/>
        <v>107</v>
      </c>
      <c r="U138" s="4">
        <f t="shared" si="160"/>
        <v>94</v>
      </c>
      <c r="V138" s="4">
        <f t="shared" si="161"/>
        <v>0</v>
      </c>
      <c r="W138" s="5">
        <f t="shared" si="191"/>
        <v>94</v>
      </c>
      <c r="X138" s="5"/>
      <c r="Y138" s="8">
        <f t="shared" si="163"/>
        <v>702180</v>
      </c>
      <c r="Z138" s="9" t="str">
        <f t="shared" si="164"/>
        <v/>
      </c>
      <c r="AA138" s="4" t="str">
        <f t="shared" si="165"/>
        <v/>
      </c>
      <c r="AB138" s="4" t="str">
        <f t="shared" si="166"/>
        <v/>
      </c>
      <c r="AC138" s="5">
        <f t="shared" si="187"/>
        <v>0</v>
      </c>
      <c r="AD138" s="5"/>
      <c r="AE138" s="8" t="str">
        <f t="shared" si="167"/>
        <v/>
      </c>
      <c r="AF138" s="9">
        <f t="shared" si="168"/>
        <v>0</v>
      </c>
      <c r="AG138" s="4">
        <f t="shared" si="169"/>
        <v>12.6</v>
      </c>
      <c r="AH138" s="4">
        <f t="shared" si="170"/>
        <v>28</v>
      </c>
      <c r="AI138" s="5">
        <f t="shared" si="188"/>
        <v>40.6</v>
      </c>
      <c r="AJ138" s="5">
        <f t="shared" si="171"/>
        <v>53.470199999999984</v>
      </c>
      <c r="AK138" s="8">
        <f t="shared" si="172"/>
        <v>908993.39999999967</v>
      </c>
      <c r="AL138" s="9" t="str">
        <f t="shared" si="173"/>
        <v/>
      </c>
      <c r="AM138" s="4" t="str">
        <f t="shared" si="174"/>
        <v/>
      </c>
      <c r="AN138" s="4" t="str">
        <f t="shared" si="175"/>
        <v/>
      </c>
      <c r="AO138" s="5">
        <f t="shared" si="189"/>
        <v>0</v>
      </c>
      <c r="AP138" s="5" t="str">
        <f t="shared" si="176"/>
        <v/>
      </c>
      <c r="AQ138" s="8" t="str">
        <f t="shared" si="177"/>
        <v/>
      </c>
      <c r="AR138" s="9">
        <f t="shared" si="178"/>
        <v>0</v>
      </c>
      <c r="AS138" s="4">
        <f t="shared" si="179"/>
        <v>0</v>
      </c>
      <c r="AT138" s="4">
        <f t="shared" si="180"/>
        <v>0</v>
      </c>
      <c r="AU138" s="5">
        <f t="shared" si="190"/>
        <v>0</v>
      </c>
      <c r="AV138" s="5"/>
      <c r="AW138" s="8">
        <f t="shared" si="181"/>
        <v>0</v>
      </c>
      <c r="AX138" s="3" t="str">
        <f t="shared" si="182"/>
        <v/>
      </c>
      <c r="AY138" s="3" t="str">
        <f t="shared" si="183"/>
        <v/>
      </c>
      <c r="AZ138" s="3" t="str">
        <f t="shared" si="184"/>
        <v/>
      </c>
      <c r="BA138" s="5">
        <f t="shared" si="75"/>
        <v>0</v>
      </c>
      <c r="BB138" s="709"/>
      <c r="BC138" s="711" t="str">
        <f t="shared" si="185"/>
        <v/>
      </c>
    </row>
    <row r="139" spans="1:55" ht="16.5" x14ac:dyDescent="0.3">
      <c r="A139" s="712" t="s">
        <v>120</v>
      </c>
      <c r="B139" s="9"/>
      <c r="C139" s="4"/>
      <c r="D139" s="4"/>
      <c r="G139" s="8"/>
      <c r="H139" s="9"/>
      <c r="I139" s="4"/>
      <c r="J139" s="4"/>
      <c r="K139" s="5"/>
      <c r="L139" s="5"/>
      <c r="M139" s="8"/>
      <c r="N139" s="9"/>
      <c r="O139" s="4"/>
      <c r="P139" s="4"/>
      <c r="Q139" s="5"/>
      <c r="R139" s="5"/>
      <c r="S139" s="8"/>
      <c r="T139" s="9">
        <f t="shared" si="159"/>
        <v>13</v>
      </c>
      <c r="U139" s="4">
        <f t="shared" si="160"/>
        <v>9.5</v>
      </c>
      <c r="V139" s="4">
        <f t="shared" si="161"/>
        <v>0</v>
      </c>
      <c r="W139" s="5">
        <f t="shared" si="191"/>
        <v>9.5</v>
      </c>
      <c r="X139" s="5"/>
      <c r="Y139" s="8">
        <f t="shared" si="163"/>
        <v>70965</v>
      </c>
      <c r="Z139" s="9" t="str">
        <f t="shared" si="164"/>
        <v/>
      </c>
      <c r="AA139" s="4" t="str">
        <f t="shared" si="165"/>
        <v/>
      </c>
      <c r="AB139" s="4" t="str">
        <f t="shared" si="166"/>
        <v/>
      </c>
      <c r="AC139" s="5">
        <f t="shared" si="187"/>
        <v>0</v>
      </c>
      <c r="AD139" s="5"/>
      <c r="AE139" s="8" t="str">
        <f t="shared" si="167"/>
        <v/>
      </c>
      <c r="AF139" s="9">
        <f t="shared" si="168"/>
        <v>0</v>
      </c>
      <c r="AG139" s="4">
        <f t="shared" si="169"/>
        <v>100</v>
      </c>
      <c r="AH139" s="4">
        <f t="shared" si="170"/>
        <v>0</v>
      </c>
      <c r="AI139" s="5">
        <f t="shared" si="188"/>
        <v>100</v>
      </c>
      <c r="AJ139" s="5">
        <f t="shared" si="171"/>
        <v>131.69999999999996</v>
      </c>
      <c r="AK139" s="8">
        <f t="shared" si="172"/>
        <v>2238899.9999999995</v>
      </c>
      <c r="AL139" s="9">
        <f t="shared" si="173"/>
        <v>372</v>
      </c>
      <c r="AM139" s="4">
        <f t="shared" si="174"/>
        <v>35.25</v>
      </c>
      <c r="AN139" s="4">
        <f t="shared" si="175"/>
        <v>203.25</v>
      </c>
      <c r="AO139" s="5">
        <f t="shared" si="189"/>
        <v>238.5</v>
      </c>
      <c r="AP139" s="5">
        <f t="shared" si="176"/>
        <v>83.71350000000001</v>
      </c>
      <c r="AQ139" s="8">
        <f t="shared" si="177"/>
        <v>1423129.5000000002</v>
      </c>
      <c r="AR139" s="9">
        <f t="shared" si="178"/>
        <v>35</v>
      </c>
      <c r="AS139" s="4">
        <f t="shared" si="179"/>
        <v>44</v>
      </c>
      <c r="AT139" s="4">
        <f t="shared" si="180"/>
        <v>0</v>
      </c>
      <c r="AU139" s="5">
        <f t="shared" si="190"/>
        <v>44</v>
      </c>
      <c r="AV139" s="5"/>
      <c r="AW139" s="8">
        <f t="shared" si="181"/>
        <v>164340</v>
      </c>
      <c r="AX139" s="3" t="str">
        <f t="shared" si="182"/>
        <v/>
      </c>
      <c r="AY139" s="3" t="str">
        <f t="shared" si="183"/>
        <v/>
      </c>
      <c r="AZ139" s="3" t="str">
        <f t="shared" si="184"/>
        <v/>
      </c>
      <c r="BA139" s="5">
        <f t="shared" si="75"/>
        <v>0</v>
      </c>
      <c r="BB139" s="709"/>
      <c r="BC139" s="711" t="str">
        <f t="shared" si="185"/>
        <v/>
      </c>
    </row>
    <row r="140" spans="1:55" ht="16.5" x14ac:dyDescent="0.3">
      <c r="A140" s="712" t="s">
        <v>119</v>
      </c>
      <c r="B140" s="9"/>
      <c r="C140" s="4"/>
      <c r="D140" s="4"/>
      <c r="G140" s="8"/>
      <c r="H140" s="9"/>
      <c r="I140" s="4"/>
      <c r="J140" s="4"/>
      <c r="K140" s="5"/>
      <c r="L140" s="5"/>
      <c r="M140" s="8"/>
      <c r="N140" s="9"/>
      <c r="O140" s="4"/>
      <c r="P140" s="4"/>
      <c r="Q140" s="5"/>
      <c r="R140" s="5"/>
      <c r="S140" s="8"/>
      <c r="T140" s="9">
        <f t="shared" si="159"/>
        <v>0</v>
      </c>
      <c r="U140" s="4">
        <f t="shared" si="160"/>
        <v>0</v>
      </c>
      <c r="V140" s="4">
        <f t="shared" si="161"/>
        <v>0</v>
      </c>
      <c r="W140" s="5">
        <f t="shared" si="191"/>
        <v>0</v>
      </c>
      <c r="X140" s="5"/>
      <c r="Y140" s="8">
        <f t="shared" si="163"/>
        <v>0</v>
      </c>
      <c r="Z140" s="9">
        <f t="shared" si="164"/>
        <v>233</v>
      </c>
      <c r="AA140" s="4">
        <f t="shared" si="165"/>
        <v>30</v>
      </c>
      <c r="AB140" s="4">
        <f t="shared" si="166"/>
        <v>309</v>
      </c>
      <c r="AC140" s="5">
        <f t="shared" si="187"/>
        <v>339</v>
      </c>
      <c r="AD140" s="5"/>
      <c r="AE140" s="8">
        <f t="shared" si="167"/>
        <v>2115783.6114794421</v>
      </c>
      <c r="AF140" s="9">
        <f t="shared" si="168"/>
        <v>1195</v>
      </c>
      <c r="AG140" s="4">
        <f t="shared" si="169"/>
        <v>1210</v>
      </c>
      <c r="AH140" s="4">
        <f t="shared" si="170"/>
        <v>0</v>
      </c>
      <c r="AI140" s="5">
        <f t="shared" si="188"/>
        <v>1210</v>
      </c>
      <c r="AJ140" s="5">
        <f t="shared" si="171"/>
        <v>3799.4</v>
      </c>
      <c r="AK140" s="8">
        <f t="shared" si="172"/>
        <v>64589800</v>
      </c>
      <c r="AL140" s="9">
        <f t="shared" si="173"/>
        <v>298</v>
      </c>
      <c r="AM140" s="4">
        <f t="shared" si="174"/>
        <v>270</v>
      </c>
      <c r="AN140" s="4">
        <f t="shared" si="175"/>
        <v>40</v>
      </c>
      <c r="AO140" s="5">
        <f t="shared" si="189"/>
        <v>310</v>
      </c>
      <c r="AP140" s="5">
        <f t="shared" si="176"/>
        <v>108.81</v>
      </c>
      <c r="AQ140" s="8">
        <f t="shared" si="177"/>
        <v>1849770</v>
      </c>
      <c r="AR140" s="9">
        <f t="shared" si="178"/>
        <v>0</v>
      </c>
      <c r="AS140" s="4">
        <f t="shared" si="179"/>
        <v>0</v>
      </c>
      <c r="AT140" s="4">
        <f t="shared" si="180"/>
        <v>0</v>
      </c>
      <c r="AU140" s="5">
        <f t="shared" si="190"/>
        <v>0</v>
      </c>
      <c r="AV140" s="5"/>
      <c r="AW140" s="8">
        <f t="shared" si="181"/>
        <v>0</v>
      </c>
      <c r="AX140" s="3" t="str">
        <f t="shared" si="182"/>
        <v/>
      </c>
      <c r="AY140" s="3" t="str">
        <f t="shared" si="183"/>
        <v/>
      </c>
      <c r="AZ140" s="3" t="str">
        <f t="shared" si="184"/>
        <v/>
      </c>
      <c r="BA140" s="5">
        <f t="shared" ref="BA140:BA153" si="192">SUM(AY140:AZ140)</f>
        <v>0</v>
      </c>
      <c r="BB140" s="709"/>
      <c r="BC140" s="711" t="str">
        <f t="shared" si="185"/>
        <v/>
      </c>
    </row>
    <row r="141" spans="1:55" ht="16.5" x14ac:dyDescent="0.3">
      <c r="A141" s="712" t="s">
        <v>118</v>
      </c>
      <c r="B141" s="9"/>
      <c r="C141" s="4"/>
      <c r="D141" s="4"/>
      <c r="G141" s="8"/>
      <c r="H141" s="9"/>
      <c r="I141" s="4"/>
      <c r="J141" s="4"/>
      <c r="K141" s="5"/>
      <c r="L141" s="5"/>
      <c r="M141" s="8"/>
      <c r="N141" s="9"/>
      <c r="O141" s="4"/>
      <c r="P141" s="4"/>
      <c r="Q141" s="5"/>
      <c r="R141" s="5"/>
      <c r="S141" s="8"/>
      <c r="T141" s="9">
        <f t="shared" si="159"/>
        <v>2</v>
      </c>
      <c r="U141" s="4">
        <f t="shared" si="160"/>
        <v>2</v>
      </c>
      <c r="V141" s="4">
        <f t="shared" si="161"/>
        <v>0</v>
      </c>
      <c r="W141" s="5">
        <f t="shared" si="191"/>
        <v>2</v>
      </c>
      <c r="X141" s="5"/>
      <c r="Y141" s="8">
        <f t="shared" si="163"/>
        <v>14940</v>
      </c>
      <c r="Z141" s="9">
        <f t="shared" si="164"/>
        <v>232</v>
      </c>
      <c r="AA141" s="4">
        <f t="shared" si="165"/>
        <v>37.25</v>
      </c>
      <c r="AB141" s="4">
        <f t="shared" si="166"/>
        <v>251.75</v>
      </c>
      <c r="AC141" s="5">
        <f t="shared" si="187"/>
        <v>289</v>
      </c>
      <c r="AD141" s="5"/>
      <c r="AE141" s="8">
        <f t="shared" si="167"/>
        <v>1669636.6705762008</v>
      </c>
      <c r="AF141" s="9">
        <f t="shared" si="168"/>
        <v>260</v>
      </c>
      <c r="AG141" s="4">
        <f t="shared" si="169"/>
        <v>224.4</v>
      </c>
      <c r="AH141" s="4">
        <f t="shared" si="170"/>
        <v>0</v>
      </c>
      <c r="AI141" s="5">
        <f t="shared" si="188"/>
        <v>224.4</v>
      </c>
      <c r="AJ141" s="5">
        <f t="shared" si="171"/>
        <v>704.61599999999999</v>
      </c>
      <c r="AK141" s="8">
        <f t="shared" si="172"/>
        <v>11978472</v>
      </c>
      <c r="AL141" s="9" t="str">
        <f t="shared" si="173"/>
        <v/>
      </c>
      <c r="AM141" s="4" t="str">
        <f t="shared" si="174"/>
        <v/>
      </c>
      <c r="AN141" s="4" t="str">
        <f t="shared" si="175"/>
        <v/>
      </c>
      <c r="AO141" s="5">
        <f t="shared" si="189"/>
        <v>0</v>
      </c>
      <c r="AP141" s="5" t="str">
        <f t="shared" si="176"/>
        <v/>
      </c>
      <c r="AQ141" s="8" t="str">
        <f t="shared" si="177"/>
        <v/>
      </c>
      <c r="AR141" s="9" t="str">
        <f t="shared" si="178"/>
        <v/>
      </c>
      <c r="AS141" s="4" t="str">
        <f t="shared" si="179"/>
        <v/>
      </c>
      <c r="AT141" s="4" t="str">
        <f t="shared" si="180"/>
        <v/>
      </c>
      <c r="AU141" s="5">
        <f t="shared" si="190"/>
        <v>0</v>
      </c>
      <c r="AV141" s="5"/>
      <c r="AW141" s="8" t="str">
        <f t="shared" si="181"/>
        <v/>
      </c>
      <c r="AX141" s="3" t="str">
        <f t="shared" si="182"/>
        <v/>
      </c>
      <c r="AY141" s="3" t="str">
        <f t="shared" si="183"/>
        <v/>
      </c>
      <c r="AZ141" s="3" t="str">
        <f t="shared" si="184"/>
        <v/>
      </c>
      <c r="BA141" s="5">
        <f t="shared" si="192"/>
        <v>0</v>
      </c>
      <c r="BB141" s="709"/>
      <c r="BC141" s="711" t="str">
        <f t="shared" si="185"/>
        <v/>
      </c>
    </row>
    <row r="142" spans="1:55" ht="16.5" x14ac:dyDescent="0.3">
      <c r="A142" s="712" t="s">
        <v>106</v>
      </c>
      <c r="B142" s="9"/>
      <c r="C142" s="4"/>
      <c r="D142" s="4"/>
      <c r="G142" s="8"/>
      <c r="H142" s="9">
        <v>41</v>
      </c>
      <c r="I142" s="4"/>
      <c r="J142" s="4">
        <v>21</v>
      </c>
      <c r="K142" s="5"/>
      <c r="L142" s="5">
        <v>19.234800000000003</v>
      </c>
      <c r="M142" s="8">
        <v>346226.4</v>
      </c>
      <c r="N142" s="9"/>
      <c r="O142" s="4"/>
      <c r="P142" s="4"/>
      <c r="Q142" s="5"/>
      <c r="R142" s="5"/>
      <c r="S142" s="8"/>
      <c r="T142" s="9" t="str">
        <f t="shared" si="159"/>
        <v/>
      </c>
      <c r="U142" s="4" t="str">
        <f t="shared" si="160"/>
        <v/>
      </c>
      <c r="V142" s="4" t="str">
        <f t="shared" si="161"/>
        <v/>
      </c>
      <c r="W142" s="5">
        <f t="shared" si="191"/>
        <v>0</v>
      </c>
      <c r="X142" s="5"/>
      <c r="Y142" s="8" t="str">
        <f t="shared" si="163"/>
        <v/>
      </c>
      <c r="Z142" s="9">
        <f t="shared" si="164"/>
        <v>486</v>
      </c>
      <c r="AA142" s="4">
        <f t="shared" si="165"/>
        <v>164</v>
      </c>
      <c r="AB142" s="4">
        <f t="shared" si="166"/>
        <v>382</v>
      </c>
      <c r="AC142" s="5">
        <f t="shared" si="187"/>
        <v>546</v>
      </c>
      <c r="AD142" s="5"/>
      <c r="AE142" s="8">
        <f t="shared" si="167"/>
        <v>2728146.2746223658</v>
      </c>
      <c r="AF142" s="9" t="str">
        <f t="shared" si="168"/>
        <v/>
      </c>
      <c r="AG142" s="4" t="str">
        <f t="shared" si="169"/>
        <v/>
      </c>
      <c r="AH142" s="4" t="str">
        <f t="shared" si="170"/>
        <v/>
      </c>
      <c r="AI142" s="5">
        <f t="shared" si="188"/>
        <v>0</v>
      </c>
      <c r="AJ142" s="5" t="str">
        <f t="shared" si="171"/>
        <v/>
      </c>
      <c r="AK142" s="8" t="str">
        <f t="shared" si="172"/>
        <v/>
      </c>
      <c r="AL142" s="9">
        <f t="shared" si="173"/>
        <v>104</v>
      </c>
      <c r="AM142" s="4">
        <f t="shared" si="174"/>
        <v>97</v>
      </c>
      <c r="AN142" s="4">
        <f t="shared" si="175"/>
        <v>37</v>
      </c>
      <c r="AO142" s="5">
        <f t="shared" si="189"/>
        <v>134</v>
      </c>
      <c r="AP142" s="5">
        <f t="shared" si="176"/>
        <v>47.033999999999999</v>
      </c>
      <c r="AQ142" s="8">
        <f t="shared" si="177"/>
        <v>799578</v>
      </c>
      <c r="AR142" s="9">
        <f t="shared" si="178"/>
        <v>0</v>
      </c>
      <c r="AS142" s="4">
        <f t="shared" si="179"/>
        <v>0</v>
      </c>
      <c r="AT142" s="4">
        <f t="shared" si="180"/>
        <v>0</v>
      </c>
      <c r="AU142" s="5">
        <f t="shared" si="190"/>
        <v>0</v>
      </c>
      <c r="AV142" s="5"/>
      <c r="AW142" s="8">
        <f t="shared" si="181"/>
        <v>0</v>
      </c>
      <c r="AX142" s="3" t="str">
        <f t="shared" si="182"/>
        <v/>
      </c>
      <c r="AY142" s="3" t="str">
        <f t="shared" si="183"/>
        <v/>
      </c>
      <c r="AZ142" s="3" t="str">
        <f t="shared" si="184"/>
        <v/>
      </c>
      <c r="BA142" s="5">
        <f t="shared" si="192"/>
        <v>0</v>
      </c>
      <c r="BB142" s="709"/>
      <c r="BC142" s="711" t="str">
        <f t="shared" si="185"/>
        <v/>
      </c>
    </row>
    <row r="143" spans="1:55" ht="16.5" x14ac:dyDescent="0.3">
      <c r="A143" s="712" t="s">
        <v>92</v>
      </c>
      <c r="B143" s="9">
        <v>1</v>
      </c>
      <c r="C143" s="4">
        <v>1.5</v>
      </c>
      <c r="D143" s="4">
        <v>0</v>
      </c>
      <c r="E143" s="5">
        <f t="shared" si="114"/>
        <v>1.5</v>
      </c>
      <c r="F143" s="5">
        <v>1.5794999999999997</v>
      </c>
      <c r="G143" s="8">
        <v>11250</v>
      </c>
      <c r="H143" s="9"/>
      <c r="I143" s="4"/>
      <c r="J143" s="4"/>
      <c r="K143" s="5">
        <f t="shared" si="110"/>
        <v>0</v>
      </c>
      <c r="L143" s="5"/>
      <c r="M143" s="8"/>
      <c r="N143" s="9"/>
      <c r="O143" s="4"/>
      <c r="P143" s="4"/>
      <c r="Q143" s="5">
        <f t="shared" si="111"/>
        <v>0</v>
      </c>
      <c r="R143" s="5"/>
      <c r="S143" s="8"/>
      <c r="T143" s="9" t="str">
        <f t="shared" si="159"/>
        <v/>
      </c>
      <c r="U143" s="4" t="str">
        <f t="shared" si="160"/>
        <v/>
      </c>
      <c r="V143" s="4" t="str">
        <f t="shared" si="161"/>
        <v/>
      </c>
      <c r="W143" s="5">
        <f t="shared" si="191"/>
        <v>0</v>
      </c>
      <c r="X143" s="5"/>
      <c r="Y143" s="8" t="str">
        <f t="shared" si="163"/>
        <v/>
      </c>
      <c r="Z143" s="9">
        <f t="shared" si="164"/>
        <v>75</v>
      </c>
      <c r="AA143" s="4">
        <f t="shared" si="165"/>
        <v>129</v>
      </c>
      <c r="AB143" s="4">
        <f t="shared" si="166"/>
        <v>45</v>
      </c>
      <c r="AC143" s="5">
        <f t="shared" si="187"/>
        <v>174</v>
      </c>
      <c r="AD143" s="5"/>
      <c r="AE143" s="8">
        <f t="shared" si="167"/>
        <v>1257812.524123277</v>
      </c>
      <c r="AF143" s="9" t="str">
        <f t="shared" si="168"/>
        <v/>
      </c>
      <c r="AG143" s="4" t="str">
        <f t="shared" si="169"/>
        <v/>
      </c>
      <c r="AH143" s="4" t="str">
        <f t="shared" si="170"/>
        <v/>
      </c>
      <c r="AI143" s="5">
        <f t="shared" si="188"/>
        <v>0</v>
      </c>
      <c r="AJ143" s="5" t="str">
        <f t="shared" si="171"/>
        <v/>
      </c>
      <c r="AK143" s="8" t="str">
        <f t="shared" si="172"/>
        <v/>
      </c>
      <c r="AL143" s="9" t="str">
        <f t="shared" si="173"/>
        <v/>
      </c>
      <c r="AM143" s="4" t="str">
        <f t="shared" si="174"/>
        <v/>
      </c>
      <c r="AN143" s="4" t="str">
        <f t="shared" si="175"/>
        <v/>
      </c>
      <c r="AO143" s="5">
        <f t="shared" si="189"/>
        <v>0</v>
      </c>
      <c r="AP143" s="5" t="str">
        <f t="shared" si="176"/>
        <v/>
      </c>
      <c r="AQ143" s="8" t="str">
        <f t="shared" si="177"/>
        <v/>
      </c>
      <c r="AR143" s="9" t="str">
        <f t="shared" si="178"/>
        <v/>
      </c>
      <c r="AS143" s="4" t="str">
        <f t="shared" si="179"/>
        <v/>
      </c>
      <c r="AT143" s="4" t="str">
        <f t="shared" si="180"/>
        <v/>
      </c>
      <c r="AU143" s="5">
        <f t="shared" si="190"/>
        <v>0</v>
      </c>
      <c r="AV143" s="5"/>
      <c r="AW143" s="8" t="str">
        <f t="shared" si="181"/>
        <v/>
      </c>
      <c r="AX143" s="3" t="str">
        <f t="shared" si="182"/>
        <v/>
      </c>
      <c r="AY143" s="3" t="str">
        <f t="shared" si="183"/>
        <v/>
      </c>
      <c r="AZ143" s="3" t="str">
        <f t="shared" si="184"/>
        <v/>
      </c>
      <c r="BA143" s="5">
        <f t="shared" si="192"/>
        <v>0</v>
      </c>
      <c r="BB143" s="709"/>
      <c r="BC143" s="711" t="str">
        <f t="shared" si="185"/>
        <v/>
      </c>
    </row>
    <row r="144" spans="1:55" ht="16.5" x14ac:dyDescent="0.3">
      <c r="A144" s="712" t="s">
        <v>93</v>
      </c>
      <c r="B144" s="9">
        <v>61</v>
      </c>
      <c r="C144" s="4">
        <v>14</v>
      </c>
      <c r="D144" s="4">
        <v>50</v>
      </c>
      <c r="E144" s="5">
        <f t="shared" si="114"/>
        <v>64</v>
      </c>
      <c r="F144" s="5">
        <v>67.391999999999996</v>
      </c>
      <c r="G144" s="8">
        <v>480000</v>
      </c>
      <c r="H144" s="9"/>
      <c r="I144" s="4"/>
      <c r="J144" s="4"/>
      <c r="K144" s="5">
        <f t="shared" si="110"/>
        <v>0</v>
      </c>
      <c r="L144" s="5"/>
      <c r="M144" s="8"/>
      <c r="N144" s="9"/>
      <c r="O144" s="4"/>
      <c r="P144" s="4"/>
      <c r="Q144" s="5">
        <f t="shared" si="111"/>
        <v>0</v>
      </c>
      <c r="R144" s="5"/>
      <c r="S144" s="8"/>
      <c r="T144" s="9">
        <f t="shared" si="159"/>
        <v>20</v>
      </c>
      <c r="U144" s="4">
        <f t="shared" si="160"/>
        <v>18</v>
      </c>
      <c r="V144" s="4">
        <f t="shared" si="161"/>
        <v>0</v>
      </c>
      <c r="W144" s="5">
        <f t="shared" si="191"/>
        <v>18</v>
      </c>
      <c r="X144" s="5"/>
      <c r="Y144" s="8">
        <f t="shared" si="163"/>
        <v>251279.99999999997</v>
      </c>
      <c r="Z144" s="9" t="str">
        <f t="shared" si="164"/>
        <v/>
      </c>
      <c r="AA144" s="4" t="str">
        <f t="shared" si="165"/>
        <v/>
      </c>
      <c r="AB144" s="4" t="str">
        <f t="shared" si="166"/>
        <v/>
      </c>
      <c r="AC144" s="5">
        <f t="shared" si="187"/>
        <v>0</v>
      </c>
      <c r="AD144" s="5"/>
      <c r="AE144" s="8" t="str">
        <f t="shared" si="167"/>
        <v/>
      </c>
      <c r="AF144" s="9">
        <f t="shared" si="168"/>
        <v>194</v>
      </c>
      <c r="AG144" s="4">
        <f t="shared" si="169"/>
        <v>244.6</v>
      </c>
      <c r="AH144" s="4">
        <f t="shared" si="170"/>
        <v>0</v>
      </c>
      <c r="AI144" s="5">
        <f t="shared" si="188"/>
        <v>244.6</v>
      </c>
      <c r="AJ144" s="5">
        <f t="shared" si="171"/>
        <v>768.04399999999998</v>
      </c>
      <c r="AK144" s="8">
        <f t="shared" si="172"/>
        <v>13056748</v>
      </c>
      <c r="AL144" s="9" t="str">
        <f t="shared" si="173"/>
        <v/>
      </c>
      <c r="AM144" s="4" t="str">
        <f t="shared" si="174"/>
        <v/>
      </c>
      <c r="AN144" s="4" t="str">
        <f t="shared" si="175"/>
        <v/>
      </c>
      <c r="AO144" s="5">
        <f t="shared" si="189"/>
        <v>0</v>
      </c>
      <c r="AP144" s="5" t="str">
        <f t="shared" si="176"/>
        <v/>
      </c>
      <c r="AQ144" s="8" t="str">
        <f t="shared" si="177"/>
        <v/>
      </c>
      <c r="AR144" s="9">
        <f t="shared" si="178"/>
        <v>12</v>
      </c>
      <c r="AS144" s="4">
        <f t="shared" si="179"/>
        <v>157</v>
      </c>
      <c r="AT144" s="4">
        <f t="shared" si="180"/>
        <v>0</v>
      </c>
      <c r="AU144" s="5">
        <f t="shared" si="190"/>
        <v>157</v>
      </c>
      <c r="AV144" s="5"/>
      <c r="AW144" s="8">
        <f t="shared" si="181"/>
        <v>1172790</v>
      </c>
      <c r="AX144" s="3" t="str">
        <f t="shared" si="182"/>
        <v/>
      </c>
      <c r="AY144" s="3" t="str">
        <f t="shared" si="183"/>
        <v/>
      </c>
      <c r="AZ144" s="3" t="str">
        <f t="shared" si="184"/>
        <v/>
      </c>
      <c r="BA144" s="5">
        <f t="shared" si="192"/>
        <v>0</v>
      </c>
      <c r="BB144" s="709"/>
      <c r="BC144" s="711" t="str">
        <f t="shared" si="185"/>
        <v/>
      </c>
    </row>
    <row r="145" spans="1:55" ht="16.5" x14ac:dyDescent="0.3">
      <c r="A145" s="712" t="s">
        <v>112</v>
      </c>
      <c r="B145" s="9"/>
      <c r="C145" s="4"/>
      <c r="D145" s="4"/>
      <c r="G145" s="8"/>
      <c r="H145" s="9"/>
      <c r="I145" s="4"/>
      <c r="J145" s="4"/>
      <c r="K145" s="5"/>
      <c r="L145" s="5"/>
      <c r="M145" s="8"/>
      <c r="N145" s="9">
        <v>3</v>
      </c>
      <c r="O145" s="4">
        <v>6.75</v>
      </c>
      <c r="P145" s="4"/>
      <c r="Q145" s="5"/>
      <c r="R145" s="5"/>
      <c r="S145" s="8"/>
      <c r="T145" s="9">
        <f t="shared" si="159"/>
        <v>515</v>
      </c>
      <c r="U145" s="4">
        <f t="shared" si="160"/>
        <v>814</v>
      </c>
      <c r="V145" s="4">
        <f t="shared" si="161"/>
        <v>0</v>
      </c>
      <c r="W145" s="5">
        <f t="shared" si="191"/>
        <v>814</v>
      </c>
      <c r="X145" s="5"/>
      <c r="Y145" s="8">
        <f t="shared" si="163"/>
        <v>6080580</v>
      </c>
      <c r="Z145" s="9">
        <f t="shared" si="164"/>
        <v>120</v>
      </c>
      <c r="AA145" s="4">
        <f t="shared" si="165"/>
        <v>54.5</v>
      </c>
      <c r="AB145" s="4">
        <f t="shared" si="166"/>
        <v>104.5</v>
      </c>
      <c r="AC145" s="5">
        <f t="shared" si="187"/>
        <v>159</v>
      </c>
      <c r="AD145" s="5"/>
      <c r="AE145" s="8">
        <f t="shared" si="167"/>
        <v>477614.75468028412</v>
      </c>
      <c r="AF145" s="9">
        <f t="shared" si="168"/>
        <v>0</v>
      </c>
      <c r="AG145" s="4">
        <f t="shared" si="169"/>
        <v>500</v>
      </c>
      <c r="AH145" s="4">
        <f t="shared" si="170"/>
        <v>0</v>
      </c>
      <c r="AI145" s="5">
        <f t="shared" si="188"/>
        <v>500</v>
      </c>
      <c r="AJ145" s="5">
        <f t="shared" si="171"/>
        <v>1570</v>
      </c>
      <c r="AK145" s="8">
        <f t="shared" si="172"/>
        <v>26690000</v>
      </c>
      <c r="AL145" s="9">
        <f t="shared" si="173"/>
        <v>90</v>
      </c>
      <c r="AM145" s="4">
        <f t="shared" si="174"/>
        <v>75</v>
      </c>
      <c r="AN145" s="4">
        <f t="shared" si="175"/>
        <v>0</v>
      </c>
      <c r="AO145" s="5">
        <f t="shared" si="189"/>
        <v>75</v>
      </c>
      <c r="AP145" s="5">
        <f t="shared" si="176"/>
        <v>26.325000000000003</v>
      </c>
      <c r="AQ145" s="8">
        <f t="shared" si="177"/>
        <v>447525.00000000006</v>
      </c>
      <c r="AR145" s="9">
        <f t="shared" si="178"/>
        <v>1066</v>
      </c>
      <c r="AS145" s="4">
        <f t="shared" si="179"/>
        <v>569</v>
      </c>
      <c r="AT145" s="4">
        <f t="shared" si="180"/>
        <v>150</v>
      </c>
      <c r="AU145" s="5">
        <f t="shared" si="190"/>
        <v>719</v>
      </c>
      <c r="AV145" s="5"/>
      <c r="AW145" s="8">
        <f t="shared" si="181"/>
        <v>5370930</v>
      </c>
      <c r="AX145" s="3" t="str">
        <f t="shared" si="182"/>
        <v/>
      </c>
      <c r="AY145" s="3" t="str">
        <f t="shared" si="183"/>
        <v/>
      </c>
      <c r="AZ145" s="3" t="str">
        <f t="shared" si="184"/>
        <v/>
      </c>
      <c r="BA145" s="5">
        <f t="shared" si="192"/>
        <v>0</v>
      </c>
      <c r="BB145" s="709"/>
      <c r="BC145" s="711" t="str">
        <f t="shared" si="185"/>
        <v/>
      </c>
    </row>
    <row r="146" spans="1:55" ht="16.5" x14ac:dyDescent="0.3">
      <c r="A146" s="712" t="s">
        <v>94</v>
      </c>
      <c r="B146" s="9">
        <v>6</v>
      </c>
      <c r="C146" s="4">
        <v>4</v>
      </c>
      <c r="D146" s="4">
        <v>0</v>
      </c>
      <c r="E146" s="5">
        <f t="shared" si="114"/>
        <v>4</v>
      </c>
      <c r="F146" s="5">
        <v>4.2119999999999997</v>
      </c>
      <c r="G146" s="8">
        <v>30000</v>
      </c>
      <c r="H146" s="9"/>
      <c r="I146" s="4"/>
      <c r="J146" s="4"/>
      <c r="K146" s="5">
        <f t="shared" si="110"/>
        <v>0</v>
      </c>
      <c r="L146" s="5"/>
      <c r="M146" s="8"/>
      <c r="N146" s="9">
        <v>31</v>
      </c>
      <c r="O146" s="4">
        <v>26</v>
      </c>
      <c r="P146" s="4"/>
      <c r="Q146" s="5">
        <f t="shared" si="111"/>
        <v>26</v>
      </c>
      <c r="R146" s="5"/>
      <c r="S146" s="8"/>
      <c r="T146" s="9">
        <f t="shared" si="159"/>
        <v>432</v>
      </c>
      <c r="U146" s="4">
        <f t="shared" si="160"/>
        <v>432</v>
      </c>
      <c r="V146" s="4">
        <f t="shared" si="161"/>
        <v>0</v>
      </c>
      <c r="W146" s="5">
        <f t="shared" si="191"/>
        <v>432</v>
      </c>
      <c r="X146" s="5"/>
      <c r="Y146" s="8">
        <f t="shared" si="163"/>
        <v>3227040</v>
      </c>
      <c r="Z146" s="9">
        <f t="shared" si="164"/>
        <v>152</v>
      </c>
      <c r="AA146" s="4">
        <f t="shared" si="165"/>
        <v>27</v>
      </c>
      <c r="AB146" s="4">
        <f t="shared" si="166"/>
        <v>176</v>
      </c>
      <c r="AC146" s="5">
        <f t="shared" si="187"/>
        <v>203</v>
      </c>
      <c r="AD146" s="5"/>
      <c r="AE146" s="8">
        <f t="shared" si="167"/>
        <v>522406.28479775187</v>
      </c>
      <c r="AF146" s="9">
        <f t="shared" si="168"/>
        <v>612</v>
      </c>
      <c r="AG146" s="4">
        <f t="shared" si="169"/>
        <v>515.9</v>
      </c>
      <c r="AH146" s="4">
        <f t="shared" si="170"/>
        <v>106</v>
      </c>
      <c r="AI146" s="5">
        <f t="shared" si="188"/>
        <v>621.9</v>
      </c>
      <c r="AJ146" s="5">
        <f t="shared" si="171"/>
        <v>197.14229999999984</v>
      </c>
      <c r="AK146" s="8">
        <f t="shared" si="172"/>
        <v>3351419.0999999973</v>
      </c>
      <c r="AL146" s="9">
        <f t="shared" si="173"/>
        <v>70</v>
      </c>
      <c r="AM146" s="4">
        <f t="shared" si="174"/>
        <v>360</v>
      </c>
      <c r="AN146" s="4">
        <f t="shared" si="175"/>
        <v>120</v>
      </c>
      <c r="AO146" s="5">
        <f t="shared" si="189"/>
        <v>480</v>
      </c>
      <c r="AP146" s="5">
        <f t="shared" si="176"/>
        <v>168.48000000000002</v>
      </c>
      <c r="AQ146" s="8">
        <f t="shared" si="177"/>
        <v>2864160.0000000005</v>
      </c>
      <c r="AR146" s="9">
        <f t="shared" si="178"/>
        <v>372</v>
      </c>
      <c r="AS146" s="4">
        <f t="shared" si="179"/>
        <v>614</v>
      </c>
      <c r="AT146" s="4">
        <f t="shared" si="180"/>
        <v>0</v>
      </c>
      <c r="AU146" s="5">
        <f t="shared" si="190"/>
        <v>614</v>
      </c>
      <c r="AV146" s="5"/>
      <c r="AW146" s="8">
        <f t="shared" si="181"/>
        <v>4586580</v>
      </c>
      <c r="AX146" s="3" t="str">
        <f t="shared" si="182"/>
        <v/>
      </c>
      <c r="AY146" s="3" t="str">
        <f t="shared" si="183"/>
        <v/>
      </c>
      <c r="AZ146" s="3" t="str">
        <f t="shared" si="184"/>
        <v/>
      </c>
      <c r="BA146" s="5">
        <f t="shared" si="192"/>
        <v>0</v>
      </c>
      <c r="BB146" s="709"/>
      <c r="BC146" s="711" t="str">
        <f t="shared" si="185"/>
        <v/>
      </c>
    </row>
    <row r="147" spans="1:55" ht="16.5" x14ac:dyDescent="0.3">
      <c r="A147" s="712" t="s">
        <v>117</v>
      </c>
      <c r="B147" s="9"/>
      <c r="C147" s="4"/>
      <c r="D147" s="4"/>
      <c r="G147" s="8"/>
      <c r="H147" s="9"/>
      <c r="I147" s="4"/>
      <c r="J147" s="4"/>
      <c r="K147" s="5"/>
      <c r="L147" s="5"/>
      <c r="M147" s="8"/>
      <c r="N147" s="9"/>
      <c r="O147" s="4"/>
      <c r="P147" s="4"/>
      <c r="Q147" s="5"/>
      <c r="R147" s="5"/>
      <c r="S147" s="8"/>
      <c r="T147" s="9">
        <f t="shared" si="159"/>
        <v>120</v>
      </c>
      <c r="U147" s="4">
        <f t="shared" si="160"/>
        <v>4.8</v>
      </c>
      <c r="V147" s="4">
        <f t="shared" si="161"/>
        <v>0</v>
      </c>
      <c r="W147" s="5">
        <f t="shared" si="191"/>
        <v>4.8</v>
      </c>
      <c r="X147" s="5"/>
      <c r="Y147" s="8">
        <f t="shared" si="163"/>
        <v>35856</v>
      </c>
      <c r="Z147" s="9">
        <f t="shared" si="164"/>
        <v>60</v>
      </c>
      <c r="AA147" s="4">
        <f t="shared" si="165"/>
        <v>22</v>
      </c>
      <c r="AB147" s="4">
        <f t="shared" si="166"/>
        <v>50</v>
      </c>
      <c r="AC147" s="5">
        <f t="shared" si="187"/>
        <v>72</v>
      </c>
      <c r="AD147" s="5"/>
      <c r="AE147" s="8">
        <f t="shared" si="167"/>
        <v>216278.37947786451</v>
      </c>
      <c r="AF147" s="9">
        <f t="shared" si="168"/>
        <v>266</v>
      </c>
      <c r="AG147" s="4">
        <f t="shared" si="169"/>
        <v>128.69999999999999</v>
      </c>
      <c r="AH147" s="4">
        <f t="shared" si="170"/>
        <v>0</v>
      </c>
      <c r="AI147" s="5">
        <f t="shared" si="188"/>
        <v>128.69999999999999</v>
      </c>
      <c r="AJ147" s="5">
        <f t="shared" si="171"/>
        <v>403.89920999999998</v>
      </c>
      <c r="AK147" s="8">
        <f t="shared" si="172"/>
        <v>6866286.5699999994</v>
      </c>
      <c r="AL147" s="9">
        <f t="shared" si="173"/>
        <v>190</v>
      </c>
      <c r="AM147" s="4">
        <f t="shared" si="174"/>
        <v>34</v>
      </c>
      <c r="AN147" s="4">
        <f t="shared" si="175"/>
        <v>42</v>
      </c>
      <c r="AO147" s="5">
        <f t="shared" si="189"/>
        <v>76</v>
      </c>
      <c r="AP147" s="5">
        <f t="shared" si="176"/>
        <v>26.676000000000002</v>
      </c>
      <c r="AQ147" s="8">
        <f t="shared" si="177"/>
        <v>453492.00000000006</v>
      </c>
      <c r="AR147" s="9">
        <f t="shared" si="178"/>
        <v>0</v>
      </c>
      <c r="AS147" s="4">
        <f t="shared" si="179"/>
        <v>0</v>
      </c>
      <c r="AT147" s="4">
        <f t="shared" si="180"/>
        <v>0</v>
      </c>
      <c r="AU147" s="5">
        <f t="shared" si="190"/>
        <v>0</v>
      </c>
      <c r="AV147" s="5"/>
      <c r="AW147" s="8">
        <f t="shared" si="181"/>
        <v>0</v>
      </c>
      <c r="AX147" s="3" t="str">
        <f t="shared" si="182"/>
        <v/>
      </c>
      <c r="AY147" s="3" t="str">
        <f t="shared" si="183"/>
        <v/>
      </c>
      <c r="AZ147" s="3" t="str">
        <f t="shared" si="184"/>
        <v/>
      </c>
      <c r="BA147" s="5">
        <f t="shared" si="192"/>
        <v>0</v>
      </c>
      <c r="BB147" s="709"/>
      <c r="BC147" s="711" t="str">
        <f t="shared" si="185"/>
        <v/>
      </c>
    </row>
    <row r="148" spans="1:55" ht="16.5" x14ac:dyDescent="0.3">
      <c r="A148" s="712" t="s">
        <v>227</v>
      </c>
      <c r="B148" s="9"/>
      <c r="C148" s="4"/>
      <c r="D148" s="4"/>
      <c r="G148" s="8"/>
      <c r="H148" s="9"/>
      <c r="I148" s="4"/>
      <c r="J148" s="4"/>
      <c r="K148" s="5"/>
      <c r="L148" s="5"/>
      <c r="M148" s="8"/>
      <c r="N148" s="9"/>
      <c r="O148" s="4"/>
      <c r="P148" s="4"/>
      <c r="Q148" s="5"/>
      <c r="R148" s="5"/>
      <c r="S148" s="8"/>
      <c r="T148" s="9"/>
      <c r="U148" s="4"/>
      <c r="V148" s="4"/>
      <c r="W148" s="5"/>
      <c r="X148" s="5"/>
      <c r="Y148" s="8"/>
      <c r="Z148" s="9">
        <f t="shared" si="164"/>
        <v>28</v>
      </c>
      <c r="AA148" s="4">
        <f t="shared" si="165"/>
        <v>24</v>
      </c>
      <c r="AB148" s="4">
        <f t="shared" si="166"/>
        <v>0</v>
      </c>
      <c r="AC148" s="5">
        <f t="shared" ref="AC148" si="193">SUM(AA148:AB148)</f>
        <v>24</v>
      </c>
      <c r="AD148" s="5"/>
      <c r="AE148" s="8">
        <f t="shared" si="167"/>
        <v>179280</v>
      </c>
      <c r="AF148" s="9">
        <f t="shared" si="168"/>
        <v>0</v>
      </c>
      <c r="AG148" s="4">
        <f t="shared" si="169"/>
        <v>29.8</v>
      </c>
      <c r="AH148" s="4">
        <f t="shared" si="170"/>
        <v>0</v>
      </c>
      <c r="AI148" s="5">
        <f t="shared" si="188"/>
        <v>29.8</v>
      </c>
      <c r="AJ148" s="5">
        <f t="shared" si="171"/>
        <v>93.572000000000003</v>
      </c>
      <c r="AK148" s="8">
        <f t="shared" si="172"/>
        <v>1590724</v>
      </c>
      <c r="AL148" s="9">
        <f t="shared" si="173"/>
        <v>105</v>
      </c>
      <c r="AM148" s="4">
        <f t="shared" si="174"/>
        <v>0</v>
      </c>
      <c r="AN148" s="4">
        <f t="shared" si="175"/>
        <v>100</v>
      </c>
      <c r="AO148" s="5">
        <f t="shared" si="189"/>
        <v>100</v>
      </c>
      <c r="AP148" s="5">
        <f t="shared" si="176"/>
        <v>41.769000000000005</v>
      </c>
      <c r="AQ148" s="8">
        <f t="shared" si="177"/>
        <v>710073</v>
      </c>
      <c r="AR148" s="9">
        <f t="shared" si="178"/>
        <v>0</v>
      </c>
      <c r="AS148" s="4">
        <f t="shared" si="179"/>
        <v>0</v>
      </c>
      <c r="AT148" s="4">
        <f t="shared" si="180"/>
        <v>0</v>
      </c>
      <c r="AU148" s="5">
        <f t="shared" si="190"/>
        <v>0</v>
      </c>
      <c r="AV148" s="5"/>
      <c r="AW148" s="8">
        <f t="shared" si="181"/>
        <v>0</v>
      </c>
      <c r="AX148" s="3" t="str">
        <f t="shared" si="182"/>
        <v/>
      </c>
      <c r="AY148" s="3" t="str">
        <f t="shared" si="183"/>
        <v/>
      </c>
      <c r="AZ148" s="3" t="str">
        <f t="shared" si="184"/>
        <v/>
      </c>
      <c r="BA148" s="5">
        <f t="shared" si="192"/>
        <v>0</v>
      </c>
      <c r="BB148" s="709"/>
      <c r="BC148" s="711" t="str">
        <f t="shared" si="185"/>
        <v/>
      </c>
    </row>
    <row r="149" spans="1:55" ht="16.5" x14ac:dyDescent="0.3">
      <c r="A149" s="712" t="s">
        <v>95</v>
      </c>
      <c r="B149" s="9">
        <v>26</v>
      </c>
      <c r="C149" s="4">
        <v>26</v>
      </c>
      <c r="D149" s="4">
        <v>6.5</v>
      </c>
      <c r="E149" s="5">
        <f t="shared" si="114"/>
        <v>32.5</v>
      </c>
      <c r="F149" s="5">
        <v>34.222499999999997</v>
      </c>
      <c r="G149" s="8">
        <v>195000</v>
      </c>
      <c r="H149" s="9">
        <v>23</v>
      </c>
      <c r="I149" s="4"/>
      <c r="J149" s="4">
        <v>23</v>
      </c>
      <c r="K149" s="5">
        <f t="shared" si="110"/>
        <v>23</v>
      </c>
      <c r="L149" s="5">
        <v>44.113999999999997</v>
      </c>
      <c r="M149" s="8">
        <v>794052</v>
      </c>
      <c r="N149" s="9">
        <v>12</v>
      </c>
      <c r="O149" s="4">
        <v>7.62</v>
      </c>
      <c r="P149" s="4">
        <v>5.08</v>
      </c>
      <c r="Q149" s="5">
        <f t="shared" si="111"/>
        <v>12.7</v>
      </c>
      <c r="R149" s="5">
        <v>29.12</v>
      </c>
      <c r="S149" s="8">
        <v>501981.48</v>
      </c>
      <c r="T149" s="9" t="str">
        <f>IFERROR(VLOOKUP(A149,Tisoy_NSamar,3,FALSE),"")</f>
        <v/>
      </c>
      <c r="U149" s="4" t="str">
        <f>IFERROR(VLOOKUP(A149,Tisoy_NSamar,6,FALSE),"")</f>
        <v/>
      </c>
      <c r="V149" s="4" t="str">
        <f>IFERROR(VLOOKUP(A149,Tisoy_NSamar,7,FALSE),"")</f>
        <v/>
      </c>
      <c r="W149" s="5">
        <f t="shared" si="191"/>
        <v>0</v>
      </c>
      <c r="X149" s="5"/>
      <c r="Y149" s="8" t="str">
        <f>IFERROR(VLOOKUP(A149,Tisoy_NSamar,13,FALSE),"")</f>
        <v/>
      </c>
      <c r="Z149" s="9">
        <f t="shared" si="164"/>
        <v>20</v>
      </c>
      <c r="AA149" s="4">
        <f t="shared" si="165"/>
        <v>0</v>
      </c>
      <c r="AB149" s="4">
        <f t="shared" si="166"/>
        <v>33</v>
      </c>
      <c r="AC149" s="5">
        <f t="shared" si="187"/>
        <v>33</v>
      </c>
      <c r="AD149" s="5"/>
      <c r="AE149" s="8">
        <f t="shared" si="167"/>
        <v>218811.4659213628</v>
      </c>
      <c r="AF149" s="9">
        <f t="shared" si="168"/>
        <v>13</v>
      </c>
      <c r="AG149" s="4">
        <f t="shared" si="169"/>
        <v>0</v>
      </c>
      <c r="AH149" s="4">
        <f t="shared" si="170"/>
        <v>14.9</v>
      </c>
      <c r="AI149" s="5">
        <f t="shared" si="188"/>
        <v>14.9</v>
      </c>
      <c r="AJ149" s="5">
        <f t="shared" si="171"/>
        <v>32.670999999999999</v>
      </c>
      <c r="AK149" s="8">
        <f t="shared" si="172"/>
        <v>555407.00000000012</v>
      </c>
      <c r="AL149" s="9">
        <f t="shared" si="173"/>
        <v>4</v>
      </c>
      <c r="AM149" s="4">
        <f t="shared" si="174"/>
        <v>3</v>
      </c>
      <c r="AN149" s="4">
        <f t="shared" si="175"/>
        <v>2.5</v>
      </c>
      <c r="AO149" s="5">
        <f t="shared" si="189"/>
        <v>5.5</v>
      </c>
      <c r="AP149" s="5">
        <f t="shared" si="176"/>
        <v>3.8610000000000002</v>
      </c>
      <c r="AQ149" s="8">
        <f t="shared" si="177"/>
        <v>65637</v>
      </c>
      <c r="AR149" s="9">
        <f t="shared" si="178"/>
        <v>0</v>
      </c>
      <c r="AS149" s="4">
        <f t="shared" si="179"/>
        <v>0</v>
      </c>
      <c r="AT149" s="4">
        <f t="shared" si="180"/>
        <v>0</v>
      </c>
      <c r="AU149" s="5">
        <f t="shared" si="190"/>
        <v>0</v>
      </c>
      <c r="AV149" s="5"/>
      <c r="AW149" s="8">
        <f t="shared" si="181"/>
        <v>0</v>
      </c>
      <c r="AX149" s="3" t="str">
        <f t="shared" si="182"/>
        <v/>
      </c>
      <c r="AY149" s="3" t="str">
        <f t="shared" si="183"/>
        <v/>
      </c>
      <c r="AZ149" s="3" t="str">
        <f t="shared" si="184"/>
        <v/>
      </c>
      <c r="BA149" s="5">
        <f t="shared" si="192"/>
        <v>0</v>
      </c>
      <c r="BB149" s="709"/>
      <c r="BC149" s="711" t="str">
        <f t="shared" si="185"/>
        <v/>
      </c>
    </row>
    <row r="150" spans="1:55" ht="16.5" x14ac:dyDescent="0.3">
      <c r="A150" s="712" t="s">
        <v>3</v>
      </c>
      <c r="B150" s="9">
        <v>16</v>
      </c>
      <c r="C150" s="4">
        <v>11.2</v>
      </c>
      <c r="D150" s="4">
        <v>4.4000000000000004</v>
      </c>
      <c r="E150" s="5">
        <f t="shared" si="114"/>
        <v>15.6</v>
      </c>
      <c r="F150" s="5">
        <v>16.426799999999997</v>
      </c>
      <c r="G150" s="8">
        <v>117000</v>
      </c>
      <c r="H150" s="9"/>
      <c r="I150" s="4"/>
      <c r="J150" s="4"/>
      <c r="K150" s="5">
        <f t="shared" si="110"/>
        <v>0</v>
      </c>
      <c r="L150" s="5"/>
      <c r="M150" s="8"/>
      <c r="N150" s="9">
        <v>34</v>
      </c>
      <c r="O150" s="4">
        <v>11</v>
      </c>
      <c r="P150" s="4"/>
      <c r="Q150" s="5">
        <f t="shared" si="111"/>
        <v>11</v>
      </c>
      <c r="R150" s="5"/>
      <c r="S150" s="8"/>
      <c r="T150" s="9">
        <f>IFERROR(VLOOKUP(A150,Tisoy_NSamar,3,FALSE),"")</f>
        <v>150</v>
      </c>
      <c r="U150" s="4">
        <f>IFERROR(VLOOKUP(A150,Tisoy_NSamar,6,FALSE),"")</f>
        <v>50</v>
      </c>
      <c r="V150" s="4">
        <f>IFERROR(VLOOKUP(A150,Tisoy_NSamar,7,FALSE),"")</f>
        <v>97</v>
      </c>
      <c r="W150" s="5">
        <f t="shared" si="191"/>
        <v>147</v>
      </c>
      <c r="X150" s="5"/>
      <c r="Y150" s="8">
        <f>IFERROR(VLOOKUP(A150,Tisoy_NSamar,13,FALSE),"")</f>
        <v>1026427.2527472528</v>
      </c>
      <c r="Z150" s="9">
        <f t="shared" si="164"/>
        <v>50</v>
      </c>
      <c r="AA150" s="4">
        <f t="shared" si="165"/>
        <v>16</v>
      </c>
      <c r="AB150" s="4">
        <f t="shared" si="166"/>
        <v>32</v>
      </c>
      <c r="AC150" s="5">
        <f t="shared" si="187"/>
        <v>48</v>
      </c>
      <c r="AD150" s="5"/>
      <c r="AE150" s="8">
        <f t="shared" si="167"/>
        <v>144185.58631857636</v>
      </c>
      <c r="AF150" s="9">
        <f t="shared" si="168"/>
        <v>250</v>
      </c>
      <c r="AG150" s="4">
        <f t="shared" si="169"/>
        <v>0</v>
      </c>
      <c r="AH150" s="4">
        <f t="shared" si="170"/>
        <v>237.9</v>
      </c>
      <c r="AI150" s="5">
        <f t="shared" si="188"/>
        <v>237.9</v>
      </c>
      <c r="AJ150" s="5">
        <f t="shared" si="171"/>
        <v>747.00600000000009</v>
      </c>
      <c r="AK150" s="8">
        <f t="shared" si="172"/>
        <v>12699102.000000002</v>
      </c>
      <c r="AL150" s="9">
        <f t="shared" si="173"/>
        <v>51</v>
      </c>
      <c r="AM150" s="4">
        <f t="shared" si="174"/>
        <v>26</v>
      </c>
      <c r="AN150" s="4">
        <f t="shared" si="175"/>
        <v>9</v>
      </c>
      <c r="AO150" s="5">
        <f t="shared" si="189"/>
        <v>35</v>
      </c>
      <c r="AP150" s="5">
        <f t="shared" si="176"/>
        <v>12.285</v>
      </c>
      <c r="AQ150" s="8">
        <f t="shared" si="177"/>
        <v>208845</v>
      </c>
      <c r="AR150" s="9">
        <f t="shared" si="178"/>
        <v>0</v>
      </c>
      <c r="AS150" s="4">
        <f t="shared" si="179"/>
        <v>0</v>
      </c>
      <c r="AT150" s="4">
        <f t="shared" si="180"/>
        <v>0</v>
      </c>
      <c r="AU150" s="5">
        <f t="shared" si="190"/>
        <v>0</v>
      </c>
      <c r="AV150" s="5"/>
      <c r="AW150" s="8">
        <f t="shared" si="181"/>
        <v>0</v>
      </c>
      <c r="AX150" s="3" t="str">
        <f t="shared" si="182"/>
        <v/>
      </c>
      <c r="AY150" s="3" t="str">
        <f t="shared" si="183"/>
        <v/>
      </c>
      <c r="AZ150" s="3" t="str">
        <f t="shared" si="184"/>
        <v/>
      </c>
      <c r="BA150" s="5">
        <f t="shared" si="192"/>
        <v>0</v>
      </c>
      <c r="BB150" s="709"/>
      <c r="BC150" s="711" t="str">
        <f t="shared" si="185"/>
        <v/>
      </c>
    </row>
    <row r="151" spans="1:55" ht="16.5" x14ac:dyDescent="0.3">
      <c r="A151" s="712" t="s">
        <v>116</v>
      </c>
      <c r="B151" s="9"/>
      <c r="C151" s="4"/>
      <c r="D151" s="4"/>
      <c r="G151" s="8"/>
      <c r="H151" s="9"/>
      <c r="I151" s="4"/>
      <c r="J151" s="4"/>
      <c r="K151" s="5"/>
      <c r="L151" s="5"/>
      <c r="M151" s="8"/>
      <c r="N151" s="9"/>
      <c r="O151" s="4"/>
      <c r="P151" s="4"/>
      <c r="Q151" s="5"/>
      <c r="R151" s="5"/>
      <c r="S151" s="8"/>
      <c r="T151" s="9">
        <f>IFERROR(VLOOKUP(A151,Tisoy_NSamar,3,FALSE),"")</f>
        <v>20</v>
      </c>
      <c r="U151" s="4">
        <f>IFERROR(VLOOKUP(A151,Tisoy_NSamar,6,FALSE),"")</f>
        <v>20</v>
      </c>
      <c r="V151" s="4">
        <f>IFERROR(VLOOKUP(A151,Tisoy_NSamar,7,FALSE),"")</f>
        <v>0</v>
      </c>
      <c r="W151" s="5">
        <f t="shared" si="191"/>
        <v>20</v>
      </c>
      <c r="X151" s="5"/>
      <c r="Y151" s="8">
        <f>IFERROR(VLOOKUP(A151,Tisoy_NSamar,13,FALSE),"")</f>
        <v>149400</v>
      </c>
      <c r="Z151" s="9">
        <f t="shared" si="164"/>
        <v>305</v>
      </c>
      <c r="AA151" s="4">
        <f t="shared" si="165"/>
        <v>65</v>
      </c>
      <c r="AB151" s="4">
        <f t="shared" si="166"/>
        <v>278</v>
      </c>
      <c r="AC151" s="5">
        <f t="shared" si="187"/>
        <v>343</v>
      </c>
      <c r="AD151" s="5"/>
      <c r="AE151" s="8">
        <f t="shared" si="167"/>
        <v>4507954.0825614976</v>
      </c>
      <c r="AF151" s="9">
        <f t="shared" si="168"/>
        <v>184</v>
      </c>
      <c r="AG151" s="4">
        <f t="shared" si="169"/>
        <v>202.2</v>
      </c>
      <c r="AH151" s="4">
        <f t="shared" si="170"/>
        <v>806.4</v>
      </c>
      <c r="AI151" s="5">
        <f t="shared" si="188"/>
        <v>1008.5999999999999</v>
      </c>
      <c r="AJ151" s="5">
        <f t="shared" si="171"/>
        <v>399.72619999999972</v>
      </c>
      <c r="AK151" s="8">
        <f t="shared" si="172"/>
        <v>6795345.3999999966</v>
      </c>
      <c r="AL151" s="9">
        <f t="shared" si="173"/>
        <v>591</v>
      </c>
      <c r="AM151" s="4">
        <f t="shared" si="174"/>
        <v>225</v>
      </c>
      <c r="AN151" s="4">
        <f t="shared" si="175"/>
        <v>257</v>
      </c>
      <c r="AO151" s="5">
        <f t="shared" si="189"/>
        <v>482</v>
      </c>
      <c r="AP151" s="5">
        <f t="shared" si="176"/>
        <v>169.18200000000002</v>
      </c>
      <c r="AQ151" s="8">
        <f t="shared" si="177"/>
        <v>2876094.0000000005</v>
      </c>
      <c r="AR151" s="9" t="str">
        <f t="shared" si="178"/>
        <v/>
      </c>
      <c r="AS151" s="4" t="str">
        <f t="shared" si="179"/>
        <v/>
      </c>
      <c r="AT151" s="4" t="str">
        <f t="shared" si="180"/>
        <v/>
      </c>
      <c r="AU151" s="5">
        <f t="shared" si="190"/>
        <v>0</v>
      </c>
      <c r="AV151" s="5"/>
      <c r="AW151" s="8" t="str">
        <f t="shared" si="181"/>
        <v/>
      </c>
      <c r="AX151" s="3" t="str">
        <f t="shared" si="182"/>
        <v/>
      </c>
      <c r="AY151" s="3" t="str">
        <f t="shared" si="183"/>
        <v/>
      </c>
      <c r="AZ151" s="3" t="str">
        <f t="shared" si="184"/>
        <v/>
      </c>
      <c r="BA151" s="5">
        <f t="shared" si="192"/>
        <v>0</v>
      </c>
      <c r="BB151" s="709"/>
      <c r="BC151" s="711" t="str">
        <f t="shared" si="185"/>
        <v/>
      </c>
    </row>
    <row r="152" spans="1:55" ht="16.5" x14ac:dyDescent="0.3">
      <c r="A152" s="712" t="s">
        <v>96</v>
      </c>
      <c r="B152" s="9">
        <v>18</v>
      </c>
      <c r="C152" s="4">
        <v>8.34</v>
      </c>
      <c r="D152" s="4">
        <v>5.56</v>
      </c>
      <c r="E152" s="5">
        <f t="shared" si="114"/>
        <v>13.899999999999999</v>
      </c>
      <c r="F152" s="5">
        <v>14.636699999999996</v>
      </c>
      <c r="G152" s="8">
        <v>104249.99999999999</v>
      </c>
      <c r="H152" s="9"/>
      <c r="I152" s="4"/>
      <c r="J152" s="4"/>
      <c r="K152" s="5">
        <f t="shared" si="110"/>
        <v>0</v>
      </c>
      <c r="L152" s="5"/>
      <c r="M152" s="8"/>
      <c r="N152" s="9">
        <v>5</v>
      </c>
      <c r="O152" s="4"/>
      <c r="P152" s="4">
        <v>10</v>
      </c>
      <c r="Q152" s="5">
        <f t="shared" si="111"/>
        <v>10</v>
      </c>
      <c r="R152" s="5"/>
      <c r="S152" s="8"/>
      <c r="T152" s="9" t="str">
        <f>IFERROR(VLOOKUP(A152,Tisoy_NSamar,3,FALSE),"")</f>
        <v/>
      </c>
      <c r="U152" s="4" t="str">
        <f>IFERROR(VLOOKUP(A152,Tisoy_NSamar,6,FALSE),"")</f>
        <v/>
      </c>
      <c r="V152" s="4" t="str">
        <f>IFERROR(VLOOKUP(A152,Tisoy_NSamar,7,FALSE),"")</f>
        <v/>
      </c>
      <c r="W152" s="5">
        <f t="shared" si="191"/>
        <v>0</v>
      </c>
      <c r="X152" s="5"/>
      <c r="Y152" s="8" t="str">
        <f>IFERROR(VLOOKUP(A152,Tisoy_NSamar,13,FALSE),"")</f>
        <v/>
      </c>
      <c r="Z152" s="9" t="str">
        <f t="shared" si="164"/>
        <v/>
      </c>
      <c r="AA152" s="4" t="str">
        <f t="shared" si="165"/>
        <v/>
      </c>
      <c r="AB152" s="4" t="str">
        <f t="shared" si="166"/>
        <v/>
      </c>
      <c r="AC152" s="5">
        <f t="shared" si="187"/>
        <v>0</v>
      </c>
      <c r="AD152" s="5"/>
      <c r="AE152" s="8" t="str">
        <f t="shared" si="167"/>
        <v/>
      </c>
      <c r="AF152" s="9" t="str">
        <f t="shared" si="168"/>
        <v/>
      </c>
      <c r="AG152" s="4" t="str">
        <f t="shared" si="169"/>
        <v/>
      </c>
      <c r="AH152" s="4" t="str">
        <f t="shared" si="170"/>
        <v/>
      </c>
      <c r="AI152" s="5">
        <f t="shared" si="188"/>
        <v>0</v>
      </c>
      <c r="AJ152" s="5" t="str">
        <f t="shared" si="171"/>
        <v/>
      </c>
      <c r="AK152" s="8" t="str">
        <f t="shared" si="172"/>
        <v/>
      </c>
      <c r="AL152" s="9" t="str">
        <f t="shared" si="173"/>
        <v/>
      </c>
      <c r="AM152" s="4" t="str">
        <f t="shared" si="174"/>
        <v/>
      </c>
      <c r="AN152" s="4" t="str">
        <f t="shared" si="175"/>
        <v/>
      </c>
      <c r="AO152" s="5">
        <f t="shared" si="189"/>
        <v>0</v>
      </c>
      <c r="AP152" s="5" t="str">
        <f t="shared" si="176"/>
        <v/>
      </c>
      <c r="AQ152" s="8" t="str">
        <f t="shared" si="177"/>
        <v/>
      </c>
      <c r="AR152" s="9" t="str">
        <f t="shared" si="178"/>
        <v/>
      </c>
      <c r="AS152" s="4" t="str">
        <f t="shared" si="179"/>
        <v/>
      </c>
      <c r="AT152" s="4" t="str">
        <f t="shared" si="180"/>
        <v/>
      </c>
      <c r="AU152" s="5">
        <f t="shared" si="190"/>
        <v>0</v>
      </c>
      <c r="AV152" s="5"/>
      <c r="AW152" s="8" t="str">
        <f t="shared" si="181"/>
        <v/>
      </c>
      <c r="AX152" s="3" t="str">
        <f t="shared" si="182"/>
        <v/>
      </c>
      <c r="AY152" s="3" t="str">
        <f t="shared" si="183"/>
        <v/>
      </c>
      <c r="AZ152" s="3" t="str">
        <f t="shared" si="184"/>
        <v/>
      </c>
      <c r="BA152" s="5">
        <f t="shared" si="192"/>
        <v>0</v>
      </c>
      <c r="BB152" s="709"/>
      <c r="BC152" s="711" t="str">
        <f t="shared" si="185"/>
        <v/>
      </c>
    </row>
    <row r="153" spans="1:55" ht="17.25" thickBot="1" x14ac:dyDescent="0.35">
      <c r="A153" s="714" t="s">
        <v>97</v>
      </c>
      <c r="B153" s="726">
        <v>20</v>
      </c>
      <c r="C153" s="716">
        <v>15.83</v>
      </c>
      <c r="D153" s="716">
        <v>11.17</v>
      </c>
      <c r="E153" s="717">
        <f t="shared" si="114"/>
        <v>27</v>
      </c>
      <c r="F153" s="717">
        <v>28.430999999999997</v>
      </c>
      <c r="G153" s="727">
        <v>202500</v>
      </c>
      <c r="H153" s="726"/>
      <c r="I153" s="716"/>
      <c r="J153" s="716"/>
      <c r="K153" s="717">
        <f t="shared" si="110"/>
        <v>0</v>
      </c>
      <c r="L153" s="717"/>
      <c r="M153" s="727"/>
      <c r="N153" s="726"/>
      <c r="O153" s="716"/>
      <c r="P153" s="716"/>
      <c r="Q153" s="717">
        <f t="shared" si="111"/>
        <v>0</v>
      </c>
      <c r="R153" s="717"/>
      <c r="S153" s="727"/>
      <c r="T153" s="726">
        <f>IFERROR(VLOOKUP(A153,Tisoy_NSamar,3,FALSE),"")</f>
        <v>4</v>
      </c>
      <c r="U153" s="716">
        <f>IFERROR(VLOOKUP(A153,Tisoy_NSamar,6,FALSE),"")</f>
        <v>3.25</v>
      </c>
      <c r="V153" s="716">
        <f>IFERROR(VLOOKUP(A153,Tisoy_NSamar,7,FALSE),"")</f>
        <v>0</v>
      </c>
      <c r="W153" s="717">
        <f t="shared" si="191"/>
        <v>3.25</v>
      </c>
      <c r="X153" s="717"/>
      <c r="Y153" s="727">
        <f>IFERROR(VLOOKUP(A153,Tisoy_NSamar,13,FALSE),"")</f>
        <v>150832.5</v>
      </c>
      <c r="Z153" s="726">
        <f t="shared" si="164"/>
        <v>27</v>
      </c>
      <c r="AA153" s="716">
        <f t="shared" si="165"/>
        <v>5</v>
      </c>
      <c r="AB153" s="716">
        <f t="shared" si="166"/>
        <v>22</v>
      </c>
      <c r="AC153" s="717">
        <f t="shared" si="187"/>
        <v>27</v>
      </c>
      <c r="AD153" s="717"/>
      <c r="AE153" s="727">
        <f t="shared" si="167"/>
        <v>139208.20219512819</v>
      </c>
      <c r="AF153" s="726">
        <f t="shared" si="168"/>
        <v>62</v>
      </c>
      <c r="AG153" s="716">
        <f t="shared" si="169"/>
        <v>92.75</v>
      </c>
      <c r="AH153" s="716">
        <f t="shared" si="170"/>
        <v>1</v>
      </c>
      <c r="AI153" s="717">
        <f t="shared" si="188"/>
        <v>93.75</v>
      </c>
      <c r="AJ153" s="717">
        <f t="shared" si="171"/>
        <v>294.21902499999999</v>
      </c>
      <c r="AK153" s="727">
        <f t="shared" si="172"/>
        <v>5001723.4250000007</v>
      </c>
      <c r="AL153" s="726">
        <f t="shared" si="173"/>
        <v>17</v>
      </c>
      <c r="AM153" s="716">
        <f t="shared" si="174"/>
        <v>14.375</v>
      </c>
      <c r="AN153" s="716">
        <f t="shared" si="175"/>
        <v>0</v>
      </c>
      <c r="AO153" s="717">
        <f t="shared" si="189"/>
        <v>14.375</v>
      </c>
      <c r="AP153" s="717">
        <f t="shared" si="176"/>
        <v>10.062499999999996</v>
      </c>
      <c r="AQ153" s="727">
        <f t="shared" si="177"/>
        <v>171062.49999999994</v>
      </c>
      <c r="AR153" s="726">
        <f t="shared" si="178"/>
        <v>27</v>
      </c>
      <c r="AS153" s="716">
        <f t="shared" si="179"/>
        <v>68</v>
      </c>
      <c r="AT153" s="716">
        <f t="shared" si="180"/>
        <v>0</v>
      </c>
      <c r="AU153" s="717">
        <f t="shared" si="190"/>
        <v>68</v>
      </c>
      <c r="AV153" s="717"/>
      <c r="AW153" s="727">
        <f t="shared" si="181"/>
        <v>507960</v>
      </c>
      <c r="AX153" s="715" t="str">
        <f t="shared" si="182"/>
        <v/>
      </c>
      <c r="AY153" s="715" t="str">
        <f t="shared" si="183"/>
        <v/>
      </c>
      <c r="AZ153" s="715" t="str">
        <f t="shared" si="184"/>
        <v/>
      </c>
      <c r="BA153" s="717">
        <f t="shared" si="192"/>
        <v>0</v>
      </c>
      <c r="BB153" s="718"/>
      <c r="BC153" s="719" t="str">
        <f t="shared" si="185"/>
        <v/>
      </c>
    </row>
  </sheetData>
  <mergeCells count="9">
    <mergeCell ref="AF8:AK8"/>
    <mergeCell ref="AL8:AQ8"/>
    <mergeCell ref="AR8:AW8"/>
    <mergeCell ref="AX8:BC8"/>
    <mergeCell ref="B8:G8"/>
    <mergeCell ref="H8:M8"/>
    <mergeCell ref="N8:S8"/>
    <mergeCell ref="T8:Y8"/>
    <mergeCell ref="Z8:AE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1575-302D-A441-9A99-CE2AA8B70705}">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5" customWidth="1"/>
    <col min="2" max="2" width="16.42578125" style="15" customWidth="1"/>
    <col min="3" max="3" width="15.28515625" style="23" customWidth="1"/>
    <col min="4" max="4" width="14.85546875" style="23" customWidth="1"/>
    <col min="5" max="5" width="20.85546875" style="16" customWidth="1"/>
    <col min="6" max="6" width="11.85546875" style="19" customWidth="1"/>
    <col min="7" max="7" width="12" style="19" customWidth="1"/>
    <col min="8" max="8" width="11" style="19" customWidth="1"/>
    <col min="9" max="9" width="11" style="15" bestFit="1" customWidth="1"/>
    <col min="10" max="10" width="12" style="22" customWidth="1"/>
    <col min="11" max="11" width="9.28515625" style="21" customWidth="1"/>
    <col min="12" max="12" width="14.85546875" style="20" customWidth="1"/>
    <col min="13" max="13" width="19.28515625" style="17" customWidth="1"/>
    <col min="14" max="14" width="11.42578125" style="19" customWidth="1"/>
    <col min="15" max="15" width="7.7109375" style="18" customWidth="1"/>
    <col min="16" max="16" width="18.140625" style="17" customWidth="1"/>
    <col min="17" max="17" width="15.42578125" style="17" customWidth="1"/>
    <col min="18" max="18" width="34.42578125" style="15" customWidth="1"/>
    <col min="19" max="19" width="18" style="15" customWidth="1"/>
    <col min="20" max="20" width="22.7109375" style="16" customWidth="1"/>
    <col min="21" max="21" width="29.28515625" style="15" customWidth="1"/>
    <col min="22" max="16384" width="11.42578125" style="15"/>
  </cols>
  <sheetData>
    <row r="1" spans="1:21" ht="36" customHeight="1" x14ac:dyDescent="0.25">
      <c r="A1" s="692" t="s">
        <v>194</v>
      </c>
      <c r="B1" s="692"/>
      <c r="C1" s="692"/>
      <c r="D1" s="692"/>
      <c r="E1" s="692"/>
      <c r="F1" s="692"/>
      <c r="G1" s="692"/>
      <c r="H1" s="692"/>
      <c r="I1" s="692"/>
      <c r="J1" s="692"/>
      <c r="K1" s="222"/>
      <c r="L1" s="692"/>
      <c r="M1" s="692"/>
      <c r="N1" s="693"/>
      <c r="O1" s="692"/>
      <c r="P1" s="692"/>
      <c r="Q1" s="692"/>
      <c r="R1" s="692"/>
    </row>
    <row r="2" spans="1:21" ht="18.75" customHeight="1" x14ac:dyDescent="0.25">
      <c r="A2" s="691" t="s">
        <v>336</v>
      </c>
      <c r="B2" s="222"/>
      <c r="C2" s="222"/>
      <c r="D2" s="222"/>
      <c r="E2" s="222"/>
      <c r="F2" s="222"/>
      <c r="G2" s="222"/>
      <c r="H2" s="222"/>
      <c r="I2" s="222"/>
      <c r="J2" s="222"/>
      <c r="K2" s="222"/>
      <c r="L2" s="222"/>
      <c r="M2" s="222"/>
      <c r="N2" s="280"/>
      <c r="O2" s="222"/>
      <c r="P2" s="222"/>
      <c r="Q2" s="222"/>
      <c r="R2" s="222"/>
    </row>
    <row r="3" spans="1:21" ht="18.75" customHeight="1" x14ac:dyDescent="0.25">
      <c r="A3" s="691" t="s">
        <v>335</v>
      </c>
      <c r="B3" s="222"/>
      <c r="C3" s="222"/>
      <c r="D3" s="222"/>
      <c r="E3" s="222"/>
      <c r="F3" s="222"/>
      <c r="G3" s="222"/>
      <c r="H3" s="222"/>
      <c r="I3" s="222"/>
      <c r="J3" s="222"/>
      <c r="K3" s="222"/>
      <c r="L3" s="222"/>
      <c r="M3" s="222"/>
      <c r="N3" s="280"/>
      <c r="O3" s="222"/>
      <c r="P3" s="222"/>
      <c r="Q3" s="222"/>
      <c r="R3" s="222"/>
    </row>
    <row r="4" spans="1:21" ht="18.75" customHeight="1" thickBot="1" x14ac:dyDescent="0.3">
      <c r="A4" s="187"/>
      <c r="B4" s="187"/>
      <c r="C4" s="223"/>
      <c r="D4" s="223"/>
      <c r="E4" s="195"/>
      <c r="F4" s="220"/>
      <c r="G4" s="220"/>
      <c r="H4" s="220"/>
      <c r="I4" s="222"/>
      <c r="J4" s="221"/>
      <c r="K4" s="187"/>
      <c r="L4" s="187"/>
      <c r="M4" s="220"/>
      <c r="N4" s="690"/>
      <c r="O4" s="187"/>
      <c r="P4" s="219"/>
      <c r="Q4" s="219"/>
      <c r="R4" s="187"/>
    </row>
    <row r="5" spans="1:21" ht="21" customHeight="1" x14ac:dyDescent="0.25">
      <c r="A5" s="218" t="s">
        <v>191</v>
      </c>
      <c r="B5" s="217"/>
      <c r="C5" s="216"/>
      <c r="D5" s="216"/>
      <c r="E5" s="215"/>
      <c r="F5" s="209"/>
      <c r="G5" s="209"/>
      <c r="H5" s="214" t="s">
        <v>190</v>
      </c>
      <c r="I5" s="213"/>
      <c r="J5" s="212"/>
      <c r="K5" s="208"/>
      <c r="L5" s="211"/>
      <c r="M5" s="210"/>
      <c r="N5" s="689"/>
      <c r="O5" s="208"/>
      <c r="P5" s="207"/>
      <c r="Q5" s="207"/>
      <c r="R5" s="206"/>
      <c r="T5" s="205"/>
    </row>
    <row r="6" spans="1:21" ht="18.75" customHeight="1" x14ac:dyDescent="0.25">
      <c r="A6" s="198"/>
      <c r="B6" s="197"/>
      <c r="C6" s="196"/>
      <c r="D6" s="196"/>
      <c r="E6" s="195"/>
      <c r="F6" s="194"/>
      <c r="G6" s="194"/>
      <c r="H6" s="204" t="s">
        <v>189</v>
      </c>
      <c r="I6" s="203"/>
      <c r="J6" s="202" t="s">
        <v>188</v>
      </c>
      <c r="K6" s="187"/>
      <c r="L6" s="187"/>
      <c r="M6" s="201"/>
      <c r="N6" s="688"/>
      <c r="O6" s="199"/>
      <c r="P6" s="186"/>
      <c r="Q6" s="186"/>
      <c r="R6" s="185"/>
    </row>
    <row r="7" spans="1:21" ht="18.75" customHeight="1" x14ac:dyDescent="0.25">
      <c r="A7" s="198"/>
      <c r="B7" s="197"/>
      <c r="C7" s="196"/>
      <c r="D7" s="196"/>
      <c r="E7" s="195"/>
      <c r="F7" s="194"/>
      <c r="G7" s="194"/>
      <c r="H7" s="192" t="s">
        <v>187</v>
      </c>
      <c r="I7" s="191"/>
      <c r="J7" s="190"/>
      <c r="K7" s="187" t="s">
        <v>186</v>
      </c>
      <c r="L7" s="187"/>
      <c r="M7" s="189"/>
      <c r="N7" s="188"/>
      <c r="O7" s="187"/>
      <c r="P7" s="186"/>
      <c r="Q7" s="186"/>
      <c r="R7" s="185"/>
    </row>
    <row r="8" spans="1:21" ht="18.75" customHeight="1" x14ac:dyDescent="0.25">
      <c r="A8" s="198"/>
      <c r="B8" s="197"/>
      <c r="C8" s="196"/>
      <c r="D8" s="196"/>
      <c r="E8" s="195"/>
      <c r="F8" s="194"/>
      <c r="G8" s="193"/>
      <c r="H8" s="192" t="s">
        <v>185</v>
      </c>
      <c r="I8" s="191"/>
      <c r="J8" s="190"/>
      <c r="K8" s="187" t="s">
        <v>184</v>
      </c>
      <c r="L8" s="187"/>
      <c r="M8" s="189"/>
      <c r="N8" s="188"/>
      <c r="O8" s="187"/>
      <c r="P8" s="186"/>
      <c r="Q8" s="186"/>
      <c r="R8" s="185"/>
    </row>
    <row r="9" spans="1:21" ht="18.75" customHeight="1" thickBot="1" x14ac:dyDescent="0.3">
      <c r="A9" s="184"/>
      <c r="B9" s="183"/>
      <c r="C9" s="182"/>
      <c r="D9" s="182"/>
      <c r="E9" s="181"/>
      <c r="F9" s="180"/>
      <c r="G9" s="180"/>
      <c r="H9" s="179" t="s">
        <v>183</v>
      </c>
      <c r="I9" s="178"/>
      <c r="J9" s="177"/>
      <c r="K9" s="174" t="s">
        <v>182</v>
      </c>
      <c r="L9" s="174"/>
      <c r="M9" s="176"/>
      <c r="N9" s="175"/>
      <c r="O9" s="174"/>
      <c r="P9" s="173"/>
      <c r="Q9" s="173"/>
      <c r="R9" s="172"/>
    </row>
    <row r="10" spans="1:21" ht="18.600000000000001" customHeight="1" thickBot="1" x14ac:dyDescent="0.3">
      <c r="A10" s="756" t="s">
        <v>181</v>
      </c>
      <c r="B10" s="757"/>
      <c r="C10" s="757"/>
      <c r="D10" s="757"/>
      <c r="E10" s="757"/>
      <c r="F10" s="757"/>
      <c r="G10" s="757"/>
      <c r="H10" s="757"/>
      <c r="I10" s="757"/>
      <c r="J10" s="757"/>
      <c r="K10" s="757"/>
      <c r="L10" s="757"/>
      <c r="M10" s="757"/>
      <c r="N10" s="757"/>
      <c r="O10" s="757"/>
      <c r="P10" s="757"/>
      <c r="Q10" s="757"/>
      <c r="R10" s="758"/>
      <c r="T10" s="171"/>
    </row>
    <row r="11" spans="1:21" ht="18.75" customHeight="1" x14ac:dyDescent="0.25">
      <c r="A11" s="759" t="s">
        <v>180</v>
      </c>
      <c r="B11" s="765" t="s">
        <v>179</v>
      </c>
      <c r="C11" s="762" t="s">
        <v>178</v>
      </c>
      <c r="D11" s="763" t="s">
        <v>177</v>
      </c>
      <c r="E11" s="771" t="s">
        <v>176</v>
      </c>
      <c r="F11" s="773" t="s">
        <v>175</v>
      </c>
      <c r="G11" s="774"/>
      <c r="H11" s="775"/>
      <c r="I11" s="744" t="s">
        <v>174</v>
      </c>
      <c r="J11" s="745"/>
      <c r="K11" s="748" t="s">
        <v>173</v>
      </c>
      <c r="L11" s="766" t="s">
        <v>172</v>
      </c>
      <c r="M11" s="767"/>
      <c r="N11" s="767"/>
      <c r="O11" s="767"/>
      <c r="P11" s="767"/>
      <c r="Q11" s="170"/>
      <c r="R11" s="768" t="s">
        <v>171</v>
      </c>
      <c r="T11" s="169"/>
    </row>
    <row r="12" spans="1:21" ht="15.75" customHeight="1" x14ac:dyDescent="0.25">
      <c r="A12" s="760"/>
      <c r="B12" s="765"/>
      <c r="C12" s="763"/>
      <c r="D12" s="763"/>
      <c r="E12" s="765"/>
      <c r="F12" s="776"/>
      <c r="G12" s="777"/>
      <c r="H12" s="778"/>
      <c r="I12" s="746"/>
      <c r="J12" s="747"/>
      <c r="K12" s="749"/>
      <c r="L12" s="751" t="s">
        <v>170</v>
      </c>
      <c r="M12" s="752"/>
      <c r="N12" s="751" t="s">
        <v>169</v>
      </c>
      <c r="O12" s="752"/>
      <c r="P12" s="753"/>
      <c r="Q12" s="754" t="s">
        <v>159</v>
      </c>
      <c r="R12" s="769"/>
    </row>
    <row r="13" spans="1:21" s="21" customFormat="1" ht="78.599999999999994" customHeight="1" thickBot="1" x14ac:dyDescent="0.3">
      <c r="A13" s="761"/>
      <c r="B13" s="765"/>
      <c r="C13" s="764"/>
      <c r="D13" s="763"/>
      <c r="E13" s="772"/>
      <c r="F13" s="168" t="s">
        <v>168</v>
      </c>
      <c r="G13" s="168" t="s">
        <v>167</v>
      </c>
      <c r="H13" s="168" t="s">
        <v>166</v>
      </c>
      <c r="I13" s="167" t="s">
        <v>165</v>
      </c>
      <c r="J13" s="166" t="s">
        <v>164</v>
      </c>
      <c r="K13" s="750"/>
      <c r="L13" s="165" t="s">
        <v>163</v>
      </c>
      <c r="M13" s="164" t="s">
        <v>162</v>
      </c>
      <c r="N13" s="687" t="s">
        <v>161</v>
      </c>
      <c r="O13" s="165" t="s">
        <v>160</v>
      </c>
      <c r="P13" s="164" t="s">
        <v>159</v>
      </c>
      <c r="Q13" s="755"/>
      <c r="R13" s="770"/>
    </row>
    <row r="14" spans="1:21" s="65" customFormat="1" ht="19.350000000000001" customHeight="1" x14ac:dyDescent="0.25">
      <c r="A14" s="163" t="s">
        <v>158</v>
      </c>
      <c r="B14" s="162"/>
      <c r="C14" s="161" t="s">
        <v>157</v>
      </c>
      <c r="D14" s="161"/>
      <c r="E14" s="160" t="s">
        <v>156</v>
      </c>
      <c r="F14" s="157" t="s">
        <v>155</v>
      </c>
      <c r="G14" s="157" t="s">
        <v>154</v>
      </c>
      <c r="H14" s="157" t="s">
        <v>153</v>
      </c>
      <c r="I14" s="158" t="s">
        <v>152</v>
      </c>
      <c r="J14" s="159" t="s">
        <v>151</v>
      </c>
      <c r="K14" s="158" t="s">
        <v>150</v>
      </c>
      <c r="L14" s="158" t="s">
        <v>149</v>
      </c>
      <c r="M14" s="157" t="s">
        <v>148</v>
      </c>
      <c r="N14" s="157" t="s">
        <v>147</v>
      </c>
      <c r="O14" s="158" t="s">
        <v>146</v>
      </c>
      <c r="P14" s="157" t="s">
        <v>145</v>
      </c>
      <c r="Q14" s="157" t="s">
        <v>144</v>
      </c>
      <c r="R14" s="156" t="s">
        <v>143</v>
      </c>
      <c r="S14" s="21"/>
      <c r="U14" s="66"/>
    </row>
    <row r="15" spans="1:21" s="65" customFormat="1" ht="19.350000000000001" customHeight="1" x14ac:dyDescent="0.25">
      <c r="A15" s="708" t="s">
        <v>316</v>
      </c>
      <c r="B15" s="708" t="s">
        <v>317</v>
      </c>
      <c r="C15" s="708" t="s">
        <v>318</v>
      </c>
      <c r="D15" s="708" t="s">
        <v>319</v>
      </c>
      <c r="E15" s="708" t="s">
        <v>320</v>
      </c>
      <c r="F15" s="708" t="s">
        <v>321</v>
      </c>
      <c r="G15" s="708" t="s">
        <v>322</v>
      </c>
      <c r="H15" s="708" t="s">
        <v>323</v>
      </c>
      <c r="I15" s="708" t="s">
        <v>324</v>
      </c>
      <c r="J15" s="708" t="s">
        <v>325</v>
      </c>
      <c r="K15" s="708" t="s">
        <v>326</v>
      </c>
      <c r="L15" s="708" t="s">
        <v>327</v>
      </c>
      <c r="M15" s="708" t="s">
        <v>328</v>
      </c>
      <c r="N15" s="708" t="s">
        <v>329</v>
      </c>
      <c r="O15" s="708" t="s">
        <v>330</v>
      </c>
      <c r="P15" s="708" t="s">
        <v>331</v>
      </c>
      <c r="Q15" s="708" t="s">
        <v>332</v>
      </c>
      <c r="R15" s="708" t="s">
        <v>337</v>
      </c>
      <c r="S15" s="21"/>
      <c r="U15" s="66"/>
    </row>
    <row r="16" spans="1:21" s="145" customFormat="1" ht="20.45" customHeight="1" x14ac:dyDescent="0.25">
      <c r="A16" s="153" t="s">
        <v>142</v>
      </c>
      <c r="B16" s="155"/>
      <c r="C16" s="154">
        <f>C51+C58+C64+C42+C17</f>
        <v>11589</v>
      </c>
      <c r="D16" s="154">
        <f>D51+D58+D64+D42+D17</f>
        <v>10710.58</v>
      </c>
      <c r="E16" s="153"/>
      <c r="F16" s="150">
        <f>F51+F58+F64+F42+F17</f>
        <v>3261.873</v>
      </c>
      <c r="G16" s="150">
        <f>G51+G58+G64+G42+G17</f>
        <v>5987.0969999999998</v>
      </c>
      <c r="H16" s="150">
        <f>H51+H58+H64+H42+H17</f>
        <v>9248.9700000000012</v>
      </c>
      <c r="I16" s="152"/>
      <c r="J16" s="150"/>
      <c r="K16" s="150"/>
      <c r="L16" s="151"/>
      <c r="M16" s="150">
        <f>M51+M58+M64+M42+M17</f>
        <v>145112569.89200136</v>
      </c>
      <c r="N16" s="228">
        <f>N51+N58+N64+N42+N17</f>
        <v>11.25</v>
      </c>
      <c r="O16" s="150"/>
      <c r="P16" s="150">
        <f>P51+P58+P64+P42+P17</f>
        <v>0</v>
      </c>
      <c r="Q16" s="149"/>
      <c r="R16" s="148"/>
      <c r="S16" s="147"/>
      <c r="U16" s="146"/>
    </row>
    <row r="17" spans="1:21" s="65" customFormat="1" ht="20.45" customHeight="1" x14ac:dyDescent="0.25">
      <c r="A17" s="134" t="s">
        <v>141</v>
      </c>
      <c r="B17" s="136"/>
      <c r="C17" s="135">
        <f>SUM(C18:C40)</f>
        <v>9920</v>
      </c>
      <c r="D17" s="135">
        <f>SUM(D18:D40)</f>
        <v>9140</v>
      </c>
      <c r="E17" s="134"/>
      <c r="F17" s="131">
        <f>SUM(F18:F40)</f>
        <v>2731.723</v>
      </c>
      <c r="G17" s="131">
        <f>SUM(G18:G40)</f>
        <v>5369.9070000000002</v>
      </c>
      <c r="H17" s="131">
        <f>SUM(H18:H40)</f>
        <v>8101.63</v>
      </c>
      <c r="I17" s="133"/>
      <c r="J17" s="131"/>
      <c r="K17" s="131"/>
      <c r="L17" s="132"/>
      <c r="M17" s="131">
        <f>SUM(M18:M40)</f>
        <v>135063496.29142159</v>
      </c>
      <c r="N17" s="234">
        <f>SUM(N18:N40)</f>
        <v>0</v>
      </c>
      <c r="O17" s="131"/>
      <c r="P17" s="131">
        <f>SUM(P18:P40)</f>
        <v>0</v>
      </c>
      <c r="Q17" s="130"/>
      <c r="R17" s="129"/>
      <c r="S17" s="21"/>
      <c r="U17" s="66"/>
    </row>
    <row r="18" spans="1:21" s="137" customFormat="1" ht="39.6" customHeight="1" x14ac:dyDescent="0.25">
      <c r="A18" s="34" t="s">
        <v>306</v>
      </c>
      <c r="B18" s="128"/>
      <c r="C18" s="127"/>
      <c r="D18" s="127"/>
      <c r="E18" s="683" t="s">
        <v>130</v>
      </c>
      <c r="F18" s="14">
        <f>230/10000</f>
        <v>2.3E-2</v>
      </c>
      <c r="G18" s="14">
        <f>9770/10000</f>
        <v>0.97699999999999998</v>
      </c>
      <c r="H18" s="14">
        <f>F18+G18</f>
        <v>1</v>
      </c>
      <c r="I18" s="95">
        <v>4.08</v>
      </c>
      <c r="J18" s="37">
        <v>1.3</v>
      </c>
      <c r="K18" s="28">
        <f>(I18-J18)/I18</f>
        <v>0.68137254901960786</v>
      </c>
      <c r="L18" s="27">
        <v>7470</v>
      </c>
      <c r="M18" s="26">
        <f>(F18*L18)+(G18*L18*K18)</f>
        <v>5144.5963235294121</v>
      </c>
      <c r="N18" s="238"/>
      <c r="O18" s="25"/>
      <c r="P18" s="10"/>
      <c r="Q18" s="10">
        <f>O18*1000*17</f>
        <v>0</v>
      </c>
      <c r="R18" s="24"/>
      <c r="S18" s="139"/>
      <c r="U18" s="138"/>
    </row>
    <row r="19" spans="1:21" s="137" customFormat="1" ht="25.35" customHeight="1" x14ac:dyDescent="0.25">
      <c r="A19" s="34" t="s">
        <v>8</v>
      </c>
      <c r="B19" s="128"/>
      <c r="C19" s="97">
        <v>64</v>
      </c>
      <c r="D19" s="97">
        <v>100</v>
      </c>
      <c r="E19" s="89" t="s">
        <v>127</v>
      </c>
      <c r="F19" s="39">
        <v>45.6</v>
      </c>
      <c r="G19" s="39">
        <v>8</v>
      </c>
      <c r="H19" s="38">
        <f>F19+G19</f>
        <v>53.6</v>
      </c>
      <c r="I19" s="30">
        <v>4.08</v>
      </c>
      <c r="J19" s="37">
        <v>1.3</v>
      </c>
      <c r="K19" s="80">
        <f>(I19-J19)/I19</f>
        <v>0.68137254901960786</v>
      </c>
      <c r="L19" s="93">
        <v>33464</v>
      </c>
      <c r="M19" s="92">
        <f>(F19*L19)+(G19*L19*K19)</f>
        <v>1708370.0078431375</v>
      </c>
      <c r="N19" s="250"/>
      <c r="O19" s="91"/>
      <c r="P19" s="90"/>
      <c r="Q19" s="10">
        <f>O19*1000*17</f>
        <v>0</v>
      </c>
      <c r="R19" s="24" t="s">
        <v>334</v>
      </c>
      <c r="S19" s="139"/>
      <c r="U19" s="138"/>
    </row>
    <row r="20" spans="1:21" s="702" customFormat="1" ht="25.35" customHeight="1" x14ac:dyDescent="0.25">
      <c r="A20" s="34" t="s">
        <v>27</v>
      </c>
      <c r="B20" s="695"/>
      <c r="C20" s="696">
        <v>482</v>
      </c>
      <c r="D20" s="696">
        <v>448</v>
      </c>
      <c r="E20" s="696">
        <v>0</v>
      </c>
      <c r="F20" s="696">
        <v>390.45</v>
      </c>
      <c r="G20" s="696">
        <v>13.3</v>
      </c>
      <c r="H20" s="696">
        <v>403.75</v>
      </c>
      <c r="I20" s="696">
        <v>8.16</v>
      </c>
      <c r="J20" s="696">
        <v>1.3</v>
      </c>
      <c r="K20" s="696">
        <v>1.6813725490196079</v>
      </c>
      <c r="L20" s="696">
        <v>33464</v>
      </c>
      <c r="M20" s="696">
        <v>13441070.098039215</v>
      </c>
      <c r="N20" s="705"/>
      <c r="O20" s="706"/>
      <c r="P20" s="707"/>
      <c r="Q20" s="699"/>
      <c r="R20" s="700"/>
      <c r="S20" s="701"/>
      <c r="U20" s="703"/>
    </row>
    <row r="21" spans="1:21" s="137" customFormat="1" ht="25.35" customHeight="1" x14ac:dyDescent="0.25">
      <c r="A21" s="34" t="s">
        <v>25</v>
      </c>
      <c r="B21" s="128"/>
      <c r="C21" s="97">
        <v>380</v>
      </c>
      <c r="D21" s="97">
        <v>471</v>
      </c>
      <c r="E21" s="683" t="s">
        <v>130</v>
      </c>
      <c r="F21" s="14">
        <v>320.18</v>
      </c>
      <c r="G21" s="14"/>
      <c r="H21" s="14">
        <f>F21+G21</f>
        <v>320.18</v>
      </c>
      <c r="I21" s="95">
        <v>4.08</v>
      </c>
      <c r="J21" s="37"/>
      <c r="K21" s="28">
        <f>(I21-J21)/I21</f>
        <v>1</v>
      </c>
      <c r="L21" s="27">
        <v>7470</v>
      </c>
      <c r="M21" s="26">
        <f>(F21*L21)+(G21*L21*K21)</f>
        <v>2391744.6</v>
      </c>
      <c r="N21" s="238"/>
      <c r="O21" s="25"/>
      <c r="P21" s="10"/>
      <c r="Q21" s="10">
        <f>O21*1000*17</f>
        <v>0</v>
      </c>
      <c r="R21" s="24" t="s">
        <v>334</v>
      </c>
      <c r="S21" s="139"/>
      <c r="U21" s="138"/>
    </row>
    <row r="22" spans="1:21" s="137" customFormat="1" ht="25.35" customHeight="1" x14ac:dyDescent="0.25">
      <c r="A22" s="34" t="s">
        <v>4</v>
      </c>
      <c r="B22" s="128"/>
      <c r="C22" s="97">
        <v>460</v>
      </c>
      <c r="D22" s="97">
        <v>429</v>
      </c>
      <c r="E22" s="683" t="s">
        <v>130</v>
      </c>
      <c r="F22" s="14">
        <v>429</v>
      </c>
      <c r="G22" s="14"/>
      <c r="H22" s="14">
        <f>F22+G22</f>
        <v>429</v>
      </c>
      <c r="I22" s="95">
        <v>4.08</v>
      </c>
      <c r="J22" s="37"/>
      <c r="K22" s="28">
        <f>(I22-J22)/I22</f>
        <v>1</v>
      </c>
      <c r="L22" s="27">
        <v>7470</v>
      </c>
      <c r="M22" s="26">
        <f>(F22*L22)+(G22*L22*K22)</f>
        <v>3204630</v>
      </c>
      <c r="N22" s="238"/>
      <c r="O22" s="25"/>
      <c r="P22" s="10"/>
      <c r="Q22" s="10">
        <f>O22*1000*17</f>
        <v>0</v>
      </c>
      <c r="R22" s="24" t="s">
        <v>334</v>
      </c>
      <c r="S22" s="139"/>
      <c r="U22" s="138"/>
    </row>
    <row r="23" spans="1:21" s="702" customFormat="1" ht="25.35" customHeight="1" x14ac:dyDescent="0.25">
      <c r="A23" s="34" t="s">
        <v>31</v>
      </c>
      <c r="B23" s="695"/>
      <c r="C23" s="696">
        <v>1280</v>
      </c>
      <c r="D23" s="696">
        <v>1162.5</v>
      </c>
      <c r="E23" s="696">
        <v>0</v>
      </c>
      <c r="F23" s="696">
        <v>245</v>
      </c>
      <c r="G23" s="696">
        <v>866.1</v>
      </c>
      <c r="H23" s="696">
        <v>1111.0999999999999</v>
      </c>
      <c r="I23" s="696">
        <v>8.16</v>
      </c>
      <c r="J23" s="696">
        <v>2.6</v>
      </c>
      <c r="K23" s="696">
        <v>1.3627450980392157</v>
      </c>
      <c r="L23" s="696">
        <v>40934</v>
      </c>
      <c r="M23" s="696">
        <v>14304180.473529413</v>
      </c>
      <c r="N23" s="697"/>
      <c r="O23" s="698"/>
      <c r="P23" s="699"/>
      <c r="Q23" s="699"/>
      <c r="R23" s="700"/>
      <c r="S23" s="701"/>
      <c r="U23" s="703"/>
    </row>
    <row r="24" spans="1:21" s="702" customFormat="1" ht="25.35" customHeight="1" x14ac:dyDescent="0.25">
      <c r="A24" s="34" t="s">
        <v>308</v>
      </c>
      <c r="B24" s="695"/>
      <c r="C24" s="696">
        <v>595</v>
      </c>
      <c r="D24" s="696">
        <v>511</v>
      </c>
      <c r="E24" s="696">
        <v>0</v>
      </c>
      <c r="F24" s="696">
        <v>65</v>
      </c>
      <c r="G24" s="696">
        <v>446</v>
      </c>
      <c r="H24" s="696">
        <v>511</v>
      </c>
      <c r="I24" s="696">
        <v>8.16</v>
      </c>
      <c r="J24" s="696">
        <v>2.6</v>
      </c>
      <c r="K24" s="696">
        <v>1.3627450980392157</v>
      </c>
      <c r="L24" s="696">
        <v>40934</v>
      </c>
      <c r="M24" s="696">
        <v>8841533.3725490198</v>
      </c>
      <c r="N24" s="705"/>
      <c r="O24" s="706"/>
      <c r="P24" s="707"/>
      <c r="Q24" s="699"/>
      <c r="R24" s="700"/>
      <c r="S24" s="701"/>
      <c r="U24" s="703"/>
    </row>
    <row r="25" spans="1:21" s="702" customFormat="1" ht="25.35" customHeight="1" x14ac:dyDescent="0.25">
      <c r="A25" s="34" t="s">
        <v>22</v>
      </c>
      <c r="B25" s="695"/>
      <c r="C25" s="696">
        <v>600</v>
      </c>
      <c r="D25" s="696">
        <v>500</v>
      </c>
      <c r="E25" s="696">
        <v>0</v>
      </c>
      <c r="F25" s="696">
        <v>0</v>
      </c>
      <c r="G25" s="696">
        <v>500</v>
      </c>
      <c r="H25" s="696">
        <v>500</v>
      </c>
      <c r="I25" s="696">
        <v>8.16</v>
      </c>
      <c r="J25" s="696">
        <v>2.6</v>
      </c>
      <c r="K25" s="696">
        <v>1.3627450980392157</v>
      </c>
      <c r="L25" s="696">
        <v>40934</v>
      </c>
      <c r="M25" s="696">
        <v>9098217.7450980395</v>
      </c>
      <c r="N25" s="705"/>
      <c r="O25" s="706"/>
      <c r="P25" s="707"/>
      <c r="Q25" s="699"/>
      <c r="R25" s="700"/>
      <c r="S25" s="701"/>
      <c r="U25" s="703"/>
    </row>
    <row r="26" spans="1:21" s="137" customFormat="1" ht="25.35" customHeight="1" x14ac:dyDescent="0.25">
      <c r="A26" s="34" t="s">
        <v>279</v>
      </c>
      <c r="B26" s="128"/>
      <c r="C26" s="97">
        <v>588</v>
      </c>
      <c r="D26" s="97">
        <v>490</v>
      </c>
      <c r="E26" s="683" t="s">
        <v>130</v>
      </c>
      <c r="F26" s="14"/>
      <c r="G26" s="14">
        <v>490</v>
      </c>
      <c r="H26" s="14">
        <f>F26+G26</f>
        <v>490</v>
      </c>
      <c r="I26" s="95">
        <v>4.08</v>
      </c>
      <c r="J26" s="37">
        <v>1.3</v>
      </c>
      <c r="K26" s="28">
        <f>(I26-J26)/I26</f>
        <v>0.68137254901960786</v>
      </c>
      <c r="L26" s="27">
        <v>7470</v>
      </c>
      <c r="M26" s="26">
        <f>(F26*L26)+(G26*L26*K26)</f>
        <v>2494027.9411764708</v>
      </c>
      <c r="N26" s="238"/>
      <c r="O26" s="25"/>
      <c r="P26" s="10"/>
      <c r="Q26" s="10">
        <f>O26*1000*17</f>
        <v>0</v>
      </c>
      <c r="R26" s="24" t="s">
        <v>334</v>
      </c>
      <c r="S26" s="139"/>
      <c r="U26" s="138"/>
    </row>
    <row r="27" spans="1:21" s="137" customFormat="1" ht="25.35" customHeight="1" x14ac:dyDescent="0.25">
      <c r="A27" s="34" t="s">
        <v>10</v>
      </c>
      <c r="B27" s="128"/>
      <c r="C27" s="97">
        <v>61</v>
      </c>
      <c r="D27" s="97">
        <v>51</v>
      </c>
      <c r="E27" s="683" t="s">
        <v>130</v>
      </c>
      <c r="F27" s="14"/>
      <c r="G27" s="14">
        <v>51</v>
      </c>
      <c r="H27" s="14">
        <f>F27+G27</f>
        <v>51</v>
      </c>
      <c r="I27" s="95">
        <v>4.08</v>
      </c>
      <c r="J27" s="37">
        <v>1.3</v>
      </c>
      <c r="K27" s="28">
        <f>(I27-J27)/I27</f>
        <v>0.68137254901960786</v>
      </c>
      <c r="L27" s="27">
        <v>7470</v>
      </c>
      <c r="M27" s="26">
        <f>(F27*L27)+(G27*L27*K27)</f>
        <v>259582.5</v>
      </c>
      <c r="N27" s="238"/>
      <c r="O27" s="25"/>
      <c r="P27" s="10"/>
      <c r="Q27" s="10">
        <f>O27*1000*17</f>
        <v>0</v>
      </c>
      <c r="R27" s="24" t="s">
        <v>334</v>
      </c>
      <c r="S27" s="139"/>
      <c r="U27" s="138"/>
    </row>
    <row r="28" spans="1:21" s="702" customFormat="1" ht="25.35" customHeight="1" x14ac:dyDescent="0.25">
      <c r="A28" s="694" t="s">
        <v>12</v>
      </c>
      <c r="B28" s="695"/>
      <c r="C28" s="696">
        <v>11</v>
      </c>
      <c r="D28" s="696">
        <v>12</v>
      </c>
      <c r="E28" s="696">
        <v>0</v>
      </c>
      <c r="F28" s="696">
        <v>5</v>
      </c>
      <c r="G28" s="696">
        <v>7</v>
      </c>
      <c r="H28" s="696">
        <v>12</v>
      </c>
      <c r="I28" s="696">
        <v>8.16</v>
      </c>
      <c r="J28" s="696">
        <v>1.3</v>
      </c>
      <c r="K28" s="696">
        <v>1.6813725490196079</v>
      </c>
      <c r="L28" s="696">
        <v>40934</v>
      </c>
      <c r="M28" s="696">
        <v>196960.15686274509</v>
      </c>
      <c r="N28" s="697"/>
      <c r="O28" s="698"/>
      <c r="P28" s="699"/>
      <c r="Q28" s="699"/>
      <c r="R28" s="700"/>
      <c r="S28" s="701"/>
      <c r="U28" s="703"/>
    </row>
    <row r="29" spans="1:21" s="702" customFormat="1" ht="25.35" customHeight="1" x14ac:dyDescent="0.25">
      <c r="A29" s="34" t="s">
        <v>15</v>
      </c>
      <c r="B29" s="695"/>
      <c r="C29" s="696">
        <v>65</v>
      </c>
      <c r="D29" s="696">
        <v>60</v>
      </c>
      <c r="E29" s="696">
        <v>0</v>
      </c>
      <c r="F29" s="696">
        <v>1.72</v>
      </c>
      <c r="G29" s="696">
        <v>58.28</v>
      </c>
      <c r="H29" s="696">
        <v>60</v>
      </c>
      <c r="I29" s="696">
        <v>8.16</v>
      </c>
      <c r="J29" s="696">
        <v>2.6</v>
      </c>
      <c r="K29" s="696">
        <v>1.3627450980392157</v>
      </c>
      <c r="L29" s="696">
        <v>40934</v>
      </c>
      <c r="M29" s="696">
        <v>642539.52549019619</v>
      </c>
      <c r="N29" s="705"/>
      <c r="O29" s="706"/>
      <c r="P29" s="707"/>
      <c r="Q29" s="699"/>
      <c r="R29" s="700"/>
      <c r="S29" s="701"/>
      <c r="U29" s="703"/>
    </row>
    <row r="30" spans="1:21" s="137" customFormat="1" ht="28.35" customHeight="1" x14ac:dyDescent="0.25">
      <c r="A30" s="34" t="s">
        <v>13</v>
      </c>
      <c r="B30" s="128"/>
      <c r="C30" s="97">
        <v>1300</v>
      </c>
      <c r="D30" s="97">
        <v>1200</v>
      </c>
      <c r="E30" s="89" t="s">
        <v>127</v>
      </c>
      <c r="F30" s="39"/>
      <c r="G30" s="686">
        <v>1200</v>
      </c>
      <c r="H30" s="38">
        <f>F30+G30</f>
        <v>1200</v>
      </c>
      <c r="I30" s="30">
        <v>4.08</v>
      </c>
      <c r="J30" s="37">
        <v>1.3</v>
      </c>
      <c r="K30" s="80">
        <f>(I30-J30)/I30</f>
        <v>0.68137254901960786</v>
      </c>
      <c r="L30" s="93">
        <v>33464</v>
      </c>
      <c r="M30" s="92">
        <f>(F30*L30)+(G30*L30*K30)</f>
        <v>27361741.176470589</v>
      </c>
      <c r="N30" s="250"/>
      <c r="O30" s="91"/>
      <c r="P30" s="90"/>
      <c r="Q30" s="10">
        <f>O30*1000*17</f>
        <v>0</v>
      </c>
      <c r="R30" s="24" t="s">
        <v>334</v>
      </c>
      <c r="S30" s="139"/>
      <c r="U30" s="138"/>
    </row>
    <row r="31" spans="1:21" s="137" customFormat="1" ht="25.35" customHeight="1" x14ac:dyDescent="0.25">
      <c r="A31" s="34" t="s">
        <v>14</v>
      </c>
      <c r="B31" s="128"/>
      <c r="C31" s="97">
        <v>1241</v>
      </c>
      <c r="D31" s="97">
        <v>497</v>
      </c>
      <c r="E31" s="683" t="s">
        <v>130</v>
      </c>
      <c r="F31" s="123"/>
      <c r="G31" s="14">
        <v>497</v>
      </c>
      <c r="H31" s="14">
        <f>F31+G31</f>
        <v>497</v>
      </c>
      <c r="I31" s="95">
        <v>4.08</v>
      </c>
      <c r="J31" s="37">
        <v>2.04</v>
      </c>
      <c r="K31" s="28">
        <f>(I31-J31)/I31</f>
        <v>0.5</v>
      </c>
      <c r="L31" s="27">
        <v>7470</v>
      </c>
      <c r="M31" s="26">
        <f>(F31*L31)+(G31*L31*K31)</f>
        <v>1856295</v>
      </c>
      <c r="N31" s="238"/>
      <c r="O31" s="25"/>
      <c r="P31" s="10"/>
      <c r="Q31" s="10">
        <f>O31*1000*17</f>
        <v>0</v>
      </c>
      <c r="R31" s="24" t="s">
        <v>334</v>
      </c>
      <c r="S31" s="139"/>
      <c r="U31" s="138"/>
    </row>
    <row r="32" spans="1:21" s="137" customFormat="1" ht="25.35" customHeight="1" x14ac:dyDescent="0.25">
      <c r="A32" s="34" t="s">
        <v>16</v>
      </c>
      <c r="B32" s="128"/>
      <c r="C32" s="97">
        <v>275</v>
      </c>
      <c r="D32" s="97">
        <v>247</v>
      </c>
      <c r="E32" s="683" t="s">
        <v>130</v>
      </c>
      <c r="F32" s="14"/>
      <c r="G32" s="14">
        <v>247</v>
      </c>
      <c r="H32" s="14">
        <f>F32+G32</f>
        <v>247</v>
      </c>
      <c r="I32" s="95">
        <v>4.08</v>
      </c>
      <c r="J32" s="37">
        <v>1.3</v>
      </c>
      <c r="K32" s="28">
        <f>(I32-J32)/I32</f>
        <v>0.68137254901960786</v>
      </c>
      <c r="L32" s="27">
        <v>7470</v>
      </c>
      <c r="M32" s="26">
        <f>(F32*L32)+(G32*L32*K32)</f>
        <v>1257193.6764705882</v>
      </c>
      <c r="N32" s="238"/>
      <c r="O32" s="25"/>
      <c r="P32" s="10"/>
      <c r="Q32" s="10">
        <f>O32*1000*17</f>
        <v>0</v>
      </c>
      <c r="R32" s="24" t="s">
        <v>334</v>
      </c>
      <c r="S32" s="139"/>
      <c r="U32" s="138"/>
    </row>
    <row r="33" spans="1:21" s="702" customFormat="1" ht="25.35" customHeight="1" x14ac:dyDescent="0.25">
      <c r="A33" s="34" t="s">
        <v>20</v>
      </c>
      <c r="B33" s="695"/>
      <c r="C33" s="696">
        <v>35</v>
      </c>
      <c r="D33" s="696">
        <v>28</v>
      </c>
      <c r="E33" s="696">
        <v>0</v>
      </c>
      <c r="F33" s="696">
        <v>28</v>
      </c>
      <c r="G33" s="696">
        <v>0</v>
      </c>
      <c r="H33" s="696">
        <v>28</v>
      </c>
      <c r="I33" s="696">
        <v>12.24</v>
      </c>
      <c r="J33" s="696">
        <v>0</v>
      </c>
      <c r="K33" s="696">
        <v>3</v>
      </c>
      <c r="L33" s="696">
        <v>40934</v>
      </c>
      <c r="M33" s="696">
        <v>644868</v>
      </c>
      <c r="N33" s="697"/>
      <c r="O33" s="698"/>
      <c r="P33" s="699"/>
      <c r="Q33" s="699"/>
      <c r="R33" s="700"/>
      <c r="S33" s="701"/>
      <c r="U33" s="703"/>
    </row>
    <row r="34" spans="1:21" s="702" customFormat="1" ht="25.35" customHeight="1" x14ac:dyDescent="0.25">
      <c r="A34" s="694" t="s">
        <v>26</v>
      </c>
      <c r="B34" s="695"/>
      <c r="C34" s="696">
        <v>270</v>
      </c>
      <c r="D34" s="696">
        <v>220</v>
      </c>
      <c r="E34" s="696">
        <v>0</v>
      </c>
      <c r="F34" s="696">
        <v>0</v>
      </c>
      <c r="G34" s="696">
        <v>220</v>
      </c>
      <c r="H34" s="696">
        <v>220</v>
      </c>
      <c r="I34" s="696">
        <v>8.16</v>
      </c>
      <c r="J34" s="696">
        <v>3.34</v>
      </c>
      <c r="K34" s="696">
        <v>1.1813725490196079</v>
      </c>
      <c r="L34" s="696">
        <v>40934</v>
      </c>
      <c r="M34" s="696">
        <v>1012364.5098039216</v>
      </c>
      <c r="N34" s="697"/>
      <c r="O34" s="698"/>
      <c r="P34" s="699"/>
      <c r="Q34" s="699"/>
      <c r="R34" s="700"/>
      <c r="S34" s="701"/>
      <c r="U34" s="703"/>
    </row>
    <row r="35" spans="1:21" s="137" customFormat="1" ht="25.35" customHeight="1" x14ac:dyDescent="0.25">
      <c r="A35" s="34" t="s">
        <v>19</v>
      </c>
      <c r="B35" s="128"/>
      <c r="C35" s="97">
        <v>2</v>
      </c>
      <c r="D35" s="97">
        <v>94</v>
      </c>
      <c r="E35" s="683" t="s">
        <v>130</v>
      </c>
      <c r="F35" s="14"/>
      <c r="G35" s="14">
        <v>4</v>
      </c>
      <c r="H35" s="14">
        <f>F35+G35</f>
        <v>4</v>
      </c>
      <c r="I35" s="95">
        <v>4.08</v>
      </c>
      <c r="J35" s="37">
        <v>2.04</v>
      </c>
      <c r="K35" s="28">
        <f>(I35-J35)/I35</f>
        <v>0.5</v>
      </c>
      <c r="L35" s="27">
        <v>7470</v>
      </c>
      <c r="M35" s="26">
        <f>(F35*L35)+(G35*L35*K35)</f>
        <v>14940</v>
      </c>
      <c r="N35" s="238"/>
      <c r="O35" s="25"/>
      <c r="P35" s="10"/>
      <c r="Q35" s="10">
        <f>O35*1000*17</f>
        <v>0</v>
      </c>
      <c r="R35" s="24" t="s">
        <v>334</v>
      </c>
      <c r="S35" s="139"/>
      <c r="U35" s="138"/>
    </row>
    <row r="36" spans="1:21" s="702" customFormat="1" ht="25.35" customHeight="1" x14ac:dyDescent="0.25">
      <c r="A36" s="694" t="s">
        <v>305</v>
      </c>
      <c r="B36" s="695"/>
      <c r="C36" s="696">
        <v>514</v>
      </c>
      <c r="D36" s="696">
        <v>1135</v>
      </c>
      <c r="E36" s="696">
        <v>0</v>
      </c>
      <c r="F36" s="696">
        <v>495.75</v>
      </c>
      <c r="G36" s="696">
        <v>1.25</v>
      </c>
      <c r="H36" s="696">
        <v>497</v>
      </c>
      <c r="I36" s="696">
        <v>8.16</v>
      </c>
      <c r="J36" s="696">
        <v>2.6</v>
      </c>
      <c r="K36" s="696">
        <v>1.3627450980392157</v>
      </c>
      <c r="L36" s="696">
        <v>33464</v>
      </c>
      <c r="M36" s="696">
        <v>16675775</v>
      </c>
      <c r="N36" s="697"/>
      <c r="O36" s="698"/>
      <c r="P36" s="699"/>
      <c r="Q36" s="699"/>
      <c r="R36" s="700"/>
      <c r="S36" s="701"/>
      <c r="U36" s="703"/>
    </row>
    <row r="37" spans="1:21" s="702" customFormat="1" ht="25.35" customHeight="1" x14ac:dyDescent="0.25">
      <c r="A37" s="34" t="s">
        <v>268</v>
      </c>
      <c r="B37" s="695"/>
      <c r="C37" s="696">
        <v>54</v>
      </c>
      <c r="D37" s="696">
        <v>50.5</v>
      </c>
      <c r="E37" s="696">
        <v>0</v>
      </c>
      <c r="F37" s="696">
        <v>34</v>
      </c>
      <c r="G37" s="696">
        <v>0</v>
      </c>
      <c r="H37" s="696">
        <v>34</v>
      </c>
      <c r="I37" s="696">
        <v>12.24</v>
      </c>
      <c r="J37" s="696">
        <v>0</v>
      </c>
      <c r="K37" s="696">
        <v>3</v>
      </c>
      <c r="L37" s="696">
        <v>40934</v>
      </c>
      <c r="M37" s="696">
        <v>1516540</v>
      </c>
      <c r="N37" s="697"/>
      <c r="O37" s="698"/>
      <c r="P37" s="699"/>
      <c r="Q37" s="699"/>
      <c r="R37" s="700"/>
      <c r="S37" s="701"/>
      <c r="U37" s="703"/>
    </row>
    <row r="38" spans="1:21" s="702" customFormat="1" ht="25.35" customHeight="1" x14ac:dyDescent="0.25">
      <c r="A38" s="34" t="s">
        <v>24</v>
      </c>
      <c r="B38" s="695"/>
      <c r="C38" s="696">
        <v>1165</v>
      </c>
      <c r="D38" s="696">
        <v>987</v>
      </c>
      <c r="E38" s="696">
        <v>0</v>
      </c>
      <c r="F38" s="696">
        <v>671</v>
      </c>
      <c r="G38" s="696">
        <v>314</v>
      </c>
      <c r="H38" s="696">
        <v>985</v>
      </c>
      <c r="I38" s="696">
        <v>8.16</v>
      </c>
      <c r="J38" s="696">
        <v>2.6</v>
      </c>
      <c r="K38" s="696">
        <v>1.3627450980392157</v>
      </c>
      <c r="L38" s="696">
        <v>40934</v>
      </c>
      <c r="M38" s="696">
        <v>20641864.696078431</v>
      </c>
      <c r="N38" s="697"/>
      <c r="O38" s="698"/>
      <c r="P38" s="699"/>
      <c r="Q38" s="699"/>
      <c r="R38" s="700"/>
      <c r="S38" s="701"/>
      <c r="U38" s="704"/>
    </row>
    <row r="39" spans="1:21" s="702" customFormat="1" ht="25.35" customHeight="1" x14ac:dyDescent="0.25">
      <c r="A39" s="694" t="s">
        <v>18</v>
      </c>
      <c r="B39" s="695"/>
      <c r="C39" s="696">
        <v>450</v>
      </c>
      <c r="D39" s="696">
        <v>434</v>
      </c>
      <c r="E39" s="696">
        <v>0</v>
      </c>
      <c r="F39" s="696">
        <v>0</v>
      </c>
      <c r="G39" s="696">
        <v>434</v>
      </c>
      <c r="H39" s="696">
        <v>434</v>
      </c>
      <c r="I39" s="696">
        <v>8.16</v>
      </c>
      <c r="J39" s="696">
        <v>1.3</v>
      </c>
      <c r="K39" s="696">
        <v>1.6813725490196079</v>
      </c>
      <c r="L39" s="696">
        <v>40934</v>
      </c>
      <c r="M39" s="696">
        <v>7212825.8039215691</v>
      </c>
      <c r="N39" s="697"/>
      <c r="O39" s="698"/>
      <c r="P39" s="699"/>
      <c r="Q39" s="699"/>
      <c r="R39" s="700"/>
      <c r="S39" s="701"/>
      <c r="U39" s="703"/>
    </row>
    <row r="40" spans="1:21" s="702" customFormat="1" ht="25.35" customHeight="1" x14ac:dyDescent="0.25">
      <c r="A40" s="694" t="s">
        <v>9</v>
      </c>
      <c r="B40" s="695"/>
      <c r="C40" s="696">
        <v>28</v>
      </c>
      <c r="D40" s="696">
        <v>13</v>
      </c>
      <c r="E40" s="696">
        <v>0</v>
      </c>
      <c r="F40" s="696">
        <v>1</v>
      </c>
      <c r="G40" s="696">
        <v>12</v>
      </c>
      <c r="H40" s="696">
        <v>13</v>
      </c>
      <c r="I40" s="696">
        <v>8.16</v>
      </c>
      <c r="J40" s="696">
        <v>1.3</v>
      </c>
      <c r="K40" s="696">
        <v>1.6813725490196079</v>
      </c>
      <c r="L40" s="696">
        <v>40934</v>
      </c>
      <c r="M40" s="696">
        <v>281087.4117647059</v>
      </c>
      <c r="N40" s="705"/>
      <c r="O40" s="706"/>
      <c r="P40" s="707"/>
      <c r="Q40" s="699"/>
      <c r="R40" s="700"/>
      <c r="S40" s="701"/>
      <c r="U40" s="703"/>
    </row>
    <row r="41" spans="1:21" s="137" customFormat="1" ht="15.75" x14ac:dyDescent="0.25">
      <c r="A41" s="126"/>
      <c r="B41" s="128"/>
      <c r="C41" s="684"/>
      <c r="D41" s="684"/>
      <c r="E41" s="684"/>
      <c r="F41" s="684"/>
      <c r="G41" s="684"/>
      <c r="H41" s="684"/>
      <c r="I41" s="684"/>
      <c r="J41" s="684"/>
      <c r="K41" s="684"/>
      <c r="L41" s="684"/>
      <c r="M41" s="684"/>
      <c r="N41" s="685"/>
      <c r="O41" s="684"/>
      <c r="P41" s="684"/>
      <c r="Q41" s="684"/>
      <c r="R41" s="684"/>
      <c r="S41" s="139"/>
      <c r="U41" s="138"/>
    </row>
    <row r="42" spans="1:21" s="65" customFormat="1" ht="20.45" customHeight="1" x14ac:dyDescent="0.25">
      <c r="A42" s="134" t="s">
        <v>51</v>
      </c>
      <c r="B42" s="136"/>
      <c r="C42" s="135">
        <f>SUM(C43:C49)</f>
        <v>1114</v>
      </c>
      <c r="D42" s="135">
        <f>SUM(D43:D49)</f>
        <v>745.75</v>
      </c>
      <c r="E42" s="134"/>
      <c r="F42" s="131">
        <f>SUM(F43:F49)</f>
        <v>523.15000000000009</v>
      </c>
      <c r="G42" s="131">
        <f>SUM(G43:G49)</f>
        <v>231.35000000000002</v>
      </c>
      <c r="H42" s="131">
        <f>SUM(H43:H49)</f>
        <v>754.5</v>
      </c>
      <c r="I42" s="133"/>
      <c r="J42" s="131"/>
      <c r="K42" s="131"/>
      <c r="L42" s="132"/>
      <c r="M42" s="131">
        <f>SUM(M43:M49)</f>
        <v>7877378.5417777775</v>
      </c>
      <c r="N42" s="234">
        <f>SUM(N43:N49)</f>
        <v>11.25</v>
      </c>
      <c r="O42" s="131"/>
      <c r="P42" s="131">
        <f>SUM(P43:P49)</f>
        <v>0</v>
      </c>
      <c r="Q42" s="130"/>
      <c r="R42" s="129"/>
      <c r="S42" s="21"/>
      <c r="U42" s="66"/>
    </row>
    <row r="43" spans="1:21" s="137" customFormat="1" ht="20.45" customHeight="1" x14ac:dyDescent="0.25">
      <c r="A43" s="88" t="s">
        <v>50</v>
      </c>
      <c r="B43" s="87"/>
      <c r="C43" s="86">
        <v>16</v>
      </c>
      <c r="D43" s="86">
        <v>14</v>
      </c>
      <c r="E43" s="683" t="s">
        <v>130</v>
      </c>
      <c r="F43" s="14">
        <v>14</v>
      </c>
      <c r="G43" s="14"/>
      <c r="H43" s="14">
        <f>F43+G43</f>
        <v>14</v>
      </c>
      <c r="I43" s="95">
        <v>4.5</v>
      </c>
      <c r="J43" s="37"/>
      <c r="K43" s="28">
        <f>(I43-J43)/I43</f>
        <v>1</v>
      </c>
      <c r="L43" s="27">
        <v>7470</v>
      </c>
      <c r="M43" s="26">
        <f>(F43*L43)+(G43*L43*K43)</f>
        <v>104580</v>
      </c>
      <c r="N43" s="238"/>
      <c r="O43" s="25"/>
      <c r="P43" s="10"/>
      <c r="Q43" s="10">
        <f>O43*1000*17</f>
        <v>0</v>
      </c>
      <c r="R43" s="24" t="s">
        <v>334</v>
      </c>
      <c r="S43" s="139"/>
      <c r="U43" s="138"/>
    </row>
    <row r="44" spans="1:21" s="137" customFormat="1" ht="20.45" customHeight="1" x14ac:dyDescent="0.25">
      <c r="A44" s="88" t="s">
        <v>51</v>
      </c>
      <c r="B44" s="87"/>
      <c r="C44" s="86">
        <v>1</v>
      </c>
      <c r="D44" s="86">
        <v>1</v>
      </c>
      <c r="E44" s="683" t="s">
        <v>130</v>
      </c>
      <c r="F44" s="14">
        <v>0.75</v>
      </c>
      <c r="G44" s="14"/>
      <c r="H44" s="14">
        <f>F44+G44</f>
        <v>0.75</v>
      </c>
      <c r="I44" s="95">
        <v>4.5</v>
      </c>
      <c r="J44" s="37"/>
      <c r="K44" s="28">
        <f>(I44-J44)/I44</f>
        <v>1</v>
      </c>
      <c r="L44" s="27">
        <v>7470</v>
      </c>
      <c r="M44" s="26">
        <f>(F44*L44)+(G44*L44*K44)</f>
        <v>5602.5</v>
      </c>
      <c r="N44" s="238"/>
      <c r="O44" s="25"/>
      <c r="P44" s="10"/>
      <c r="Q44" s="10">
        <f>O44*1000*17</f>
        <v>0</v>
      </c>
      <c r="R44" s="24" t="s">
        <v>334</v>
      </c>
      <c r="S44" s="139"/>
      <c r="U44" s="138"/>
    </row>
    <row r="45" spans="1:21" s="137" customFormat="1" ht="20.45" customHeight="1" x14ac:dyDescent="0.25">
      <c r="A45" s="88" t="s">
        <v>52</v>
      </c>
      <c r="B45" s="87"/>
      <c r="C45" s="86">
        <v>3</v>
      </c>
      <c r="D45" s="86">
        <v>5</v>
      </c>
      <c r="E45" s="683" t="s">
        <v>130</v>
      </c>
      <c r="F45" s="14">
        <v>5</v>
      </c>
      <c r="G45" s="14"/>
      <c r="H45" s="14">
        <f>F45+G45</f>
        <v>5</v>
      </c>
      <c r="I45" s="95">
        <v>4.5</v>
      </c>
      <c r="J45" s="37"/>
      <c r="K45" s="28">
        <f>(I45-J45)/I45</f>
        <v>1</v>
      </c>
      <c r="L45" s="27">
        <v>7470</v>
      </c>
      <c r="M45" s="26">
        <f>(F45*L45)+(G45*L45*K45)</f>
        <v>37350</v>
      </c>
      <c r="N45" s="238"/>
      <c r="O45" s="25"/>
      <c r="P45" s="10"/>
      <c r="Q45" s="10">
        <f>O45*1000*17</f>
        <v>0</v>
      </c>
      <c r="R45" s="24" t="s">
        <v>334</v>
      </c>
      <c r="S45" s="139"/>
      <c r="U45" s="138"/>
    </row>
    <row r="46" spans="1:21" s="702" customFormat="1" ht="20.45" customHeight="1" x14ac:dyDescent="0.25">
      <c r="A46" s="660" t="s">
        <v>54</v>
      </c>
      <c r="B46" s="652"/>
      <c r="C46" s="696">
        <v>75</v>
      </c>
      <c r="D46" s="696">
        <v>56</v>
      </c>
      <c r="E46" s="696">
        <v>0</v>
      </c>
      <c r="F46" s="696">
        <v>56</v>
      </c>
      <c r="G46" s="696">
        <v>17</v>
      </c>
      <c r="H46" s="696">
        <v>73</v>
      </c>
      <c r="I46" s="696">
        <v>9</v>
      </c>
      <c r="J46" s="696">
        <v>1.3</v>
      </c>
      <c r="K46" s="696">
        <v>1.7111111111111112</v>
      </c>
      <c r="L46" s="696">
        <v>7470</v>
      </c>
      <c r="M46" s="696">
        <v>1060864</v>
      </c>
      <c r="N46" s="697"/>
      <c r="O46" s="698"/>
      <c r="P46" s="699"/>
      <c r="Q46" s="699"/>
      <c r="R46" s="700"/>
      <c r="S46" s="701"/>
      <c r="U46" s="703"/>
    </row>
    <row r="47" spans="1:21" s="137" customFormat="1" ht="23.45" customHeight="1" x14ac:dyDescent="0.25">
      <c r="A47" s="88" t="s">
        <v>55</v>
      </c>
      <c r="B47" s="128"/>
      <c r="C47" s="97">
        <v>1</v>
      </c>
      <c r="D47" s="97">
        <v>2.5</v>
      </c>
      <c r="E47" s="32" t="s">
        <v>114</v>
      </c>
      <c r="F47" s="14">
        <v>2.5</v>
      </c>
      <c r="G47" s="14"/>
      <c r="H47" s="31">
        <f>F47+G47</f>
        <v>2.5</v>
      </c>
      <c r="I47" s="95">
        <v>4.5</v>
      </c>
      <c r="J47" s="29"/>
      <c r="K47" s="28">
        <f>(I47-J47)/I47</f>
        <v>1</v>
      </c>
      <c r="L47" s="27"/>
      <c r="M47" s="10">
        <f>N47*1000*O47</f>
        <v>191250</v>
      </c>
      <c r="N47" s="238">
        <f>(F47*I47)+(G47*K47*I47)</f>
        <v>11.25</v>
      </c>
      <c r="O47" s="25">
        <v>17</v>
      </c>
      <c r="Q47" s="10">
        <f>O47*1000*17</f>
        <v>289000</v>
      </c>
      <c r="R47" s="24" t="s">
        <v>334</v>
      </c>
      <c r="S47" s="139"/>
      <c r="U47" s="138"/>
    </row>
    <row r="48" spans="1:21" s="137" customFormat="1" ht="20.45" customHeight="1" x14ac:dyDescent="0.25">
      <c r="A48" s="88" t="s">
        <v>56</v>
      </c>
      <c r="B48" s="87"/>
      <c r="C48" s="86">
        <v>368</v>
      </c>
      <c r="D48" s="86">
        <v>123.25</v>
      </c>
      <c r="E48" s="683" t="s">
        <v>130</v>
      </c>
      <c r="F48" s="14">
        <v>97.86</v>
      </c>
      <c r="G48" s="14">
        <v>25.39</v>
      </c>
      <c r="H48" s="14">
        <f>F48+G48</f>
        <v>123.25</v>
      </c>
      <c r="I48" s="95">
        <v>4.5</v>
      </c>
      <c r="J48" s="37">
        <v>1.3</v>
      </c>
      <c r="K48" s="28">
        <f>(I48-J48)/I48</f>
        <v>0.71111111111111114</v>
      </c>
      <c r="L48" s="27">
        <v>7470</v>
      </c>
      <c r="M48" s="26">
        <f>(F48*L48)+(G48*L48*K48)</f>
        <v>865885.88</v>
      </c>
      <c r="N48" s="238"/>
      <c r="O48" s="25"/>
      <c r="P48" s="10"/>
      <c r="Q48" s="10">
        <f>O48*1000*17</f>
        <v>0</v>
      </c>
      <c r="R48" s="24" t="s">
        <v>334</v>
      </c>
      <c r="S48" s="139"/>
      <c r="U48" s="138"/>
    </row>
    <row r="49" spans="1:21" s="702" customFormat="1" ht="20.45" customHeight="1" x14ac:dyDescent="0.25">
      <c r="A49" s="660" t="s">
        <v>53</v>
      </c>
      <c r="B49" s="652"/>
      <c r="C49" s="696">
        <v>650</v>
      </c>
      <c r="D49" s="696">
        <v>544</v>
      </c>
      <c r="E49" s="696">
        <v>0</v>
      </c>
      <c r="F49" s="696">
        <v>347.04</v>
      </c>
      <c r="G49" s="696">
        <v>188.96</v>
      </c>
      <c r="H49" s="696">
        <v>536</v>
      </c>
      <c r="I49" s="696">
        <v>9</v>
      </c>
      <c r="J49" s="696">
        <v>2.6</v>
      </c>
      <c r="K49" s="696">
        <v>1.4222222222222223</v>
      </c>
      <c r="L49" s="696">
        <v>40934</v>
      </c>
      <c r="M49" s="696">
        <v>5611846.1617777776</v>
      </c>
      <c r="N49" s="696">
        <v>0</v>
      </c>
      <c r="O49" s="696">
        <v>0</v>
      </c>
      <c r="P49" s="696">
        <v>0</v>
      </c>
      <c r="Q49" s="699"/>
      <c r="R49" s="700"/>
      <c r="S49" s="701"/>
      <c r="U49" s="703"/>
    </row>
    <row r="50" spans="1:21" s="137" customFormat="1" ht="20.45" customHeight="1" x14ac:dyDescent="0.25">
      <c r="A50" s="126"/>
      <c r="B50" s="128"/>
      <c r="C50" s="127"/>
      <c r="D50" s="127"/>
      <c r="E50" s="126"/>
      <c r="F50" s="123"/>
      <c r="G50" s="123"/>
      <c r="H50" s="123"/>
      <c r="I50" s="125"/>
      <c r="J50" s="123"/>
      <c r="K50" s="123"/>
      <c r="L50" s="124"/>
      <c r="M50" s="123"/>
      <c r="N50" s="14"/>
      <c r="O50" s="123"/>
      <c r="P50" s="123"/>
      <c r="Q50" s="122"/>
      <c r="R50" s="121"/>
      <c r="S50" s="139"/>
      <c r="U50" s="138"/>
    </row>
    <row r="51" spans="1:21" s="65" customFormat="1" ht="20.45" customHeight="1" x14ac:dyDescent="0.25">
      <c r="A51" s="134" t="s">
        <v>138</v>
      </c>
      <c r="B51" s="136"/>
      <c r="C51" s="135">
        <f>SUM(C52:C56)</f>
        <v>244</v>
      </c>
      <c r="D51" s="135">
        <f>SUM(D52:D56)</f>
        <v>563</v>
      </c>
      <c r="E51" s="134"/>
      <c r="F51" s="131">
        <f>SUM(F52:F56)</f>
        <v>0</v>
      </c>
      <c r="G51" s="131">
        <f>SUM(G52:G56)</f>
        <v>163.01</v>
      </c>
      <c r="H51" s="131">
        <f>SUM(H52:H56)</f>
        <v>163.01</v>
      </c>
      <c r="I51" s="133"/>
      <c r="J51" s="131"/>
      <c r="K51" s="131"/>
      <c r="L51" s="132"/>
      <c r="M51" s="131">
        <f>SUM(M52:M56)</f>
        <v>1276792.4493680298</v>
      </c>
      <c r="N51" s="234">
        <f>SUM(N52:N52)</f>
        <v>0</v>
      </c>
      <c r="O51" s="131"/>
      <c r="P51" s="131">
        <f>SUM(P52:P52)</f>
        <v>0</v>
      </c>
      <c r="Q51" s="130"/>
      <c r="R51" s="129"/>
      <c r="S51" s="21"/>
      <c r="U51" s="66"/>
    </row>
    <row r="52" spans="1:21" s="65" customFormat="1" ht="19.5" customHeight="1" x14ac:dyDescent="0.25">
      <c r="A52" s="34" t="s">
        <v>133</v>
      </c>
      <c r="B52" s="128"/>
      <c r="C52" s="97">
        <v>40</v>
      </c>
      <c r="D52" s="97">
        <v>290</v>
      </c>
      <c r="E52" s="683" t="s">
        <v>130</v>
      </c>
      <c r="F52" s="123"/>
      <c r="G52" s="14">
        <v>10</v>
      </c>
      <c r="H52" s="38">
        <f>F52+G52</f>
        <v>10</v>
      </c>
      <c r="I52" s="95">
        <v>2.69</v>
      </c>
      <c r="J52" s="37">
        <v>1.88</v>
      </c>
      <c r="K52" s="28">
        <f>(I52-J52)/I52</f>
        <v>0.30111524163568776</v>
      </c>
      <c r="L52" s="27">
        <v>7470</v>
      </c>
      <c r="M52" s="26">
        <f>(F52*L52)+(G52*L52*K52)</f>
        <v>22493.308550185877</v>
      </c>
      <c r="N52" s="238"/>
      <c r="O52" s="25"/>
      <c r="P52" s="10"/>
      <c r="Q52" s="10">
        <f>O52*1000*17</f>
        <v>0</v>
      </c>
      <c r="R52" s="24" t="s">
        <v>334</v>
      </c>
      <c r="S52" s="21"/>
      <c r="U52" s="66"/>
    </row>
    <row r="53" spans="1:21" s="65" customFormat="1" ht="19.5" customHeight="1" x14ac:dyDescent="0.25">
      <c r="A53" s="34" t="s">
        <v>65</v>
      </c>
      <c r="B53" s="128"/>
      <c r="C53" s="97">
        <v>30</v>
      </c>
      <c r="D53" s="97">
        <v>150</v>
      </c>
      <c r="E53" s="89" t="s">
        <v>127</v>
      </c>
      <c r="F53" s="39"/>
      <c r="G53" s="39">
        <v>29.01</v>
      </c>
      <c r="H53" s="38">
        <f>F53+G53</f>
        <v>29.01</v>
      </c>
      <c r="I53" s="95">
        <v>2.69</v>
      </c>
      <c r="J53" s="37">
        <v>2.02</v>
      </c>
      <c r="K53" s="80">
        <f>(I53-J53)/I53</f>
        <v>0.24907063197026019</v>
      </c>
      <c r="L53" s="93">
        <v>33464</v>
      </c>
      <c r="M53" s="92">
        <f>(F53*L53)+(G53*L53*K53)</f>
        <v>241795.43821561337</v>
      </c>
      <c r="N53" s="250"/>
      <c r="O53" s="91"/>
      <c r="P53" s="90"/>
      <c r="Q53" s="10">
        <f>O53*1000*17</f>
        <v>0</v>
      </c>
      <c r="R53" s="24" t="s">
        <v>334</v>
      </c>
      <c r="S53" s="21"/>
      <c r="U53" s="66"/>
    </row>
    <row r="54" spans="1:21" s="65" customFormat="1" ht="19.5" customHeight="1" x14ac:dyDescent="0.25">
      <c r="A54" s="34" t="s">
        <v>287</v>
      </c>
      <c r="B54" s="128"/>
      <c r="C54" s="97">
        <v>12</v>
      </c>
      <c r="D54" s="97">
        <v>68</v>
      </c>
      <c r="E54" s="89" t="s">
        <v>127</v>
      </c>
      <c r="F54" s="39"/>
      <c r="G54" s="39">
        <v>15</v>
      </c>
      <c r="H54" s="38">
        <f>F54+G54</f>
        <v>15</v>
      </c>
      <c r="I54" s="95">
        <v>2.69</v>
      </c>
      <c r="J54" s="37">
        <v>1.35</v>
      </c>
      <c r="K54" s="80">
        <f>(I54-J54)/I54</f>
        <v>0.49814126394052038</v>
      </c>
      <c r="L54" s="93">
        <v>33464</v>
      </c>
      <c r="M54" s="92">
        <f>(F54*L54)+(G54*L54*K54)</f>
        <v>250046.98884758362</v>
      </c>
      <c r="N54" s="250"/>
      <c r="O54" s="91"/>
      <c r="P54" s="90"/>
      <c r="Q54" s="10">
        <f>O54*1000*17</f>
        <v>0</v>
      </c>
      <c r="R54" s="24" t="s">
        <v>334</v>
      </c>
      <c r="S54" s="21"/>
      <c r="U54" s="66"/>
    </row>
    <row r="55" spans="1:21" s="65" customFormat="1" ht="19.5" customHeight="1" x14ac:dyDescent="0.25">
      <c r="A55" s="34" t="s">
        <v>72</v>
      </c>
      <c r="B55" s="128"/>
      <c r="C55" s="97">
        <v>150</v>
      </c>
      <c r="D55" s="97">
        <v>25</v>
      </c>
      <c r="E55" s="89" t="s">
        <v>127</v>
      </c>
      <c r="F55" s="39"/>
      <c r="G55" s="39">
        <v>100</v>
      </c>
      <c r="H55" s="38">
        <f>F55+G55</f>
        <v>100</v>
      </c>
      <c r="I55" s="95">
        <v>2.69</v>
      </c>
      <c r="J55" s="37">
        <v>2.15</v>
      </c>
      <c r="K55" s="80">
        <f>(I55-J55)/I55</f>
        <v>0.20074349442379183</v>
      </c>
      <c r="L55" s="93">
        <v>33464</v>
      </c>
      <c r="M55" s="92">
        <f>(F55*L55)+(G55*L55*K55)</f>
        <v>671768.02973977698</v>
      </c>
      <c r="N55" s="250"/>
      <c r="O55" s="91"/>
      <c r="P55" s="90"/>
      <c r="Q55" s="10">
        <f>O55*1000*17</f>
        <v>0</v>
      </c>
      <c r="R55" s="24" t="s">
        <v>334</v>
      </c>
      <c r="S55" s="21"/>
      <c r="U55" s="66"/>
    </row>
    <row r="56" spans="1:21" s="65" customFormat="1" ht="19.5" customHeight="1" x14ac:dyDescent="0.25">
      <c r="A56" s="34" t="s">
        <v>73</v>
      </c>
      <c r="B56" s="128"/>
      <c r="C56" s="97">
        <v>12</v>
      </c>
      <c r="D56" s="97">
        <v>30</v>
      </c>
      <c r="E56" s="89" t="s">
        <v>127</v>
      </c>
      <c r="F56" s="39"/>
      <c r="G56" s="39">
        <v>9</v>
      </c>
      <c r="H56" s="38">
        <f>F56+G56</f>
        <v>9</v>
      </c>
      <c r="I56" s="95">
        <v>2.69</v>
      </c>
      <c r="J56" s="37">
        <v>1.88</v>
      </c>
      <c r="K56" s="80">
        <f>(I56-J56)/I56</f>
        <v>0.30111524163568776</v>
      </c>
      <c r="L56" s="93">
        <v>33464</v>
      </c>
      <c r="M56" s="92">
        <f>(F56*L56)+(G56*L56*K56)</f>
        <v>90688.684014869898</v>
      </c>
      <c r="N56" s="250"/>
      <c r="O56" s="91"/>
      <c r="P56" s="90"/>
      <c r="Q56" s="10">
        <f>O56*1000*17</f>
        <v>0</v>
      </c>
      <c r="R56" s="24" t="s">
        <v>334</v>
      </c>
      <c r="S56" s="21"/>
      <c r="U56" s="66"/>
    </row>
    <row r="57" spans="1:21" s="62" customFormat="1" ht="19.5" customHeight="1" x14ac:dyDescent="0.25">
      <c r="A57" s="88"/>
      <c r="B57" s="87"/>
      <c r="C57" s="86"/>
      <c r="D57" s="86"/>
      <c r="E57" s="85"/>
      <c r="F57" s="84"/>
      <c r="G57" s="84"/>
      <c r="H57" s="83"/>
      <c r="I57" s="82"/>
      <c r="J57" s="81"/>
      <c r="K57" s="80"/>
      <c r="L57" s="79"/>
      <c r="M57" s="78"/>
      <c r="N57" s="241"/>
      <c r="O57" s="77"/>
      <c r="P57" s="76"/>
      <c r="Q57" s="76"/>
      <c r="R57" s="75"/>
      <c r="S57" s="64"/>
      <c r="U57" s="63"/>
    </row>
    <row r="58" spans="1:21" s="65" customFormat="1" ht="20.45" customHeight="1" x14ac:dyDescent="0.25">
      <c r="A58" s="72" t="s">
        <v>128</v>
      </c>
      <c r="B58" s="74"/>
      <c r="C58" s="73">
        <f>SUM(C59:C63)</f>
        <v>311</v>
      </c>
      <c r="D58" s="73">
        <f>SUM(D59:D63)</f>
        <v>261.83000000000004</v>
      </c>
      <c r="E58" s="72"/>
      <c r="F58" s="69">
        <f>SUM(F59:F63)</f>
        <v>7</v>
      </c>
      <c r="G58" s="69">
        <f>SUM(G59:G63)</f>
        <v>222.83</v>
      </c>
      <c r="H58" s="69">
        <f>SUM(H59:H63)</f>
        <v>229.83</v>
      </c>
      <c r="I58" s="71"/>
      <c r="J58" s="69"/>
      <c r="K58" s="69"/>
      <c r="L58" s="70"/>
      <c r="M58" s="69">
        <f>SUM(M59:M63)</f>
        <v>894902.60943396227</v>
      </c>
      <c r="N58" s="248"/>
      <c r="O58" s="69"/>
      <c r="P58" s="68">
        <f>SUM(P59:P63)</f>
        <v>0</v>
      </c>
      <c r="Q58" s="68"/>
      <c r="R58" s="67"/>
      <c r="S58" s="21"/>
      <c r="U58" s="66"/>
    </row>
    <row r="59" spans="1:21" s="62" customFormat="1" ht="19.5" customHeight="1" x14ac:dyDescent="0.25">
      <c r="A59" s="34" t="s">
        <v>79</v>
      </c>
      <c r="B59" s="128"/>
      <c r="C59" s="97">
        <v>30</v>
      </c>
      <c r="D59" s="97">
        <v>10</v>
      </c>
      <c r="E59" s="683" t="s">
        <v>130</v>
      </c>
      <c r="F59" s="123"/>
      <c r="G59" s="14">
        <v>10</v>
      </c>
      <c r="H59" s="14">
        <f>F59+G59</f>
        <v>10</v>
      </c>
      <c r="I59" s="95">
        <v>2.65</v>
      </c>
      <c r="J59" s="37"/>
      <c r="K59" s="28">
        <f>(I59-J59)/I59</f>
        <v>1</v>
      </c>
      <c r="L59" s="27">
        <v>7470</v>
      </c>
      <c r="M59" s="26">
        <f>(F59*L59)+(G59*L59*K59)</f>
        <v>74700</v>
      </c>
      <c r="N59" s="238"/>
      <c r="O59" s="25"/>
      <c r="P59" s="10"/>
      <c r="Q59" s="10">
        <f>O59*1000*17</f>
        <v>0</v>
      </c>
      <c r="R59" s="24" t="s">
        <v>334</v>
      </c>
      <c r="S59" s="64"/>
      <c r="U59" s="63"/>
    </row>
    <row r="60" spans="1:21" s="137" customFormat="1" ht="21.6" customHeight="1" x14ac:dyDescent="0.25">
      <c r="A60" s="88" t="s">
        <v>260</v>
      </c>
      <c r="B60" s="128"/>
      <c r="C60" s="97">
        <v>3</v>
      </c>
      <c r="D60" s="97">
        <v>3</v>
      </c>
      <c r="E60" s="89" t="s">
        <v>127</v>
      </c>
      <c r="F60" s="39">
        <v>3</v>
      </c>
      <c r="G60" s="39"/>
      <c r="H60" s="38">
        <f>F60+G60</f>
        <v>3</v>
      </c>
      <c r="I60" s="95">
        <v>2.65</v>
      </c>
      <c r="J60" s="37"/>
      <c r="K60" s="80">
        <f>(I60-J60)/I60</f>
        <v>1</v>
      </c>
      <c r="L60" s="93">
        <v>33464</v>
      </c>
      <c r="M60" s="92">
        <f>(F60*L60)+(G60*L60*K60)</f>
        <v>100392</v>
      </c>
      <c r="N60" s="250"/>
      <c r="O60" s="91"/>
      <c r="P60" s="90"/>
      <c r="Q60" s="10">
        <f>O60*1000*17</f>
        <v>0</v>
      </c>
      <c r="R60" s="24" t="s">
        <v>334</v>
      </c>
      <c r="S60" s="139"/>
      <c r="U60" s="138"/>
    </row>
    <row r="61" spans="1:21" s="62" customFormat="1" ht="19.5" customHeight="1" x14ac:dyDescent="0.25">
      <c r="A61" s="34" t="s">
        <v>84</v>
      </c>
      <c r="B61" s="128"/>
      <c r="C61" s="97">
        <v>254</v>
      </c>
      <c r="D61" s="97">
        <v>193.83</v>
      </c>
      <c r="E61" s="683" t="s">
        <v>130</v>
      </c>
      <c r="F61" s="123"/>
      <c r="G61" s="14">
        <v>193.83</v>
      </c>
      <c r="H61" s="14">
        <f>F61+G61</f>
        <v>193.83</v>
      </c>
      <c r="I61" s="95">
        <v>2.65</v>
      </c>
      <c r="J61" s="37">
        <v>1.5</v>
      </c>
      <c r="K61" s="28">
        <f>(I61-J61)/I61</f>
        <v>0.43396226415094336</v>
      </c>
      <c r="L61" s="27">
        <v>7470</v>
      </c>
      <c r="M61" s="26">
        <f>(F61*L61)+(G61*L61*K61)</f>
        <v>628338.34528301889</v>
      </c>
      <c r="N61" s="238"/>
      <c r="O61" s="25"/>
      <c r="P61" s="10"/>
      <c r="Q61" s="10">
        <f>O61*1000*17</f>
        <v>0</v>
      </c>
      <c r="R61" s="24" t="s">
        <v>334</v>
      </c>
      <c r="S61" s="64"/>
      <c r="U61" s="63"/>
    </row>
    <row r="62" spans="1:21" s="62" customFormat="1" ht="19.5" customHeight="1" x14ac:dyDescent="0.25">
      <c r="A62" s="34" t="s">
        <v>338</v>
      </c>
      <c r="B62" s="128"/>
      <c r="C62" s="97">
        <v>24</v>
      </c>
      <c r="D62" s="97">
        <v>55</v>
      </c>
      <c r="E62" s="683" t="s">
        <v>130</v>
      </c>
      <c r="F62" s="14">
        <v>4</v>
      </c>
      <c r="G62" s="14">
        <v>19</v>
      </c>
      <c r="H62" s="14">
        <f>F62+G62</f>
        <v>23</v>
      </c>
      <c r="I62" s="95">
        <v>2.65</v>
      </c>
      <c r="J62" s="37">
        <v>1.5</v>
      </c>
      <c r="K62" s="28">
        <f>(I62-J62)/I62</f>
        <v>0.43396226415094336</v>
      </c>
      <c r="L62" s="27">
        <v>7470</v>
      </c>
      <c r="M62" s="26">
        <f>(F62*L62)+(G62*L62*K62)</f>
        <v>91472.264150943389</v>
      </c>
      <c r="N62" s="238"/>
      <c r="O62" s="25"/>
      <c r="P62" s="10"/>
      <c r="Q62" s="10">
        <f>O62*1000*17</f>
        <v>0</v>
      </c>
      <c r="R62" s="24" t="s">
        <v>334</v>
      </c>
      <c r="S62" s="64"/>
      <c r="U62" s="63"/>
    </row>
    <row r="63" spans="1:21" s="62" customFormat="1" ht="19.350000000000001" customHeight="1" x14ac:dyDescent="0.25">
      <c r="A63" s="88"/>
      <c r="B63" s="87"/>
      <c r="C63" s="86"/>
      <c r="D63" s="86"/>
      <c r="E63" s="85"/>
      <c r="F63" s="84"/>
      <c r="G63" s="84"/>
      <c r="H63" s="83"/>
      <c r="I63" s="82"/>
      <c r="J63" s="81"/>
      <c r="K63" s="80"/>
      <c r="L63" s="79"/>
      <c r="M63" s="78"/>
      <c r="N63" s="241"/>
      <c r="O63" s="77"/>
      <c r="P63" s="76"/>
      <c r="Q63" s="76"/>
      <c r="R63" s="75"/>
      <c r="S63" s="64"/>
      <c r="U63" s="63"/>
    </row>
    <row r="64" spans="1:21" s="65" customFormat="1" ht="20.45" hidden="1" customHeight="1" x14ac:dyDescent="0.25">
      <c r="A64" s="72" t="s">
        <v>122</v>
      </c>
      <c r="B64" s="74"/>
      <c r="C64" s="73">
        <f>SUM(C65:C65)</f>
        <v>0</v>
      </c>
      <c r="D64" s="73">
        <f>SUM(D65:D65)</f>
        <v>0</v>
      </c>
      <c r="E64" s="72"/>
      <c r="F64" s="69">
        <f>SUM(F65:F65)</f>
        <v>0</v>
      </c>
      <c r="G64" s="69">
        <f>SUM(G65:G65)</f>
        <v>0</v>
      </c>
      <c r="H64" s="69">
        <f>SUM(H65:H65)</f>
        <v>0</v>
      </c>
      <c r="I64" s="71"/>
      <c r="J64" s="69"/>
      <c r="K64" s="69"/>
      <c r="L64" s="70"/>
      <c r="M64" s="69">
        <f>SUM(M65:M65)</f>
        <v>0</v>
      </c>
      <c r="N64" s="245">
        <f>SUM(N65:N65)</f>
        <v>0</v>
      </c>
      <c r="O64" s="69"/>
      <c r="P64" s="69">
        <f>SUM(P65:P65)</f>
        <v>0</v>
      </c>
      <c r="Q64" s="68"/>
      <c r="R64" s="67"/>
      <c r="S64" s="21"/>
      <c r="U64" s="66"/>
    </row>
    <row r="65" spans="1:21" s="62" customFormat="1" ht="19.350000000000001" hidden="1" customHeight="1" x14ac:dyDescent="0.25">
      <c r="A65" s="34"/>
      <c r="B65" s="33" t="s">
        <v>5</v>
      </c>
      <c r="C65" s="12"/>
      <c r="D65" s="11"/>
      <c r="E65" s="32" t="s">
        <v>114</v>
      </c>
      <c r="F65" s="14"/>
      <c r="G65" s="14"/>
      <c r="H65" s="31">
        <f>F65+G65</f>
        <v>0</v>
      </c>
      <c r="I65" s="30">
        <v>2.73</v>
      </c>
      <c r="J65" s="29"/>
      <c r="K65" s="28">
        <f>(I65-J65)/I65</f>
        <v>1</v>
      </c>
      <c r="L65" s="27"/>
      <c r="M65" s="26"/>
      <c r="N65" s="238">
        <f>(F65*I65)+(G65*K65*I65)</f>
        <v>0</v>
      </c>
      <c r="O65" s="25">
        <v>17</v>
      </c>
      <c r="P65" s="10">
        <f>N65*1000*O65</f>
        <v>0</v>
      </c>
      <c r="Q65" s="10">
        <f>O65*1000*17</f>
        <v>289000</v>
      </c>
      <c r="R65" s="24"/>
      <c r="S65" s="64"/>
      <c r="U65" s="63"/>
    </row>
    <row r="66" spans="1:21" s="62" customFormat="1" ht="19.350000000000001" hidden="1" customHeight="1" x14ac:dyDescent="0.25">
      <c r="A66" s="34"/>
      <c r="B66" s="33"/>
      <c r="C66" s="12"/>
      <c r="D66" s="11"/>
      <c r="E66" s="32"/>
      <c r="F66" s="14"/>
      <c r="G66" s="14"/>
      <c r="H66" s="31"/>
      <c r="I66" s="30"/>
      <c r="J66" s="29"/>
      <c r="K66" s="28"/>
      <c r="L66" s="27"/>
      <c r="M66" s="26"/>
      <c r="N66" s="238"/>
      <c r="O66" s="25"/>
      <c r="P66" s="10"/>
      <c r="Q66" s="10"/>
      <c r="R66" s="24"/>
      <c r="S66" s="64"/>
      <c r="U66" s="63"/>
    </row>
    <row r="67" spans="1:21" s="62" customFormat="1" ht="19.350000000000001" hidden="1" customHeight="1" x14ac:dyDescent="0.25">
      <c r="A67" s="34"/>
      <c r="B67" s="33"/>
      <c r="C67" s="12"/>
      <c r="D67" s="11"/>
      <c r="E67" s="32"/>
      <c r="F67" s="14"/>
      <c r="G67" s="14"/>
      <c r="H67" s="31"/>
      <c r="I67" s="30"/>
      <c r="J67" s="29"/>
      <c r="K67" s="28"/>
      <c r="L67" s="27"/>
      <c r="M67" s="26"/>
      <c r="N67" s="238"/>
      <c r="O67" s="25"/>
      <c r="P67" s="10"/>
      <c r="Q67" s="10"/>
      <c r="R67" s="24"/>
      <c r="S67" s="64"/>
      <c r="U67" s="63"/>
    </row>
    <row r="68" spans="1:21" s="62" customFormat="1" ht="19.350000000000001" hidden="1" customHeight="1" x14ac:dyDescent="0.25">
      <c r="A68" s="34"/>
      <c r="B68" s="33"/>
      <c r="C68" s="12"/>
      <c r="D68" s="11"/>
      <c r="E68" s="32"/>
      <c r="F68" s="14"/>
      <c r="G68" s="14"/>
      <c r="H68" s="31"/>
      <c r="I68" s="30"/>
      <c r="J68" s="29"/>
      <c r="K68" s="28"/>
      <c r="L68" s="27"/>
      <c r="M68" s="26"/>
      <c r="N68" s="238"/>
      <c r="O68" s="25"/>
      <c r="P68" s="10"/>
      <c r="Q68" s="10"/>
      <c r="R68" s="24"/>
      <c r="S68" s="64"/>
      <c r="U68" s="63"/>
    </row>
    <row r="69" spans="1:21" s="62" customFormat="1" ht="19.350000000000001" hidden="1" customHeight="1" x14ac:dyDescent="0.25">
      <c r="A69" s="34"/>
      <c r="B69" s="33"/>
      <c r="C69" s="12"/>
      <c r="D69" s="11"/>
      <c r="E69" s="32"/>
      <c r="F69" s="14"/>
      <c r="G69" s="14"/>
      <c r="H69" s="31"/>
      <c r="I69" s="30"/>
      <c r="J69" s="29"/>
      <c r="K69" s="28"/>
      <c r="L69" s="27"/>
      <c r="M69" s="26"/>
      <c r="N69" s="238"/>
      <c r="O69" s="25"/>
      <c r="P69" s="10"/>
      <c r="Q69" s="10"/>
      <c r="R69" s="24"/>
      <c r="S69" s="64"/>
      <c r="U69" s="63"/>
    </row>
    <row r="70" spans="1:21" s="62" customFormat="1" ht="19.350000000000001" hidden="1" customHeight="1" x14ac:dyDescent="0.25">
      <c r="A70" s="34"/>
      <c r="B70" s="33"/>
      <c r="C70" s="12"/>
      <c r="D70" s="11"/>
      <c r="E70" s="32"/>
      <c r="F70" s="14"/>
      <c r="G70" s="14"/>
      <c r="H70" s="31"/>
      <c r="I70" s="30"/>
      <c r="J70" s="29"/>
      <c r="K70" s="28"/>
      <c r="L70" s="27"/>
      <c r="M70" s="26"/>
      <c r="N70" s="238"/>
      <c r="O70" s="25"/>
      <c r="P70" s="10"/>
      <c r="Q70" s="10"/>
      <c r="R70" s="24"/>
      <c r="S70" s="64"/>
      <c r="U70" s="63"/>
    </row>
    <row r="71" spans="1:21" s="45" customFormat="1" ht="19.5" hidden="1" customHeight="1" x14ac:dyDescent="0.25">
      <c r="A71" s="61"/>
      <c r="B71" s="61"/>
      <c r="C71" s="60"/>
      <c r="D71" s="59"/>
      <c r="E71" s="58"/>
      <c r="F71" s="57"/>
      <c r="G71" s="57"/>
      <c r="H71" s="56"/>
      <c r="I71" s="55"/>
      <c r="J71" s="54"/>
      <c r="K71" s="682"/>
      <c r="L71" s="52"/>
      <c r="M71" s="51"/>
      <c r="N71" s="251"/>
      <c r="O71" s="50"/>
      <c r="P71" s="49"/>
      <c r="Q71" s="49"/>
      <c r="R71" s="48"/>
      <c r="S71" s="47"/>
      <c r="U71" s="46"/>
    </row>
    <row r="72" spans="1:21" s="35" customFormat="1" ht="18.75" customHeight="1" x14ac:dyDescent="0.25">
      <c r="C72" s="681"/>
      <c r="D72" s="681"/>
      <c r="E72" s="36"/>
      <c r="F72" s="678"/>
      <c r="G72" s="678"/>
      <c r="H72" s="678"/>
      <c r="J72" s="680"/>
      <c r="K72" s="21"/>
      <c r="L72" s="679"/>
      <c r="M72" s="676"/>
      <c r="N72" s="678"/>
      <c r="O72" s="677"/>
      <c r="P72" s="676"/>
      <c r="Q72" s="676"/>
      <c r="T72" s="36"/>
    </row>
    <row r="73" spans="1:21" s="35" customFormat="1" ht="18.75" customHeight="1" x14ac:dyDescent="0.25">
      <c r="C73" s="681"/>
      <c r="D73" s="681"/>
      <c r="E73" s="36"/>
      <c r="F73" s="678"/>
      <c r="G73" s="678"/>
      <c r="H73" s="678"/>
      <c r="J73" s="680"/>
      <c r="K73" s="21"/>
      <c r="L73" s="679"/>
      <c r="M73" s="676"/>
      <c r="N73" s="678"/>
      <c r="O73" s="677"/>
      <c r="P73" s="676"/>
      <c r="Q73" s="676"/>
      <c r="T73" s="36"/>
    </row>
    <row r="74" spans="1:21" s="35" customFormat="1" ht="18.75" customHeight="1" x14ac:dyDescent="0.25">
      <c r="C74" s="681"/>
      <c r="D74" s="681"/>
      <c r="E74" s="36"/>
      <c r="F74" s="678"/>
      <c r="G74" s="678"/>
      <c r="H74" s="678"/>
      <c r="J74" s="680"/>
      <c r="K74" s="21"/>
      <c r="L74" s="679"/>
      <c r="M74" s="676"/>
      <c r="N74" s="678"/>
      <c r="O74" s="677"/>
      <c r="P74" s="676"/>
      <c r="Q74" s="676"/>
      <c r="T74" s="36"/>
    </row>
    <row r="75" spans="1:21" s="35" customFormat="1" ht="18.75" customHeight="1" x14ac:dyDescent="0.25">
      <c r="C75" s="681"/>
      <c r="D75" s="681"/>
      <c r="E75" s="36"/>
      <c r="F75" s="678"/>
      <c r="G75" s="678"/>
      <c r="H75" s="678"/>
      <c r="J75" s="680"/>
      <c r="K75" s="21"/>
      <c r="L75" s="679"/>
      <c r="M75" s="676"/>
      <c r="N75" s="678"/>
      <c r="O75" s="677"/>
      <c r="P75" s="676"/>
      <c r="Q75" s="676"/>
      <c r="T75" s="36"/>
    </row>
    <row r="76" spans="1:21" s="35" customFormat="1" ht="18.75" customHeight="1" x14ac:dyDescent="0.25">
      <c r="C76" s="681"/>
      <c r="D76" s="681"/>
      <c r="E76" s="36"/>
      <c r="F76" s="678"/>
      <c r="G76" s="678"/>
      <c r="H76" s="678"/>
      <c r="J76" s="680"/>
      <c r="K76" s="21"/>
      <c r="L76" s="679"/>
      <c r="M76" s="676"/>
      <c r="N76" s="678"/>
      <c r="O76" s="677"/>
      <c r="P76" s="676"/>
      <c r="Q76" s="676"/>
      <c r="T76" s="36"/>
    </row>
    <row r="77" spans="1:21" s="35" customFormat="1" ht="18.75" customHeight="1" x14ac:dyDescent="0.25">
      <c r="C77" s="681"/>
      <c r="D77" s="681"/>
      <c r="E77" s="36"/>
      <c r="F77" s="678"/>
      <c r="G77" s="678"/>
      <c r="H77" s="678"/>
      <c r="J77" s="680"/>
      <c r="K77" s="21"/>
      <c r="L77" s="679"/>
      <c r="M77" s="676"/>
      <c r="N77" s="678"/>
      <c r="O77" s="677"/>
      <c r="P77" s="676"/>
      <c r="Q77" s="676"/>
      <c r="T77" s="36"/>
    </row>
    <row r="78" spans="1:21" s="35" customFormat="1" ht="18.75" customHeight="1" x14ac:dyDescent="0.25">
      <c r="C78" s="681"/>
      <c r="D78" s="681"/>
      <c r="E78" s="36"/>
      <c r="F78" s="678"/>
      <c r="G78" s="678"/>
      <c r="H78" s="678"/>
      <c r="J78" s="680"/>
      <c r="K78" s="21"/>
      <c r="L78" s="679"/>
      <c r="M78" s="676"/>
      <c r="N78" s="678"/>
      <c r="O78" s="677"/>
      <c r="P78" s="676"/>
      <c r="Q78" s="676"/>
      <c r="T78" s="36"/>
    </row>
    <row r="79" spans="1:21" s="35" customFormat="1" ht="18.75" customHeight="1" x14ac:dyDescent="0.25">
      <c r="C79" s="681"/>
      <c r="D79" s="681"/>
      <c r="E79" s="36"/>
      <c r="F79" s="678"/>
      <c r="G79" s="678"/>
      <c r="H79" s="678"/>
      <c r="J79" s="680"/>
      <c r="K79" s="21"/>
      <c r="L79" s="679"/>
      <c r="M79" s="676"/>
      <c r="N79" s="678"/>
      <c r="O79" s="677"/>
      <c r="P79" s="676"/>
      <c r="Q79" s="676"/>
      <c r="T79" s="36"/>
    </row>
    <row r="80" spans="1:21" s="35" customFormat="1" ht="18.75" customHeight="1" x14ac:dyDescent="0.25">
      <c r="C80" s="681"/>
      <c r="D80" s="681"/>
      <c r="E80" s="36"/>
      <c r="F80" s="678"/>
      <c r="G80" s="678"/>
      <c r="H80" s="678"/>
      <c r="J80" s="680"/>
      <c r="K80" s="21"/>
      <c r="L80" s="679"/>
      <c r="M80" s="676"/>
      <c r="N80" s="678"/>
      <c r="O80" s="677"/>
      <c r="P80" s="676"/>
      <c r="Q80" s="676"/>
      <c r="T80" s="36"/>
    </row>
    <row r="81" spans="3:20" s="35" customFormat="1" ht="18.75" customHeight="1" x14ac:dyDescent="0.25">
      <c r="C81" s="681"/>
      <c r="D81" s="681"/>
      <c r="E81" s="36"/>
      <c r="F81" s="678"/>
      <c r="G81" s="678"/>
      <c r="H81" s="678"/>
      <c r="J81" s="680"/>
      <c r="K81" s="21"/>
      <c r="L81" s="679"/>
      <c r="M81" s="676"/>
      <c r="N81" s="678"/>
      <c r="O81" s="677"/>
      <c r="P81" s="676"/>
      <c r="Q81" s="676"/>
      <c r="T81" s="36"/>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7"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2E2A-98C2-DF49-A40A-A3AF3FFF1909}">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5" customWidth="1"/>
    <col min="2" max="2" width="16.42578125" style="15" customWidth="1"/>
    <col min="3" max="3" width="15" style="254" customWidth="1"/>
    <col min="4" max="4" width="15.85546875" style="551" customWidth="1"/>
    <col min="5" max="5" width="18.42578125" style="21" customWidth="1"/>
    <col min="6" max="6" width="15.42578125" style="17" bestFit="1" customWidth="1"/>
    <col min="7" max="7" width="13.85546875" style="17" bestFit="1" customWidth="1"/>
    <col min="8" max="8" width="15.85546875" style="17" customWidth="1"/>
    <col min="9" max="9" width="15" style="15" customWidth="1"/>
    <col min="10" max="10" width="13.42578125" style="15" customWidth="1"/>
    <col min="11" max="11" width="11.140625" style="15" customWidth="1"/>
    <col min="12" max="12" width="20" style="20" customWidth="1"/>
    <col min="13" max="13" width="22.28515625" style="17" customWidth="1"/>
    <col min="14" max="14" width="15.42578125" style="20" customWidth="1"/>
    <col min="15" max="15" width="12.140625" style="20" customWidth="1"/>
    <col min="16" max="16" width="19.7109375" style="17" customWidth="1"/>
    <col min="17" max="17" width="22.85546875" style="17" bestFit="1" customWidth="1"/>
    <col min="18" max="18" width="41.28515625" style="15" customWidth="1"/>
    <col min="19" max="19" width="18" style="15" customWidth="1"/>
    <col min="20" max="20" width="22.7109375" style="16" customWidth="1"/>
    <col min="21" max="21" width="29.28515625" style="15" customWidth="1"/>
    <col min="22" max="16384" width="11.42578125" style="15"/>
  </cols>
  <sheetData>
    <row r="1" spans="1:21" ht="17.25" customHeight="1" x14ac:dyDescent="0.25">
      <c r="A1" s="782" t="s">
        <v>315</v>
      </c>
      <c r="B1" s="782"/>
      <c r="C1" s="782"/>
      <c r="D1" s="782"/>
      <c r="E1" s="782"/>
      <c r="F1" s="782"/>
      <c r="G1" s="782"/>
      <c r="H1" s="782"/>
      <c r="I1" s="782"/>
      <c r="J1" s="782"/>
      <c r="K1" s="782"/>
      <c r="L1" s="782"/>
      <c r="M1" s="782"/>
      <c r="N1" s="782"/>
      <c r="O1" s="782"/>
      <c r="P1" s="782"/>
      <c r="Q1" s="782"/>
      <c r="R1" s="782"/>
    </row>
    <row r="2" spans="1:21" ht="18.75" hidden="1" customHeight="1" x14ac:dyDescent="0.25">
      <c r="A2" s="782" t="s">
        <v>314</v>
      </c>
      <c r="B2" s="782"/>
      <c r="C2" s="782"/>
      <c r="D2" s="782"/>
      <c r="E2" s="782"/>
      <c r="F2" s="782"/>
      <c r="G2" s="782"/>
      <c r="H2" s="782"/>
      <c r="I2" s="782"/>
      <c r="J2" s="782"/>
      <c r="K2" s="782"/>
      <c r="L2" s="782"/>
      <c r="M2" s="782"/>
      <c r="N2" s="782"/>
      <c r="O2" s="782"/>
      <c r="P2" s="782"/>
      <c r="Q2" s="782"/>
      <c r="R2" s="782"/>
    </row>
    <row r="3" spans="1:21" ht="18.75" hidden="1" customHeight="1" x14ac:dyDescent="0.25">
      <c r="A3" s="782" t="s">
        <v>313</v>
      </c>
      <c r="B3" s="782"/>
      <c r="C3" s="782"/>
      <c r="D3" s="782"/>
      <c r="E3" s="782"/>
      <c r="F3" s="782"/>
      <c r="G3" s="782"/>
      <c r="H3" s="782"/>
      <c r="I3" s="782"/>
      <c r="J3" s="782"/>
      <c r="K3" s="782"/>
      <c r="L3" s="782"/>
      <c r="M3" s="782"/>
      <c r="N3" s="782"/>
      <c r="O3" s="782"/>
      <c r="P3" s="782"/>
      <c r="Q3" s="782"/>
      <c r="R3" s="782"/>
    </row>
    <row r="4" spans="1:21" ht="18.75" hidden="1" customHeight="1" x14ac:dyDescent="0.25">
      <c r="A4" s="782" t="s">
        <v>312</v>
      </c>
      <c r="B4" s="782"/>
      <c r="C4" s="782"/>
      <c r="D4" s="782"/>
      <c r="E4" s="782"/>
      <c r="F4" s="782"/>
      <c r="G4" s="782"/>
      <c r="H4" s="782"/>
      <c r="I4" s="782"/>
      <c r="J4" s="782"/>
      <c r="K4" s="782"/>
      <c r="L4" s="782"/>
      <c r="M4" s="782"/>
      <c r="N4" s="782"/>
      <c r="O4" s="782"/>
      <c r="P4" s="782"/>
      <c r="Q4" s="782"/>
      <c r="R4" s="782"/>
    </row>
    <row r="5" spans="1:21" ht="18.75" hidden="1" customHeight="1" thickBot="1" x14ac:dyDescent="0.3">
      <c r="A5" s="187"/>
      <c r="B5" s="187"/>
      <c r="C5" s="644"/>
      <c r="D5" s="289"/>
      <c r="E5" s="187"/>
      <c r="F5" s="219"/>
      <c r="G5" s="219"/>
      <c r="H5" s="219"/>
      <c r="I5" s="222"/>
      <c r="J5" s="222"/>
      <c r="K5" s="222"/>
      <c r="L5" s="187"/>
      <c r="M5" s="220"/>
      <c r="N5" s="187"/>
      <c r="O5" s="187"/>
      <c r="P5" s="219"/>
      <c r="Q5" s="219"/>
      <c r="R5" s="187"/>
    </row>
    <row r="6" spans="1:21" ht="18.75" hidden="1" customHeight="1" x14ac:dyDescent="0.25">
      <c r="A6" s="218" t="s">
        <v>239</v>
      </c>
      <c r="B6" s="217"/>
      <c r="C6" s="649"/>
      <c r="D6" s="446"/>
      <c r="E6" s="208"/>
      <c r="F6" s="207"/>
      <c r="G6" s="207"/>
      <c r="H6" s="648" t="s">
        <v>190</v>
      </c>
      <c r="I6" s="213"/>
      <c r="J6" s="213"/>
      <c r="K6" s="213"/>
      <c r="L6" s="211"/>
      <c r="M6" s="210"/>
      <c r="N6" s="208"/>
      <c r="O6" s="208"/>
      <c r="P6" s="207"/>
      <c r="Q6" s="207"/>
      <c r="R6" s="206"/>
    </row>
    <row r="7" spans="1:21" ht="18.75" hidden="1" customHeight="1" x14ac:dyDescent="0.25">
      <c r="A7" s="198"/>
      <c r="B7" s="197"/>
      <c r="C7" s="644"/>
      <c r="D7" s="289"/>
      <c r="E7" s="187"/>
      <c r="F7" s="186"/>
      <c r="G7" s="186"/>
      <c r="H7" s="647" t="s">
        <v>189</v>
      </c>
      <c r="I7" s="203"/>
      <c r="J7" s="203" t="s">
        <v>188</v>
      </c>
      <c r="K7" s="222"/>
      <c r="L7" s="187"/>
      <c r="M7" s="201"/>
      <c r="N7" s="646"/>
      <c r="O7" s="645"/>
      <c r="P7" s="186"/>
      <c r="Q7" s="186"/>
      <c r="R7" s="185"/>
    </row>
    <row r="8" spans="1:21" ht="18.75" hidden="1" customHeight="1" x14ac:dyDescent="0.25">
      <c r="A8" s="198"/>
      <c r="B8" s="197"/>
      <c r="C8" s="644"/>
      <c r="D8" s="289"/>
      <c r="E8" s="187"/>
      <c r="F8" s="186"/>
      <c r="G8" s="186"/>
      <c r="H8" s="643"/>
      <c r="I8" s="191"/>
      <c r="J8" s="222"/>
      <c r="K8" s="222" t="s">
        <v>186</v>
      </c>
      <c r="L8" s="187"/>
      <c r="M8" s="189"/>
      <c r="N8" s="191"/>
      <c r="O8" s="187"/>
      <c r="P8" s="186"/>
      <c r="Q8" s="186"/>
      <c r="R8" s="185"/>
    </row>
    <row r="9" spans="1:21" ht="18.75" hidden="1" customHeight="1" x14ac:dyDescent="0.25">
      <c r="A9" s="198"/>
      <c r="B9" s="197"/>
      <c r="C9" s="644"/>
      <c r="D9" s="289"/>
      <c r="E9" s="187"/>
      <c r="F9" s="186"/>
      <c r="G9" s="186"/>
      <c r="H9" s="643" t="s">
        <v>311</v>
      </c>
      <c r="I9" s="191"/>
      <c r="J9" s="222"/>
      <c r="K9" s="222" t="s">
        <v>184</v>
      </c>
      <c r="L9" s="187"/>
      <c r="M9" s="189"/>
      <c r="N9" s="191"/>
      <c r="O9" s="187"/>
      <c r="P9" s="186"/>
      <c r="Q9" s="186"/>
      <c r="R9" s="185"/>
    </row>
    <row r="10" spans="1:21" ht="18.75" hidden="1" customHeight="1" thickBot="1" x14ac:dyDescent="0.3">
      <c r="A10" s="184"/>
      <c r="B10" s="183"/>
      <c r="C10" s="642"/>
      <c r="D10" s="641"/>
      <c r="E10" s="174"/>
      <c r="F10" s="173"/>
      <c r="G10" s="173"/>
      <c r="H10" s="640" t="s">
        <v>310</v>
      </c>
      <c r="I10" s="178"/>
      <c r="J10" s="639"/>
      <c r="K10" s="639" t="s">
        <v>182</v>
      </c>
      <c r="L10" s="174"/>
      <c r="M10" s="176"/>
      <c r="N10" s="178"/>
      <c r="O10" s="174"/>
      <c r="P10" s="173"/>
      <c r="Q10" s="173"/>
      <c r="R10" s="172"/>
    </row>
    <row r="11" spans="1:21" ht="18.75" customHeight="1" thickBot="1" x14ac:dyDescent="0.3">
      <c r="A11" s="756" t="s">
        <v>181</v>
      </c>
      <c r="B11" s="757"/>
      <c r="C11" s="757"/>
      <c r="D11" s="757"/>
      <c r="E11" s="757"/>
      <c r="F11" s="757"/>
      <c r="G11" s="757"/>
      <c r="H11" s="757"/>
      <c r="I11" s="757"/>
      <c r="J11" s="757"/>
      <c r="K11" s="757"/>
      <c r="L11" s="757"/>
      <c r="M11" s="757"/>
      <c r="N11" s="757"/>
      <c r="O11" s="757"/>
      <c r="P11" s="757"/>
      <c r="Q11" s="757"/>
      <c r="R11" s="758"/>
      <c r="T11" s="171"/>
    </row>
    <row r="12" spans="1:21" ht="18.75" customHeight="1" x14ac:dyDescent="0.25">
      <c r="A12" s="759" t="s">
        <v>180</v>
      </c>
      <c r="B12" s="765" t="s">
        <v>179</v>
      </c>
      <c r="C12" s="783" t="s">
        <v>178</v>
      </c>
      <c r="D12" s="781" t="s">
        <v>177</v>
      </c>
      <c r="E12" s="771" t="s">
        <v>176</v>
      </c>
      <c r="F12" s="773" t="s">
        <v>175</v>
      </c>
      <c r="G12" s="774"/>
      <c r="H12" s="775"/>
      <c r="I12" s="744" t="s">
        <v>174</v>
      </c>
      <c r="J12" s="745"/>
      <c r="K12" s="748" t="s">
        <v>173</v>
      </c>
      <c r="L12" s="766" t="s">
        <v>172</v>
      </c>
      <c r="M12" s="767"/>
      <c r="N12" s="767"/>
      <c r="O12" s="767"/>
      <c r="P12" s="767"/>
      <c r="Q12" s="786"/>
      <c r="R12" s="768" t="s">
        <v>171</v>
      </c>
      <c r="T12" s="169"/>
    </row>
    <row r="13" spans="1:21" ht="15.75" x14ac:dyDescent="0.25">
      <c r="A13" s="760"/>
      <c r="B13" s="765"/>
      <c r="C13" s="784"/>
      <c r="D13" s="781"/>
      <c r="E13" s="765"/>
      <c r="F13" s="776"/>
      <c r="G13" s="777"/>
      <c r="H13" s="778"/>
      <c r="I13" s="746"/>
      <c r="J13" s="747"/>
      <c r="K13" s="749"/>
      <c r="L13" s="780" t="s">
        <v>170</v>
      </c>
      <c r="M13" s="780"/>
      <c r="N13" s="780" t="s">
        <v>238</v>
      </c>
      <c r="O13" s="780"/>
      <c r="P13" s="780"/>
      <c r="Q13" s="787" t="s">
        <v>309</v>
      </c>
      <c r="R13" s="769"/>
    </row>
    <row r="14" spans="1:21" s="21" customFormat="1" ht="48" thickBot="1" x14ac:dyDescent="0.3">
      <c r="A14" s="761"/>
      <c r="B14" s="765"/>
      <c r="C14" s="785"/>
      <c r="D14" s="781"/>
      <c r="E14" s="772"/>
      <c r="F14" s="168" t="s">
        <v>168</v>
      </c>
      <c r="G14" s="168" t="s">
        <v>167</v>
      </c>
      <c r="H14" s="168" t="s">
        <v>166</v>
      </c>
      <c r="I14" s="167" t="s">
        <v>165</v>
      </c>
      <c r="J14" s="167" t="s">
        <v>164</v>
      </c>
      <c r="K14" s="750"/>
      <c r="L14" s="165" t="s">
        <v>163</v>
      </c>
      <c r="M14" s="164" t="s">
        <v>162</v>
      </c>
      <c r="N14" s="638" t="s">
        <v>161</v>
      </c>
      <c r="O14" s="638" t="s">
        <v>160</v>
      </c>
      <c r="P14" s="164" t="s">
        <v>159</v>
      </c>
      <c r="Q14" s="788"/>
      <c r="R14" s="770"/>
    </row>
    <row r="15" spans="1:21" s="65" customFormat="1" ht="19.5" customHeight="1" x14ac:dyDescent="0.25">
      <c r="A15" s="637" t="s">
        <v>158</v>
      </c>
      <c r="B15" s="636"/>
      <c r="C15" s="635" t="s">
        <v>157</v>
      </c>
      <c r="D15" s="430"/>
      <c r="E15" s="428" t="s">
        <v>156</v>
      </c>
      <c r="F15" s="634" t="s">
        <v>155</v>
      </c>
      <c r="G15" s="634" t="s">
        <v>154</v>
      </c>
      <c r="H15" s="634" t="s">
        <v>153</v>
      </c>
      <c r="I15" s="428" t="s">
        <v>152</v>
      </c>
      <c r="J15" s="428" t="s">
        <v>151</v>
      </c>
      <c r="K15" s="428" t="s">
        <v>150</v>
      </c>
      <c r="L15" s="428" t="s">
        <v>149</v>
      </c>
      <c r="M15" s="634" t="s">
        <v>148</v>
      </c>
      <c r="N15" s="428" t="s">
        <v>147</v>
      </c>
      <c r="O15" s="428" t="s">
        <v>146</v>
      </c>
      <c r="P15" s="634" t="s">
        <v>145</v>
      </c>
      <c r="Q15" s="633" t="s">
        <v>236</v>
      </c>
      <c r="R15" s="632" t="s">
        <v>143</v>
      </c>
      <c r="S15" s="21"/>
      <c r="U15" s="66"/>
    </row>
    <row r="16" spans="1:21" s="65" customFormat="1" ht="19.5" customHeight="1" x14ac:dyDescent="0.25">
      <c r="A16" s="674" t="s">
        <v>316</v>
      </c>
      <c r="B16" s="674" t="s">
        <v>317</v>
      </c>
      <c r="C16" s="674" t="s">
        <v>318</v>
      </c>
      <c r="D16" s="674" t="s">
        <v>319</v>
      </c>
      <c r="E16" s="674" t="s">
        <v>320</v>
      </c>
      <c r="F16" s="674" t="s">
        <v>321</v>
      </c>
      <c r="G16" s="674" t="s">
        <v>322</v>
      </c>
      <c r="H16" s="674" t="s">
        <v>323</v>
      </c>
      <c r="I16" s="674" t="s">
        <v>324</v>
      </c>
      <c r="J16" s="674" t="s">
        <v>325</v>
      </c>
      <c r="K16" s="674" t="s">
        <v>326</v>
      </c>
      <c r="L16" s="674" t="s">
        <v>327</v>
      </c>
      <c r="M16" s="674" t="s">
        <v>328</v>
      </c>
      <c r="N16" s="674" t="s">
        <v>329</v>
      </c>
      <c r="O16" s="674" t="s">
        <v>330</v>
      </c>
      <c r="P16" s="674" t="s">
        <v>331</v>
      </c>
      <c r="Q16" s="674" t="s">
        <v>332</v>
      </c>
      <c r="R16" s="675"/>
      <c r="S16" s="21"/>
      <c r="U16" s="66"/>
    </row>
    <row r="17" spans="1:21" s="552" customFormat="1" ht="26.25" customHeight="1" x14ac:dyDescent="0.25">
      <c r="A17" s="631" t="s">
        <v>142</v>
      </c>
      <c r="B17" s="631"/>
      <c r="C17" s="630" t="e">
        <f>SUM(C18,C63,C73,C94,C122,C147)</f>
        <v>#REF!</v>
      </c>
      <c r="D17" s="627"/>
      <c r="E17" s="627"/>
      <c r="F17" s="629" t="e">
        <f>SUM(F18,F63,F73,F94,F122,F147)</f>
        <v>#REF!</v>
      </c>
      <c r="G17" s="629" t="e">
        <f>SUM(G18,G63,G73,G94,G122,G147)</f>
        <v>#REF!</v>
      </c>
      <c r="H17" s="629" t="e">
        <f>SUM(H18,H63,H73,H94,H122,H147)</f>
        <v>#REF!</v>
      </c>
      <c r="I17" s="629"/>
      <c r="J17" s="629"/>
      <c r="K17" s="628"/>
      <c r="L17" s="627" t="e">
        <f>SUM(L18,L63,L73,L94,L122,L147)</f>
        <v>#REF!</v>
      </c>
      <c r="M17" s="627" t="e">
        <f>SUM(M18,M63,M73,M94,M122,M147)</f>
        <v>#REF!</v>
      </c>
      <c r="N17" s="627" t="e">
        <f>SUM(N18,N63,N73,N94,N122,N147)</f>
        <v>#REF!</v>
      </c>
      <c r="O17" s="627" t="e">
        <f>AVERAGE(O18,O63,O73,O94,O122,O147)</f>
        <v>#REF!</v>
      </c>
      <c r="P17" s="627" t="e">
        <f>SUM(P18,P63,P73,P94,P122,P147)</f>
        <v>#REF!</v>
      </c>
      <c r="Q17" s="626" t="e">
        <f>P17+M17</f>
        <v>#REF!</v>
      </c>
      <c r="R17" s="625"/>
    </row>
    <row r="18" spans="1:21" s="573" customFormat="1" ht="16.5" x14ac:dyDescent="0.25">
      <c r="A18" s="579" t="s">
        <v>234</v>
      </c>
      <c r="B18" s="579"/>
      <c r="C18" s="597" t="e">
        <f>SUM(#REF!,#REF!,#REF!,#REF!,#REF!)</f>
        <v>#REF!</v>
      </c>
      <c r="D18" s="576"/>
      <c r="E18" s="576"/>
      <c r="F18" s="578" t="e">
        <f>SUM(#REF!,#REF!,#REF!,#REF!,#REF!)</f>
        <v>#REF!</v>
      </c>
      <c r="G18" s="578" t="e">
        <f>SUM(#REF!,#REF!,#REF!,#REF!,#REF!)</f>
        <v>#REF!</v>
      </c>
      <c r="H18" s="578" t="e">
        <f>SUM(#REF!,#REF!,#REF!,#REF!,#REF!)</f>
        <v>#REF!</v>
      </c>
      <c r="I18" s="578"/>
      <c r="J18" s="578"/>
      <c r="K18" s="577"/>
      <c r="L18" s="576" t="e">
        <f>SUM(#REF!,#REF!,#REF!,#REF!,#REF!)</f>
        <v>#REF!</v>
      </c>
      <c r="M18" s="576" t="e">
        <f>SUM(#REF!,#REF!,#REF!,#REF!,#REF!)</f>
        <v>#REF!</v>
      </c>
      <c r="N18" s="576" t="e">
        <f>SUM(#REF!,#REF!,#REF!,#REF!,#REF!)</f>
        <v>#REF!</v>
      </c>
      <c r="O18" s="576" t="e">
        <f>AVERAGE(#REF!,#REF!,#REF!,#REF!,#REF!)</f>
        <v>#REF!</v>
      </c>
      <c r="P18" s="576" t="e">
        <f>SUM(#REF!,#REF!,#REF!,#REF!,#REF!)</f>
        <v>#REF!</v>
      </c>
      <c r="Q18" s="575" t="e">
        <f>P18+M18</f>
        <v>#REF!</v>
      </c>
      <c r="R18" s="574"/>
    </row>
    <row r="19" spans="1:21" s="552" customFormat="1" ht="15.75" customHeight="1" x14ac:dyDescent="0.25">
      <c r="A19" s="88" t="s">
        <v>8</v>
      </c>
      <c r="B19" s="88"/>
      <c r="C19" s="592">
        <v>614</v>
      </c>
      <c r="D19" s="84"/>
      <c r="E19" s="84" t="s">
        <v>232</v>
      </c>
      <c r="F19" s="556">
        <v>586</v>
      </c>
      <c r="G19" s="556"/>
      <c r="H19" s="554">
        <f>F19+G19</f>
        <v>586</v>
      </c>
      <c r="I19" s="556">
        <v>4.08</v>
      </c>
      <c r="J19" s="560">
        <v>0</v>
      </c>
      <c r="K19" s="559">
        <f>(I19-J19)/I19</f>
        <v>1</v>
      </c>
      <c r="L19" s="558">
        <v>7470</v>
      </c>
      <c r="M19" s="558">
        <f>(H19*L19)*K19</f>
        <v>4377420</v>
      </c>
      <c r="N19" s="555"/>
      <c r="O19" s="554"/>
      <c r="P19" s="554">
        <f>N19*1000*17</f>
        <v>0</v>
      </c>
      <c r="Q19" s="554">
        <f>M19+P19</f>
        <v>4377420</v>
      </c>
      <c r="R19" s="553"/>
    </row>
    <row r="20" spans="1:21" s="562" customFormat="1" ht="15" x14ac:dyDescent="0.25">
      <c r="A20" s="568" t="s">
        <v>273</v>
      </c>
      <c r="B20" s="568"/>
      <c r="C20" s="620">
        <v>120</v>
      </c>
      <c r="D20" s="566"/>
      <c r="E20" s="87" t="s">
        <v>232</v>
      </c>
      <c r="F20" s="556">
        <v>150</v>
      </c>
      <c r="G20" s="556"/>
      <c r="H20" s="554">
        <f>F20+G20</f>
        <v>150</v>
      </c>
      <c r="I20" s="561">
        <v>4.08</v>
      </c>
      <c r="J20" s="560">
        <v>0</v>
      </c>
      <c r="K20" s="559">
        <f>(I20-J20)/I20</f>
        <v>1</v>
      </c>
      <c r="L20" s="558">
        <v>7470</v>
      </c>
      <c r="M20" s="558">
        <f>(H20*L20)*K20</f>
        <v>1120500</v>
      </c>
      <c r="N20" s="565"/>
      <c r="O20" s="565"/>
      <c r="P20" s="554">
        <f>N20*1000*17</f>
        <v>0</v>
      </c>
      <c r="Q20" s="554">
        <f>M20+P20</f>
        <v>1120500</v>
      </c>
      <c r="R20" s="564"/>
      <c r="S20" s="621"/>
      <c r="T20" s="477"/>
      <c r="U20" s="477"/>
    </row>
    <row r="21" spans="1:21" s="562" customFormat="1" ht="15" x14ac:dyDescent="0.25">
      <c r="A21" s="568" t="s">
        <v>25</v>
      </c>
      <c r="B21" s="568"/>
      <c r="C21" s="620">
        <v>112</v>
      </c>
      <c r="D21" s="566"/>
      <c r="E21" s="87" t="s">
        <v>232</v>
      </c>
      <c r="F21" s="624">
        <v>140</v>
      </c>
      <c r="G21" s="556"/>
      <c r="H21" s="554">
        <f>F21+G21</f>
        <v>140</v>
      </c>
      <c r="I21" s="561">
        <v>4.08</v>
      </c>
      <c r="J21" s="560">
        <v>0</v>
      </c>
      <c r="K21" s="559">
        <f>(I21-J21)/I21</f>
        <v>1</v>
      </c>
      <c r="L21" s="558">
        <v>7470</v>
      </c>
      <c r="M21" s="558">
        <f>(H21*L21)*K21</f>
        <v>1045800</v>
      </c>
      <c r="N21" s="565"/>
      <c r="O21" s="565"/>
      <c r="P21" s="554">
        <f>N21*1000*17</f>
        <v>0</v>
      </c>
      <c r="Q21" s="554">
        <f>M21+P21</f>
        <v>1045800</v>
      </c>
      <c r="R21" s="564"/>
      <c r="S21" s="563"/>
      <c r="T21" s="477"/>
      <c r="U21" s="477"/>
    </row>
    <row r="22" spans="1:21" s="562" customFormat="1" ht="15" x14ac:dyDescent="0.25">
      <c r="A22" s="568" t="s">
        <v>27</v>
      </c>
      <c r="B22" s="568"/>
      <c r="C22" s="620">
        <v>600</v>
      </c>
      <c r="D22" s="566"/>
      <c r="E22" s="87" t="s">
        <v>232</v>
      </c>
      <c r="F22" s="556">
        <v>750</v>
      </c>
      <c r="G22" s="556"/>
      <c r="H22" s="554">
        <f>F22+G22</f>
        <v>750</v>
      </c>
      <c r="I22" s="561">
        <v>4.08</v>
      </c>
      <c r="J22" s="560">
        <v>0</v>
      </c>
      <c r="K22" s="559">
        <f>(I22-J22)/I22</f>
        <v>1</v>
      </c>
      <c r="L22" s="558">
        <v>7470</v>
      </c>
      <c r="M22" s="558">
        <f>(H22*L22)*K22</f>
        <v>5602500</v>
      </c>
      <c r="N22" s="565"/>
      <c r="O22" s="565"/>
      <c r="P22" s="554">
        <f>N22*1000*17</f>
        <v>0</v>
      </c>
      <c r="Q22" s="554">
        <f>M22+P22</f>
        <v>5602500</v>
      </c>
      <c r="R22" s="564"/>
      <c r="S22" s="563"/>
      <c r="T22" s="477"/>
      <c r="U22" s="477"/>
    </row>
    <row r="23" spans="1:21" s="659" customFormat="1" ht="15" x14ac:dyDescent="0.25">
      <c r="A23" s="650" t="s">
        <v>4</v>
      </c>
      <c r="B23" s="650"/>
      <c r="C23" s="651">
        <v>1217</v>
      </c>
      <c r="D23" s="651">
        <v>0</v>
      </c>
      <c r="E23" s="651">
        <v>0</v>
      </c>
      <c r="F23" s="651">
        <v>1636</v>
      </c>
      <c r="G23" s="651">
        <v>0</v>
      </c>
      <c r="H23" s="651">
        <v>1636</v>
      </c>
      <c r="I23" s="651">
        <v>8.16</v>
      </c>
      <c r="J23" s="651">
        <v>0</v>
      </c>
      <c r="K23" s="651">
        <v>2</v>
      </c>
      <c r="L23" s="651">
        <v>7470</v>
      </c>
      <c r="M23" s="651">
        <v>12041640</v>
      </c>
      <c r="N23" s="651">
        <v>97.92</v>
      </c>
      <c r="O23" s="651">
        <v>17</v>
      </c>
      <c r="P23" s="651">
        <v>1664640</v>
      </c>
      <c r="Q23" s="651">
        <v>13706280</v>
      </c>
      <c r="R23" s="657"/>
      <c r="S23" s="658"/>
      <c r="T23" s="525"/>
      <c r="U23" s="525"/>
    </row>
    <row r="24" spans="1:21" s="552" customFormat="1" ht="15.75" customHeight="1" x14ac:dyDescent="0.25">
      <c r="A24" s="88" t="s">
        <v>30</v>
      </c>
      <c r="B24" s="88"/>
      <c r="C24" s="592">
        <v>241</v>
      </c>
      <c r="D24" s="84"/>
      <c r="E24" s="87" t="s">
        <v>232</v>
      </c>
      <c r="F24" s="556">
        <v>347</v>
      </c>
      <c r="G24" s="556"/>
      <c r="H24" s="554">
        <f>F24+G24</f>
        <v>347</v>
      </c>
      <c r="I24" s="561">
        <v>4.08</v>
      </c>
      <c r="J24" s="560">
        <v>0</v>
      </c>
      <c r="K24" s="559">
        <f>(I24-J24)/I24</f>
        <v>1</v>
      </c>
      <c r="L24" s="558">
        <v>7470</v>
      </c>
      <c r="M24" s="558">
        <f>(H24*L24)*K24</f>
        <v>2592090</v>
      </c>
      <c r="N24" s="555"/>
      <c r="O24" s="554"/>
      <c r="P24" s="554">
        <f>N24*1000*17</f>
        <v>0</v>
      </c>
      <c r="Q24" s="554">
        <f>M24+P24</f>
        <v>2592090</v>
      </c>
      <c r="R24" s="553"/>
    </row>
    <row r="25" spans="1:21" s="562" customFormat="1" ht="15" x14ac:dyDescent="0.25">
      <c r="A25" s="568" t="s">
        <v>31</v>
      </c>
      <c r="B25" s="585"/>
      <c r="C25" s="620">
        <v>500</v>
      </c>
      <c r="D25" s="566"/>
      <c r="E25" s="87" t="s">
        <v>232</v>
      </c>
      <c r="F25" s="556">
        <v>342</v>
      </c>
      <c r="G25" s="556"/>
      <c r="H25" s="554">
        <f>F25+G25</f>
        <v>342</v>
      </c>
      <c r="I25" s="561">
        <v>4.08</v>
      </c>
      <c r="J25" s="560">
        <v>0</v>
      </c>
      <c r="K25" s="559">
        <f>(I25-J25)/I25</f>
        <v>1</v>
      </c>
      <c r="L25" s="558">
        <v>7470</v>
      </c>
      <c r="M25" s="558">
        <f>(H25*L25)*K25</f>
        <v>2554740</v>
      </c>
      <c r="N25" s="565"/>
      <c r="O25" s="565"/>
      <c r="P25" s="554">
        <f>N25*1000*17</f>
        <v>0</v>
      </c>
      <c r="Q25" s="554">
        <f>M25+P25</f>
        <v>2554740</v>
      </c>
      <c r="R25" s="564"/>
      <c r="S25" s="563"/>
      <c r="T25" s="477"/>
      <c r="U25" s="477"/>
    </row>
    <row r="26" spans="1:21" s="552" customFormat="1" ht="15.75" customHeight="1" x14ac:dyDescent="0.25">
      <c r="A26" s="88" t="s">
        <v>308</v>
      </c>
      <c r="B26" s="88"/>
      <c r="C26" s="592">
        <v>438</v>
      </c>
      <c r="D26" s="84"/>
      <c r="E26" s="84" t="s">
        <v>232</v>
      </c>
      <c r="F26" s="556">
        <v>391</v>
      </c>
      <c r="G26" s="556"/>
      <c r="H26" s="554">
        <f>F26+G26</f>
        <v>391</v>
      </c>
      <c r="I26" s="561">
        <v>4.08</v>
      </c>
      <c r="J26" s="560">
        <v>0</v>
      </c>
      <c r="K26" s="559">
        <f>(I26-J26)/I26</f>
        <v>1</v>
      </c>
      <c r="L26" s="558">
        <v>7470</v>
      </c>
      <c r="M26" s="558">
        <f>(H26*L26)*K26</f>
        <v>2920770</v>
      </c>
      <c r="N26" s="555"/>
      <c r="O26" s="554"/>
      <c r="P26" s="554">
        <f>N26*1000*17</f>
        <v>0</v>
      </c>
      <c r="Q26" s="554">
        <f>M26+P26</f>
        <v>2920770</v>
      </c>
      <c r="R26" s="553"/>
    </row>
    <row r="27" spans="1:21" s="552" customFormat="1" ht="15.75" hidden="1" customHeight="1" x14ac:dyDescent="0.25">
      <c r="A27" s="88" t="s">
        <v>10</v>
      </c>
      <c r="B27" s="88"/>
      <c r="C27" s="592"/>
      <c r="D27" s="84"/>
      <c r="E27" s="84"/>
      <c r="F27" s="556"/>
      <c r="G27" s="556"/>
      <c r="H27" s="554">
        <f>F27+G27</f>
        <v>0</v>
      </c>
      <c r="I27" s="556"/>
      <c r="J27" s="556"/>
      <c r="K27" s="559"/>
      <c r="L27" s="84"/>
      <c r="M27" s="558">
        <f>(H27*L27)*K27</f>
        <v>0</v>
      </c>
      <c r="N27" s="555"/>
      <c r="O27" s="554"/>
      <c r="P27" s="554">
        <f>N27*1000*17</f>
        <v>0</v>
      </c>
      <c r="Q27" s="554">
        <f>M27+P27</f>
        <v>0</v>
      </c>
      <c r="R27" s="553"/>
    </row>
    <row r="28" spans="1:21" s="665" customFormat="1" ht="15.75" customHeight="1" x14ac:dyDescent="0.25">
      <c r="A28" s="660" t="s">
        <v>12</v>
      </c>
      <c r="B28" s="660"/>
      <c r="C28" s="661">
        <v>60</v>
      </c>
      <c r="D28" s="662"/>
      <c r="E28" s="662">
        <v>60</v>
      </c>
      <c r="F28" s="653">
        <v>60</v>
      </c>
      <c r="G28" s="653">
        <v>60</v>
      </c>
      <c r="H28" s="654">
        <v>60</v>
      </c>
      <c r="I28" s="653">
        <v>60</v>
      </c>
      <c r="J28" s="653">
        <v>60</v>
      </c>
      <c r="K28" s="655">
        <v>60</v>
      </c>
      <c r="L28" s="662">
        <v>60</v>
      </c>
      <c r="M28" s="656">
        <v>60</v>
      </c>
      <c r="N28" s="663">
        <v>60</v>
      </c>
      <c r="O28" s="654">
        <v>60</v>
      </c>
      <c r="P28" s="654">
        <v>60</v>
      </c>
      <c r="Q28" s="654">
        <v>60</v>
      </c>
      <c r="R28" s="664"/>
    </row>
    <row r="29" spans="1:21" s="562" customFormat="1" ht="15" x14ac:dyDescent="0.25">
      <c r="A29" s="568" t="s">
        <v>279</v>
      </c>
      <c r="B29" s="568"/>
      <c r="C29" s="620">
        <v>470.40000000000003</v>
      </c>
      <c r="D29" s="566"/>
      <c r="E29" s="87" t="s">
        <v>232</v>
      </c>
      <c r="F29" s="556">
        <v>588</v>
      </c>
      <c r="G29" s="556"/>
      <c r="H29" s="554">
        <f>F29+G29</f>
        <v>588</v>
      </c>
      <c r="I29" s="561">
        <v>4.08</v>
      </c>
      <c r="J29" s="560">
        <v>0</v>
      </c>
      <c r="K29" s="559">
        <f>(I29-J29)/I29</f>
        <v>1</v>
      </c>
      <c r="L29" s="558">
        <v>7470</v>
      </c>
      <c r="M29" s="558">
        <f>(H29*L29)*K29</f>
        <v>4392360</v>
      </c>
      <c r="N29" s="565"/>
      <c r="O29" s="565"/>
      <c r="P29" s="554">
        <f>N29*1000*17</f>
        <v>0</v>
      </c>
      <c r="Q29" s="554">
        <f>M29+P29</f>
        <v>4392360</v>
      </c>
      <c r="R29" s="564"/>
      <c r="S29" s="563"/>
      <c r="T29" s="477"/>
      <c r="U29" s="477"/>
    </row>
    <row r="30" spans="1:21" s="562" customFormat="1" ht="15" x14ac:dyDescent="0.25">
      <c r="A30" s="568" t="s">
        <v>13</v>
      </c>
      <c r="B30" s="568"/>
      <c r="C30" s="620">
        <v>1978</v>
      </c>
      <c r="D30" s="566"/>
      <c r="E30" s="87" t="s">
        <v>232</v>
      </c>
      <c r="F30" s="556">
        <v>1742</v>
      </c>
      <c r="G30" s="556"/>
      <c r="H30" s="554">
        <f>F30+G30</f>
        <v>1742</v>
      </c>
      <c r="I30" s="561">
        <v>4.08</v>
      </c>
      <c r="J30" s="560">
        <v>0</v>
      </c>
      <c r="K30" s="559">
        <f>(I30-J30)/I30</f>
        <v>1</v>
      </c>
      <c r="L30" s="558">
        <v>7470</v>
      </c>
      <c r="M30" s="558">
        <f>(H30*L30)*K30</f>
        <v>13012740</v>
      </c>
      <c r="N30" s="565"/>
      <c r="O30" s="565"/>
      <c r="P30" s="554">
        <f>N30*1000*17</f>
        <v>0</v>
      </c>
      <c r="Q30" s="554">
        <f>M30+P30</f>
        <v>13012740</v>
      </c>
      <c r="R30" s="564"/>
      <c r="S30" s="563"/>
      <c r="T30" s="477"/>
      <c r="U30" s="477"/>
    </row>
    <row r="31" spans="1:21" s="562" customFormat="1" ht="15" x14ac:dyDescent="0.25">
      <c r="A31" s="568" t="s">
        <v>14</v>
      </c>
      <c r="B31" s="568"/>
      <c r="C31" s="620">
        <v>286.40000000000003</v>
      </c>
      <c r="D31" s="566"/>
      <c r="E31" s="87" t="s">
        <v>232</v>
      </c>
      <c r="F31" s="556">
        <v>358</v>
      </c>
      <c r="G31" s="556"/>
      <c r="H31" s="554">
        <f>F31+G31</f>
        <v>358</v>
      </c>
      <c r="I31" s="561">
        <v>4.08</v>
      </c>
      <c r="J31" s="560">
        <v>0</v>
      </c>
      <c r="K31" s="559">
        <f>(I31-J31)/I31</f>
        <v>1</v>
      </c>
      <c r="L31" s="558">
        <v>7470</v>
      </c>
      <c r="M31" s="558">
        <f>(H31*L31)*K31</f>
        <v>2674260</v>
      </c>
      <c r="N31" s="565"/>
      <c r="O31" s="565"/>
      <c r="P31" s="554">
        <f>N31*1000*17</f>
        <v>0</v>
      </c>
      <c r="Q31" s="554">
        <f>M31+P31</f>
        <v>2674260</v>
      </c>
      <c r="R31" s="564"/>
      <c r="S31" s="563"/>
      <c r="T31" s="477"/>
      <c r="U31" s="477"/>
    </row>
    <row r="32" spans="1:21" s="659" customFormat="1" ht="15" x14ac:dyDescent="0.25">
      <c r="A32" s="650" t="s">
        <v>15</v>
      </c>
      <c r="B32" s="650"/>
      <c r="C32" s="651">
        <v>864</v>
      </c>
      <c r="D32" s="651">
        <v>0</v>
      </c>
      <c r="E32" s="651">
        <v>0</v>
      </c>
      <c r="F32" s="651">
        <v>925</v>
      </c>
      <c r="G32" s="651">
        <v>231</v>
      </c>
      <c r="H32" s="651">
        <v>1156</v>
      </c>
      <c r="I32" s="651">
        <v>8.16</v>
      </c>
      <c r="J32" s="651">
        <v>1.22</v>
      </c>
      <c r="K32" s="651">
        <v>1.7009803921568629</v>
      </c>
      <c r="L32" s="651">
        <v>14940</v>
      </c>
      <c r="M32" s="651">
        <v>8119340.7352941176</v>
      </c>
      <c r="N32" s="651">
        <v>0</v>
      </c>
      <c r="O32" s="651">
        <v>0</v>
      </c>
      <c r="P32" s="651">
        <v>0</v>
      </c>
      <c r="Q32" s="651">
        <v>8119340.7352941176</v>
      </c>
      <c r="R32" s="657"/>
      <c r="S32" s="658"/>
      <c r="T32" s="525"/>
      <c r="U32" s="525"/>
    </row>
    <row r="33" spans="1:21" s="552" customFormat="1" ht="15.75" hidden="1" customHeight="1" x14ac:dyDescent="0.25">
      <c r="A33" s="88" t="s">
        <v>16</v>
      </c>
      <c r="B33" s="88"/>
      <c r="C33" s="592"/>
      <c r="D33" s="84"/>
      <c r="E33" s="84"/>
      <c r="F33" s="556"/>
      <c r="G33" s="556"/>
      <c r="H33" s="554">
        <f t="shared" ref="H33:H47" si="0">F33+G33</f>
        <v>0</v>
      </c>
      <c r="I33" s="556"/>
      <c r="J33" s="556"/>
      <c r="K33" s="559"/>
      <c r="L33" s="84"/>
      <c r="M33" s="558">
        <f t="shared" ref="M33:M38" si="1">(H33*L33)*K33</f>
        <v>0</v>
      </c>
      <c r="N33" s="555"/>
      <c r="O33" s="554"/>
      <c r="P33" s="554">
        <f t="shared" ref="P33:P38" si="2">N33*1000*17</f>
        <v>0</v>
      </c>
      <c r="Q33" s="554">
        <f t="shared" ref="Q33:Q38" si="3">M33+P33</f>
        <v>0</v>
      </c>
      <c r="R33" s="553"/>
    </row>
    <row r="34" spans="1:21" s="552" customFormat="1" ht="15.75" hidden="1" customHeight="1" x14ac:dyDescent="0.25">
      <c r="A34" s="88" t="s">
        <v>17</v>
      </c>
      <c r="B34" s="88"/>
      <c r="C34" s="592"/>
      <c r="D34" s="84"/>
      <c r="E34" s="84"/>
      <c r="F34" s="556"/>
      <c r="G34" s="556"/>
      <c r="H34" s="554">
        <f t="shared" si="0"/>
        <v>0</v>
      </c>
      <c r="I34" s="556"/>
      <c r="J34" s="556"/>
      <c r="K34" s="559"/>
      <c r="L34" s="84"/>
      <c r="M34" s="558">
        <f t="shared" si="1"/>
        <v>0</v>
      </c>
      <c r="N34" s="555"/>
      <c r="O34" s="554"/>
      <c r="P34" s="554">
        <f t="shared" si="2"/>
        <v>0</v>
      </c>
      <c r="Q34" s="554">
        <f t="shared" si="3"/>
        <v>0</v>
      </c>
      <c r="R34" s="553"/>
    </row>
    <row r="35" spans="1:21" s="562" customFormat="1" ht="15" x14ac:dyDescent="0.25">
      <c r="A35" s="568" t="s">
        <v>19</v>
      </c>
      <c r="B35" s="87"/>
      <c r="C35" s="620">
        <v>160</v>
      </c>
      <c r="D35" s="566"/>
      <c r="E35" s="87" t="s">
        <v>232</v>
      </c>
      <c r="F35" s="566">
        <v>200</v>
      </c>
      <c r="G35" s="566"/>
      <c r="H35" s="554">
        <f t="shared" si="0"/>
        <v>200</v>
      </c>
      <c r="I35" s="561">
        <v>4.08</v>
      </c>
      <c r="J35" s="560">
        <v>0</v>
      </c>
      <c r="K35" s="559">
        <f>(I35-J35)/I35</f>
        <v>1</v>
      </c>
      <c r="L35" s="558">
        <v>7470</v>
      </c>
      <c r="M35" s="558">
        <f t="shared" si="1"/>
        <v>1494000</v>
      </c>
      <c r="N35" s="565"/>
      <c r="O35" s="565"/>
      <c r="P35" s="554">
        <f t="shared" si="2"/>
        <v>0</v>
      </c>
      <c r="Q35" s="554">
        <f t="shared" si="3"/>
        <v>1494000</v>
      </c>
      <c r="R35" s="564"/>
      <c r="S35" s="563"/>
      <c r="T35" s="477"/>
      <c r="U35" s="477"/>
    </row>
    <row r="36" spans="1:21" s="552" customFormat="1" ht="15.75" customHeight="1" x14ac:dyDescent="0.25">
      <c r="A36" s="88" t="s">
        <v>21</v>
      </c>
      <c r="B36" s="88"/>
      <c r="C36" s="592">
        <v>285</v>
      </c>
      <c r="D36" s="84"/>
      <c r="E36" s="84" t="s">
        <v>232</v>
      </c>
      <c r="F36" s="556">
        <v>300</v>
      </c>
      <c r="G36" s="556"/>
      <c r="H36" s="554">
        <f t="shared" si="0"/>
        <v>300</v>
      </c>
      <c r="I36" s="590">
        <v>4.08</v>
      </c>
      <c r="J36" s="560">
        <v>0</v>
      </c>
      <c r="K36" s="559">
        <f>(I36-J36)/I36</f>
        <v>1</v>
      </c>
      <c r="L36" s="558">
        <v>7470</v>
      </c>
      <c r="M36" s="558">
        <f t="shared" si="1"/>
        <v>2241000</v>
      </c>
      <c r="N36" s="555"/>
      <c r="O36" s="554"/>
      <c r="P36" s="554">
        <f t="shared" si="2"/>
        <v>0</v>
      </c>
      <c r="Q36" s="554">
        <f t="shared" si="3"/>
        <v>2241000</v>
      </c>
      <c r="R36" s="553"/>
    </row>
    <row r="37" spans="1:21" s="552" customFormat="1" ht="15.75" customHeight="1" x14ac:dyDescent="0.25">
      <c r="A37" s="88" t="s">
        <v>22</v>
      </c>
      <c r="B37" s="88"/>
      <c r="C37" s="592">
        <v>450</v>
      </c>
      <c r="D37" s="84"/>
      <c r="E37" s="84" t="s">
        <v>232</v>
      </c>
      <c r="F37" s="556">
        <v>500</v>
      </c>
      <c r="G37" s="556"/>
      <c r="H37" s="554">
        <f t="shared" si="0"/>
        <v>500</v>
      </c>
      <c r="I37" s="590">
        <v>4.08</v>
      </c>
      <c r="J37" s="560">
        <v>0</v>
      </c>
      <c r="K37" s="559">
        <f>(I37-J37)/I37</f>
        <v>1</v>
      </c>
      <c r="L37" s="558">
        <v>7470</v>
      </c>
      <c r="M37" s="558">
        <f t="shared" si="1"/>
        <v>3735000</v>
      </c>
      <c r="N37" s="555"/>
      <c r="O37" s="554"/>
      <c r="P37" s="554">
        <f t="shared" si="2"/>
        <v>0</v>
      </c>
      <c r="Q37" s="554">
        <f t="shared" si="3"/>
        <v>3735000</v>
      </c>
      <c r="R37" s="553"/>
    </row>
    <row r="38" spans="1:21" s="552" customFormat="1" ht="15.75" customHeight="1" x14ac:dyDescent="0.25">
      <c r="A38" s="88" t="s">
        <v>26</v>
      </c>
      <c r="B38" s="88"/>
      <c r="C38" s="592">
        <v>210</v>
      </c>
      <c r="D38" s="84"/>
      <c r="E38" s="87" t="s">
        <v>232</v>
      </c>
      <c r="F38" s="556">
        <v>250</v>
      </c>
      <c r="G38" s="556"/>
      <c r="H38" s="554">
        <f t="shared" si="0"/>
        <v>250</v>
      </c>
      <c r="I38" s="590">
        <v>4.08</v>
      </c>
      <c r="J38" s="560">
        <v>0</v>
      </c>
      <c r="K38" s="559">
        <f>(I38-J38)/I38</f>
        <v>1</v>
      </c>
      <c r="L38" s="558">
        <v>7470</v>
      </c>
      <c r="M38" s="558">
        <f t="shared" si="1"/>
        <v>1867500</v>
      </c>
      <c r="N38" s="555"/>
      <c r="O38" s="554"/>
      <c r="P38" s="554">
        <f t="shared" si="2"/>
        <v>0</v>
      </c>
      <c r="Q38" s="554">
        <f t="shared" si="3"/>
        <v>1867500</v>
      </c>
      <c r="R38" s="553"/>
    </row>
    <row r="39" spans="1:21" s="562" customFormat="1" ht="15" x14ac:dyDescent="0.25">
      <c r="A39" s="568" t="s">
        <v>29</v>
      </c>
      <c r="B39" s="623"/>
      <c r="C39" s="620">
        <v>92</v>
      </c>
      <c r="D39" s="566"/>
      <c r="E39" s="87" t="s">
        <v>232</v>
      </c>
      <c r="F39" s="566">
        <v>51</v>
      </c>
      <c r="G39" s="566">
        <v>31</v>
      </c>
      <c r="H39" s="583">
        <f t="shared" si="0"/>
        <v>82</v>
      </c>
      <c r="I39" s="561">
        <v>4.08</v>
      </c>
      <c r="J39" s="560">
        <v>2.46</v>
      </c>
      <c r="K39" s="559">
        <f>(I39-J39)/I39</f>
        <v>0.3970588235294118</v>
      </c>
      <c r="L39" s="558">
        <v>7470</v>
      </c>
      <c r="M39" s="582">
        <f>SUM(H39*L39*K39)</f>
        <v>243214.4117647059</v>
      </c>
      <c r="N39" s="565"/>
      <c r="O39" s="565"/>
      <c r="P39" s="622"/>
      <c r="Q39" s="558">
        <f>SUM(M39,P39)</f>
        <v>243214.4117647059</v>
      </c>
      <c r="R39" s="564"/>
      <c r="S39" s="563"/>
      <c r="T39" s="477"/>
      <c r="U39" s="477"/>
    </row>
    <row r="40" spans="1:21" s="552" customFormat="1" ht="15.75" hidden="1" customHeight="1" x14ac:dyDescent="0.25">
      <c r="A40" s="88" t="s">
        <v>32</v>
      </c>
      <c r="B40" s="88"/>
      <c r="C40" s="592"/>
      <c r="D40" s="84"/>
      <c r="E40" s="84"/>
      <c r="F40" s="556"/>
      <c r="G40" s="556"/>
      <c r="H40" s="554">
        <f t="shared" si="0"/>
        <v>0</v>
      </c>
      <c r="I40" s="556"/>
      <c r="J40" s="556"/>
      <c r="K40" s="559"/>
      <c r="L40" s="84"/>
      <c r="M40" s="558">
        <f t="shared" ref="M40:M47" si="4">(H40*L40)*K40</f>
        <v>0</v>
      </c>
      <c r="N40" s="555"/>
      <c r="O40" s="554"/>
      <c r="P40" s="554">
        <f t="shared" ref="P40:P47" si="5">N40*1000*17</f>
        <v>0</v>
      </c>
      <c r="Q40" s="554">
        <f t="shared" ref="Q40:Q47" si="6">M40+P40</f>
        <v>0</v>
      </c>
      <c r="R40" s="553"/>
    </row>
    <row r="41" spans="1:21" s="552" customFormat="1" ht="15.75" hidden="1" customHeight="1" x14ac:dyDescent="0.25">
      <c r="A41" s="88" t="s">
        <v>271</v>
      </c>
      <c r="B41" s="88"/>
      <c r="C41" s="592"/>
      <c r="D41" s="84"/>
      <c r="E41" s="84"/>
      <c r="F41" s="556"/>
      <c r="G41" s="556"/>
      <c r="H41" s="554">
        <f t="shared" si="0"/>
        <v>0</v>
      </c>
      <c r="I41" s="556"/>
      <c r="J41" s="556"/>
      <c r="K41" s="559"/>
      <c r="L41" s="84"/>
      <c r="M41" s="558">
        <f t="shared" si="4"/>
        <v>0</v>
      </c>
      <c r="N41" s="555"/>
      <c r="O41" s="554"/>
      <c r="P41" s="554">
        <f t="shared" si="5"/>
        <v>0</v>
      </c>
      <c r="Q41" s="554">
        <f t="shared" si="6"/>
        <v>0</v>
      </c>
      <c r="R41" s="553"/>
    </row>
    <row r="42" spans="1:21" s="552" customFormat="1" ht="15.75" customHeight="1" x14ac:dyDescent="0.25">
      <c r="A42" s="88" t="s">
        <v>20</v>
      </c>
      <c r="B42" s="88"/>
      <c r="C42" s="592">
        <v>549</v>
      </c>
      <c r="D42" s="84"/>
      <c r="E42" s="84" t="s">
        <v>232</v>
      </c>
      <c r="F42" s="556">
        <v>379</v>
      </c>
      <c r="G42" s="556"/>
      <c r="H42" s="554">
        <f t="shared" si="0"/>
        <v>379</v>
      </c>
      <c r="I42" s="556">
        <v>4.08</v>
      </c>
      <c r="J42" s="560">
        <v>0</v>
      </c>
      <c r="K42" s="559">
        <f t="shared" ref="K42:K47" si="7">(I42-J42)/I42</f>
        <v>1</v>
      </c>
      <c r="L42" s="558">
        <v>7470</v>
      </c>
      <c r="M42" s="558">
        <f t="shared" si="4"/>
        <v>2831130</v>
      </c>
      <c r="N42" s="555"/>
      <c r="O42" s="554"/>
      <c r="P42" s="554">
        <f t="shared" si="5"/>
        <v>0</v>
      </c>
      <c r="Q42" s="554">
        <f t="shared" si="6"/>
        <v>2831130</v>
      </c>
      <c r="R42" s="553"/>
    </row>
    <row r="43" spans="1:21" s="552" customFormat="1" ht="15" x14ac:dyDescent="0.25">
      <c r="A43" s="585" t="s">
        <v>95</v>
      </c>
      <c r="B43" s="585"/>
      <c r="C43" s="620">
        <v>155.20000000000002</v>
      </c>
      <c r="D43" s="566"/>
      <c r="E43" s="87" t="s">
        <v>232</v>
      </c>
      <c r="F43" s="556">
        <v>194</v>
      </c>
      <c r="G43" s="556"/>
      <c r="H43" s="554">
        <f t="shared" si="0"/>
        <v>194</v>
      </c>
      <c r="I43" s="561">
        <v>4.08</v>
      </c>
      <c r="J43" s="560">
        <v>0</v>
      </c>
      <c r="K43" s="559">
        <f t="shared" si="7"/>
        <v>1</v>
      </c>
      <c r="L43" s="558">
        <v>7470</v>
      </c>
      <c r="M43" s="558">
        <f t="shared" si="4"/>
        <v>1449180</v>
      </c>
      <c r="N43" s="565"/>
      <c r="O43" s="565"/>
      <c r="P43" s="554">
        <f t="shared" si="5"/>
        <v>0</v>
      </c>
      <c r="Q43" s="554">
        <f t="shared" si="6"/>
        <v>1449180</v>
      </c>
      <c r="R43" s="564"/>
      <c r="S43" s="569"/>
      <c r="T43" s="311"/>
      <c r="U43" s="311"/>
    </row>
    <row r="44" spans="1:21" s="552" customFormat="1" ht="15.75" customHeight="1" x14ac:dyDescent="0.25">
      <c r="A44" s="88" t="s">
        <v>28</v>
      </c>
      <c r="B44" s="88"/>
      <c r="C44" s="592">
        <v>32</v>
      </c>
      <c r="D44" s="84"/>
      <c r="E44" s="84" t="s">
        <v>232</v>
      </c>
      <c r="F44" s="556">
        <v>25</v>
      </c>
      <c r="G44" s="556"/>
      <c r="H44" s="554">
        <f t="shared" si="0"/>
        <v>25</v>
      </c>
      <c r="I44" s="590">
        <v>4.08</v>
      </c>
      <c r="J44" s="560">
        <v>0</v>
      </c>
      <c r="K44" s="559">
        <f t="shared" si="7"/>
        <v>1</v>
      </c>
      <c r="L44" s="558">
        <v>7470</v>
      </c>
      <c r="M44" s="558">
        <f t="shared" si="4"/>
        <v>186750</v>
      </c>
      <c r="N44" s="555"/>
      <c r="O44" s="554"/>
      <c r="P44" s="554">
        <f t="shared" si="5"/>
        <v>0</v>
      </c>
      <c r="Q44" s="554">
        <f t="shared" si="6"/>
        <v>186750</v>
      </c>
      <c r="R44" s="553"/>
    </row>
    <row r="45" spans="1:21" s="562" customFormat="1" ht="15" x14ac:dyDescent="0.25">
      <c r="A45" s="568" t="s">
        <v>33</v>
      </c>
      <c r="B45" s="568"/>
      <c r="C45" s="620">
        <v>360</v>
      </c>
      <c r="D45" s="566"/>
      <c r="E45" s="87" t="s">
        <v>232</v>
      </c>
      <c r="F45" s="556">
        <v>450</v>
      </c>
      <c r="G45" s="556"/>
      <c r="H45" s="554">
        <f t="shared" si="0"/>
        <v>450</v>
      </c>
      <c r="I45" s="561">
        <v>4.08</v>
      </c>
      <c r="J45" s="560">
        <v>0</v>
      </c>
      <c r="K45" s="559">
        <f t="shared" si="7"/>
        <v>1</v>
      </c>
      <c r="L45" s="558">
        <v>7470</v>
      </c>
      <c r="M45" s="558">
        <f t="shared" si="4"/>
        <v>3361500</v>
      </c>
      <c r="N45" s="565"/>
      <c r="O45" s="565"/>
      <c r="P45" s="554">
        <f t="shared" si="5"/>
        <v>0</v>
      </c>
      <c r="Q45" s="554">
        <f t="shared" si="6"/>
        <v>3361500</v>
      </c>
      <c r="R45" s="564"/>
      <c r="S45" s="621"/>
      <c r="T45" s="477"/>
      <c r="U45" s="477"/>
    </row>
    <row r="46" spans="1:21" s="552" customFormat="1" ht="15.75" customHeight="1" x14ac:dyDescent="0.25">
      <c r="A46" s="88" t="s">
        <v>9</v>
      </c>
      <c r="B46" s="88"/>
      <c r="C46" s="592">
        <v>50</v>
      </c>
      <c r="D46" s="84"/>
      <c r="E46" s="84" t="s">
        <v>232</v>
      </c>
      <c r="F46" s="556">
        <v>55</v>
      </c>
      <c r="G46" s="556"/>
      <c r="H46" s="554">
        <f t="shared" si="0"/>
        <v>55</v>
      </c>
      <c r="I46" s="556">
        <v>4.08</v>
      </c>
      <c r="J46" s="560">
        <v>0</v>
      </c>
      <c r="K46" s="559">
        <f t="shared" si="7"/>
        <v>1</v>
      </c>
      <c r="L46" s="558">
        <v>7470</v>
      </c>
      <c r="M46" s="558">
        <f t="shared" si="4"/>
        <v>410850</v>
      </c>
      <c r="N46" s="555"/>
      <c r="O46" s="554"/>
      <c r="P46" s="554">
        <f t="shared" si="5"/>
        <v>0</v>
      </c>
      <c r="Q46" s="554">
        <f t="shared" si="6"/>
        <v>410850</v>
      </c>
      <c r="R46" s="553"/>
    </row>
    <row r="47" spans="1:21" s="552" customFormat="1" ht="15.75" customHeight="1" x14ac:dyDescent="0.25">
      <c r="A47" s="88" t="s">
        <v>307</v>
      </c>
      <c r="B47" s="88"/>
      <c r="C47" s="592">
        <v>47</v>
      </c>
      <c r="D47" s="84"/>
      <c r="E47" s="84" t="s">
        <v>232</v>
      </c>
      <c r="F47" s="556">
        <v>51</v>
      </c>
      <c r="G47" s="556"/>
      <c r="H47" s="554">
        <f t="shared" si="0"/>
        <v>51</v>
      </c>
      <c r="I47" s="556">
        <v>4.08</v>
      </c>
      <c r="J47" s="560">
        <v>0</v>
      </c>
      <c r="K47" s="559">
        <f t="shared" si="7"/>
        <v>1</v>
      </c>
      <c r="L47" s="558">
        <v>7470</v>
      </c>
      <c r="M47" s="558">
        <f t="shared" si="4"/>
        <v>380970</v>
      </c>
      <c r="N47" s="555"/>
      <c r="O47" s="554"/>
      <c r="P47" s="554">
        <f t="shared" si="5"/>
        <v>0</v>
      </c>
      <c r="Q47" s="554">
        <f t="shared" si="6"/>
        <v>380970</v>
      </c>
      <c r="R47" s="553"/>
    </row>
    <row r="48" spans="1:21" s="665" customFormat="1" ht="15.75" customHeight="1" x14ac:dyDescent="0.25">
      <c r="A48" s="660" t="s">
        <v>18</v>
      </c>
      <c r="B48" s="660"/>
      <c r="C48" s="661">
        <v>210</v>
      </c>
      <c r="D48" s="661">
        <v>0</v>
      </c>
      <c r="E48" s="661">
        <v>0</v>
      </c>
      <c r="F48" s="661">
        <v>100</v>
      </c>
      <c r="G48" s="661">
        <v>100</v>
      </c>
      <c r="H48" s="661">
        <v>200</v>
      </c>
      <c r="I48" s="661">
        <v>8.16</v>
      </c>
      <c r="J48" s="661">
        <v>2.0499999999999998</v>
      </c>
      <c r="K48" s="661">
        <v>1.4975490196078431</v>
      </c>
      <c r="L48" s="661">
        <v>40934</v>
      </c>
      <c r="M48" s="661">
        <v>3718069.1176470588</v>
      </c>
      <c r="N48" s="661">
        <v>0</v>
      </c>
      <c r="O48" s="661">
        <v>0</v>
      </c>
      <c r="P48" s="661">
        <v>0</v>
      </c>
      <c r="Q48" s="661">
        <v>3718069.1176470588</v>
      </c>
      <c r="R48" s="664"/>
    </row>
    <row r="49" spans="1:21" s="65" customFormat="1" ht="15.75" customHeight="1" x14ac:dyDescent="0.25">
      <c r="A49" s="88" t="s">
        <v>105</v>
      </c>
      <c r="B49" s="88"/>
      <c r="C49" s="592">
        <v>385</v>
      </c>
      <c r="D49" s="84"/>
      <c r="E49" s="84" t="s">
        <v>232</v>
      </c>
      <c r="F49" s="556">
        <v>426</v>
      </c>
      <c r="G49" s="556"/>
      <c r="H49" s="554">
        <f t="shared" ref="H49:H54" si="8">F49+G49</f>
        <v>426</v>
      </c>
      <c r="I49" s="590">
        <v>4.08</v>
      </c>
      <c r="J49" s="560">
        <v>0</v>
      </c>
      <c r="K49" s="559">
        <f>(I49-J49)/I49</f>
        <v>1</v>
      </c>
      <c r="L49" s="558">
        <v>7470</v>
      </c>
      <c r="M49" s="558">
        <f t="shared" ref="M49:M54" si="9">(H49*L49)*K49</f>
        <v>3182220</v>
      </c>
      <c r="N49" s="555"/>
      <c r="O49" s="589"/>
      <c r="P49" s="554">
        <f t="shared" ref="P49:P54" si="10">N49*1000*17</f>
        <v>0</v>
      </c>
      <c r="Q49" s="589">
        <f t="shared" ref="Q49:Q54" si="11">M49+P49</f>
        <v>3182220</v>
      </c>
      <c r="R49" s="591"/>
    </row>
    <row r="50" spans="1:21" s="552" customFormat="1" ht="15.75" hidden="1" customHeight="1" x14ac:dyDescent="0.25">
      <c r="A50" s="88" t="s">
        <v>23</v>
      </c>
      <c r="B50" s="88"/>
      <c r="C50" s="592"/>
      <c r="D50" s="84"/>
      <c r="E50" s="84"/>
      <c r="F50" s="556"/>
      <c r="G50" s="556"/>
      <c r="H50" s="554">
        <f t="shared" si="8"/>
        <v>0</v>
      </c>
      <c r="I50" s="556"/>
      <c r="J50" s="556"/>
      <c r="K50" s="559"/>
      <c r="L50" s="84"/>
      <c r="M50" s="558">
        <f t="shared" si="9"/>
        <v>0</v>
      </c>
      <c r="N50" s="555"/>
      <c r="O50" s="554"/>
      <c r="P50" s="554">
        <f t="shared" si="10"/>
        <v>0</v>
      </c>
      <c r="Q50" s="554">
        <f t="shared" si="11"/>
        <v>0</v>
      </c>
      <c r="R50" s="553"/>
    </row>
    <row r="51" spans="1:21" s="65" customFormat="1" ht="15.75" customHeight="1" x14ac:dyDescent="0.25">
      <c r="A51" s="88" t="s">
        <v>24</v>
      </c>
      <c r="B51" s="88"/>
      <c r="C51" s="592">
        <v>730</v>
      </c>
      <c r="D51" s="84"/>
      <c r="E51" s="84" t="s">
        <v>232</v>
      </c>
      <c r="F51" s="556">
        <v>1875</v>
      </c>
      <c r="G51" s="556"/>
      <c r="H51" s="554">
        <f t="shared" si="8"/>
        <v>1875</v>
      </c>
      <c r="I51" s="590">
        <v>4.08</v>
      </c>
      <c r="J51" s="560">
        <v>0</v>
      </c>
      <c r="K51" s="559">
        <f>(I51-J51)/I51</f>
        <v>1</v>
      </c>
      <c r="L51" s="558">
        <v>7470</v>
      </c>
      <c r="M51" s="558">
        <f t="shared" si="9"/>
        <v>14006250</v>
      </c>
      <c r="N51" s="555"/>
      <c r="O51" s="589"/>
      <c r="P51" s="554">
        <f t="shared" si="10"/>
        <v>0</v>
      </c>
      <c r="Q51" s="589">
        <f t="shared" si="11"/>
        <v>14006250</v>
      </c>
      <c r="R51" s="591"/>
    </row>
    <row r="52" spans="1:21" s="552" customFormat="1" ht="15.75" customHeight="1" x14ac:dyDescent="0.25">
      <c r="A52" s="88" t="s">
        <v>270</v>
      </c>
      <c r="B52" s="88"/>
      <c r="C52" s="592">
        <v>121</v>
      </c>
      <c r="D52" s="84"/>
      <c r="E52" s="87" t="s">
        <v>127</v>
      </c>
      <c r="F52" s="556">
        <v>102</v>
      </c>
      <c r="G52" s="556"/>
      <c r="H52" s="554">
        <f t="shared" si="8"/>
        <v>102</v>
      </c>
      <c r="I52" s="556">
        <v>4.08</v>
      </c>
      <c r="J52" s="560">
        <v>0</v>
      </c>
      <c r="K52" s="559">
        <f>(I52-J52)/I52</f>
        <v>1</v>
      </c>
      <c r="L52" s="558">
        <v>33464</v>
      </c>
      <c r="M52" s="558">
        <f t="shared" si="9"/>
        <v>3413328</v>
      </c>
      <c r="N52" s="555"/>
      <c r="O52" s="554"/>
      <c r="P52" s="554">
        <f t="shared" si="10"/>
        <v>0</v>
      </c>
      <c r="Q52" s="554">
        <f t="shared" si="11"/>
        <v>3413328</v>
      </c>
      <c r="R52" s="553"/>
    </row>
    <row r="53" spans="1:21" s="552" customFormat="1" ht="15.75" hidden="1" customHeight="1" x14ac:dyDescent="0.25">
      <c r="A53" s="88" t="s">
        <v>306</v>
      </c>
      <c r="B53" s="88"/>
      <c r="C53" s="592"/>
      <c r="D53" s="84"/>
      <c r="E53" s="84"/>
      <c r="F53" s="556"/>
      <c r="G53" s="556"/>
      <c r="H53" s="554">
        <f t="shared" si="8"/>
        <v>0</v>
      </c>
      <c r="I53" s="556"/>
      <c r="J53" s="556"/>
      <c r="K53" s="559"/>
      <c r="L53" s="84"/>
      <c r="M53" s="558">
        <f t="shared" si="9"/>
        <v>0</v>
      </c>
      <c r="N53" s="555"/>
      <c r="O53" s="554"/>
      <c r="P53" s="554">
        <f t="shared" si="10"/>
        <v>0</v>
      </c>
      <c r="Q53" s="554">
        <f t="shared" si="11"/>
        <v>0</v>
      </c>
      <c r="R53" s="553"/>
    </row>
    <row r="54" spans="1:21" s="552" customFormat="1" ht="15.75" hidden="1" customHeight="1" x14ac:dyDescent="0.25">
      <c r="A54" s="88" t="s">
        <v>1</v>
      </c>
      <c r="B54" s="88"/>
      <c r="C54" s="592"/>
      <c r="D54" s="84"/>
      <c r="E54" s="84"/>
      <c r="F54" s="556"/>
      <c r="G54" s="556"/>
      <c r="H54" s="554">
        <f t="shared" si="8"/>
        <v>0</v>
      </c>
      <c r="I54" s="556"/>
      <c r="J54" s="556"/>
      <c r="K54" s="559"/>
      <c r="L54" s="84"/>
      <c r="M54" s="558">
        <f t="shared" si="9"/>
        <v>0</v>
      </c>
      <c r="N54" s="555"/>
      <c r="O54" s="554"/>
      <c r="P54" s="554">
        <f t="shared" si="10"/>
        <v>0</v>
      </c>
      <c r="Q54" s="554">
        <f t="shared" si="11"/>
        <v>0</v>
      </c>
      <c r="R54" s="553"/>
    </row>
    <row r="55" spans="1:21" s="665" customFormat="1" ht="15.75" customHeight="1" x14ac:dyDescent="0.25">
      <c r="A55" s="660" t="s">
        <v>11</v>
      </c>
      <c r="B55" s="660"/>
      <c r="C55" s="661">
        <v>79</v>
      </c>
      <c r="D55" s="661">
        <v>0</v>
      </c>
      <c r="E55" s="661">
        <v>0</v>
      </c>
      <c r="F55" s="661">
        <v>85</v>
      </c>
      <c r="G55" s="661">
        <v>0</v>
      </c>
      <c r="H55" s="661">
        <v>85</v>
      </c>
      <c r="I55" s="661">
        <v>8.16</v>
      </c>
      <c r="J55" s="661">
        <v>4.0999999999999996</v>
      </c>
      <c r="K55" s="661">
        <v>0.9950980392156864</v>
      </c>
      <c r="L55" s="661">
        <v>66928</v>
      </c>
      <c r="M55" s="661">
        <v>1415248.3333333335</v>
      </c>
      <c r="N55" s="661">
        <v>0</v>
      </c>
      <c r="O55" s="661">
        <v>0</v>
      </c>
      <c r="P55" s="661">
        <v>0</v>
      </c>
      <c r="Q55" s="661">
        <v>1415248.3333333335</v>
      </c>
      <c r="R55" s="664"/>
    </row>
    <row r="56" spans="1:21" s="552" customFormat="1" ht="15.75" customHeight="1" x14ac:dyDescent="0.25">
      <c r="A56" s="88" t="s">
        <v>269</v>
      </c>
      <c r="B56" s="88"/>
      <c r="C56" s="592">
        <v>175</v>
      </c>
      <c r="D56" s="84"/>
      <c r="E56" s="84" t="s">
        <v>232</v>
      </c>
      <c r="F56" s="556">
        <v>169</v>
      </c>
      <c r="G56" s="556"/>
      <c r="H56" s="554">
        <f>F56+G56</f>
        <v>169</v>
      </c>
      <c r="I56" s="556"/>
      <c r="J56" s="556"/>
      <c r="K56" s="559"/>
      <c r="L56" s="84"/>
      <c r="M56" s="558">
        <f>(H56*L56)*K56</f>
        <v>0</v>
      </c>
      <c r="N56" s="555"/>
      <c r="O56" s="554"/>
      <c r="P56" s="554">
        <f>N56*1000*17</f>
        <v>0</v>
      </c>
      <c r="Q56" s="554">
        <f>M56+P56</f>
        <v>0</v>
      </c>
      <c r="R56" s="553"/>
    </row>
    <row r="57" spans="1:21" s="665" customFormat="1" ht="15.75" customHeight="1" x14ac:dyDescent="0.25">
      <c r="A57" s="660" t="s">
        <v>305</v>
      </c>
      <c r="B57" s="660"/>
      <c r="C57" s="661">
        <v>540</v>
      </c>
      <c r="D57" s="661">
        <v>0</v>
      </c>
      <c r="E57" s="661">
        <v>0</v>
      </c>
      <c r="F57" s="661">
        <v>487</v>
      </c>
      <c r="G57" s="661">
        <v>191</v>
      </c>
      <c r="H57" s="661">
        <v>678</v>
      </c>
      <c r="I57" s="661">
        <v>8.16</v>
      </c>
      <c r="J57" s="661">
        <v>1.22</v>
      </c>
      <c r="K57" s="661">
        <v>1.7009803921568629</v>
      </c>
      <c r="L57" s="661">
        <v>14940</v>
      </c>
      <c r="M57" s="661">
        <v>4638027.7941176472</v>
      </c>
      <c r="N57" s="661">
        <v>0</v>
      </c>
      <c r="O57" s="661">
        <v>0</v>
      </c>
      <c r="P57" s="661">
        <v>0</v>
      </c>
      <c r="Q57" s="661">
        <v>4638027.7941176472</v>
      </c>
      <c r="R57" s="664"/>
    </row>
    <row r="58" spans="1:21" s="659" customFormat="1" ht="15" x14ac:dyDescent="0.25">
      <c r="A58" s="666" t="s">
        <v>304</v>
      </c>
      <c r="B58" s="666"/>
      <c r="C58" s="651">
        <v>30</v>
      </c>
      <c r="D58" s="651">
        <v>0</v>
      </c>
      <c r="E58" s="651">
        <v>0</v>
      </c>
      <c r="F58" s="651">
        <v>23</v>
      </c>
      <c r="G58" s="651">
        <v>0</v>
      </c>
      <c r="H58" s="651">
        <v>23</v>
      </c>
      <c r="I58" s="651">
        <v>8.16</v>
      </c>
      <c r="J58" s="651">
        <v>0</v>
      </c>
      <c r="K58" s="651">
        <v>2</v>
      </c>
      <c r="L58" s="651">
        <v>40934</v>
      </c>
      <c r="M58" s="651">
        <v>639702</v>
      </c>
      <c r="N58" s="651">
        <v>0</v>
      </c>
      <c r="O58" s="651">
        <v>0</v>
      </c>
      <c r="P58" s="651">
        <v>0</v>
      </c>
      <c r="Q58" s="651">
        <v>639702</v>
      </c>
      <c r="R58" s="657"/>
      <c r="S58" s="658"/>
      <c r="T58" s="525"/>
      <c r="U58" s="525"/>
    </row>
    <row r="59" spans="1:21" s="65" customFormat="1" ht="15.75" customHeight="1" x14ac:dyDescent="0.25">
      <c r="A59" s="88" t="s">
        <v>268</v>
      </c>
      <c r="B59" s="88"/>
      <c r="C59" s="592">
        <v>738</v>
      </c>
      <c r="D59" s="84"/>
      <c r="E59" s="84" t="s">
        <v>232</v>
      </c>
      <c r="F59" s="556">
        <v>481</v>
      </c>
      <c r="G59" s="556"/>
      <c r="H59" s="554">
        <f>F59+G59</f>
        <v>481</v>
      </c>
      <c r="I59" s="556">
        <v>4.08</v>
      </c>
      <c r="J59" s="560">
        <f>I59*0</f>
        <v>0</v>
      </c>
      <c r="K59" s="559">
        <f>(I59-J59)/I59</f>
        <v>1</v>
      </c>
      <c r="L59" s="558">
        <v>7470</v>
      </c>
      <c r="M59" s="558">
        <f>(H59*L59)*K59</f>
        <v>3593070</v>
      </c>
      <c r="N59" s="555"/>
      <c r="O59" s="589"/>
      <c r="P59" s="554">
        <f>N59*1000*17</f>
        <v>0</v>
      </c>
      <c r="Q59" s="589">
        <f>M59+P59</f>
        <v>3593070</v>
      </c>
      <c r="R59" s="591"/>
    </row>
    <row r="60" spans="1:21" s="552" customFormat="1" ht="15.75" customHeight="1" x14ac:dyDescent="0.25">
      <c r="A60" s="88" t="s">
        <v>303</v>
      </c>
      <c r="B60" s="88"/>
      <c r="C60" s="592">
        <v>18</v>
      </c>
      <c r="D60" s="84"/>
      <c r="E60" s="84" t="s">
        <v>232</v>
      </c>
      <c r="F60" s="556">
        <v>15</v>
      </c>
      <c r="G60" s="556"/>
      <c r="H60" s="554">
        <f>F60+G60</f>
        <v>15</v>
      </c>
      <c r="I60" s="556">
        <v>4.08</v>
      </c>
      <c r="J60" s="560">
        <v>0</v>
      </c>
      <c r="K60" s="559">
        <f>(I60-J60)/I60</f>
        <v>1</v>
      </c>
      <c r="L60" s="558">
        <v>7470</v>
      </c>
      <c r="M60" s="558">
        <f>(H60*L60)*K60</f>
        <v>112050</v>
      </c>
      <c r="N60" s="555"/>
      <c r="O60" s="554"/>
      <c r="P60" s="554">
        <f>N60*1000*17</f>
        <v>0</v>
      </c>
      <c r="Q60" s="554">
        <f>M60+P60</f>
        <v>112050</v>
      </c>
      <c r="R60" s="553"/>
    </row>
    <row r="61" spans="1:21" s="552" customFormat="1" ht="15.75" hidden="1" customHeight="1" x14ac:dyDescent="0.25">
      <c r="A61" s="88" t="s">
        <v>302</v>
      </c>
      <c r="B61" s="88"/>
      <c r="C61" s="592"/>
      <c r="D61" s="84"/>
      <c r="E61" s="84"/>
      <c r="F61" s="556"/>
      <c r="G61" s="556"/>
      <c r="H61" s="554">
        <f>F61+G61</f>
        <v>0</v>
      </c>
      <c r="I61" s="556"/>
      <c r="J61" s="556"/>
      <c r="K61" s="559"/>
      <c r="L61" s="84"/>
      <c r="M61" s="558">
        <f>(H61*L61)*K61</f>
        <v>0</v>
      </c>
      <c r="N61" s="555"/>
      <c r="O61" s="554"/>
      <c r="P61" s="554">
        <f>N61*1000*17</f>
        <v>0</v>
      </c>
      <c r="Q61" s="554">
        <f>M61+P61</f>
        <v>0</v>
      </c>
      <c r="R61" s="553"/>
    </row>
    <row r="62" spans="1:21" s="552" customFormat="1" ht="15.75" customHeight="1" x14ac:dyDescent="0.25">
      <c r="A62" s="224"/>
      <c r="B62" s="224"/>
      <c r="C62" s="592"/>
      <c r="D62" s="84"/>
      <c r="E62" s="84"/>
      <c r="F62" s="556"/>
      <c r="G62" s="556"/>
      <c r="H62" s="556"/>
      <c r="I62" s="619"/>
      <c r="J62" s="556"/>
      <c r="K62" s="556"/>
      <c r="L62" s="84"/>
      <c r="M62" s="84"/>
      <c r="N62" s="555"/>
      <c r="O62" s="554"/>
      <c r="P62" s="554"/>
      <c r="Q62" s="554">
        <f>P62+M62</f>
        <v>0</v>
      </c>
      <c r="R62" s="553"/>
    </row>
    <row r="63" spans="1:21" s="573" customFormat="1" ht="16.5" x14ac:dyDescent="0.25">
      <c r="A63" s="579" t="s">
        <v>49</v>
      </c>
      <c r="B63" s="579"/>
      <c r="C63" s="597">
        <f>SUM(C64:C72)</f>
        <v>4768</v>
      </c>
      <c r="D63" s="576"/>
      <c r="E63" s="576"/>
      <c r="F63" s="578">
        <f>SUM(F64:F72)</f>
        <v>3652</v>
      </c>
      <c r="G63" s="578">
        <f>SUM(G64:G72)</f>
        <v>0</v>
      </c>
      <c r="H63" s="578">
        <f>SUM(H64:H72)</f>
        <v>3652</v>
      </c>
      <c r="I63" s="578"/>
      <c r="J63" s="578"/>
      <c r="K63" s="577"/>
      <c r="L63" s="576">
        <f>SUM(L64:L72)</f>
        <v>78284</v>
      </c>
      <c r="M63" s="576">
        <f>SUM(M64:M72)</f>
        <v>24140644</v>
      </c>
      <c r="N63" s="576">
        <f>SUM(N64:N72)</f>
        <v>1934.79</v>
      </c>
      <c r="O63" s="576">
        <f>AVERAGE(O64:O72)</f>
        <v>17</v>
      </c>
      <c r="P63" s="576">
        <f>SUM(P64:P72)</f>
        <v>32891430</v>
      </c>
      <c r="Q63" s="575">
        <f>P63+M63</f>
        <v>57032074</v>
      </c>
      <c r="R63" s="574"/>
    </row>
    <row r="64" spans="1:21" s="65" customFormat="1" ht="74.099999999999994" customHeight="1" x14ac:dyDescent="0.25">
      <c r="A64" s="88" t="s">
        <v>50</v>
      </c>
      <c r="B64" s="88"/>
      <c r="C64" s="618">
        <v>834</v>
      </c>
      <c r="D64" s="84"/>
      <c r="E64" s="84" t="s">
        <v>232</v>
      </c>
      <c r="F64" s="618">
        <v>744</v>
      </c>
      <c r="G64" s="556"/>
      <c r="H64" s="554">
        <f>F64+G64</f>
        <v>744</v>
      </c>
      <c r="I64" s="617">
        <v>4.51</v>
      </c>
      <c r="J64" s="616">
        <v>0</v>
      </c>
      <c r="K64" s="80">
        <f t="shared" ref="K64:K69" si="12">(I64-J64)/I64</f>
        <v>1</v>
      </c>
      <c r="L64" s="580">
        <v>7470</v>
      </c>
      <c r="M64" s="558">
        <f t="shared" ref="M64:M69" si="13">(H64*L64)*K64</f>
        <v>5557680</v>
      </c>
      <c r="N64" s="555"/>
      <c r="O64" s="589"/>
      <c r="P64" s="554">
        <f t="shared" ref="P64:P69" si="14">N64*1000*17</f>
        <v>0</v>
      </c>
      <c r="Q64" s="589">
        <f t="shared" ref="Q64:Q69" si="15">M64+P64</f>
        <v>5557680</v>
      </c>
      <c r="R64" s="88" t="s">
        <v>301</v>
      </c>
    </row>
    <row r="65" spans="1:21" s="552" customFormat="1" ht="120" x14ac:dyDescent="0.25">
      <c r="A65" s="585" t="s">
        <v>51</v>
      </c>
      <c r="B65" s="87"/>
      <c r="C65" s="613">
        <v>1093</v>
      </c>
      <c r="D65" s="612"/>
      <c r="E65" s="611" t="s">
        <v>232</v>
      </c>
      <c r="F65" s="610">
        <v>522</v>
      </c>
      <c r="G65" s="609"/>
      <c r="H65" s="583">
        <f>SUM(F65:G65)</f>
        <v>522</v>
      </c>
      <c r="I65" s="608">
        <v>4.51</v>
      </c>
      <c r="J65" s="616">
        <v>0</v>
      </c>
      <c r="K65" s="559">
        <f t="shared" si="12"/>
        <v>1</v>
      </c>
      <c r="L65" s="580">
        <v>7470</v>
      </c>
      <c r="M65" s="558">
        <f t="shared" si="13"/>
        <v>3899340</v>
      </c>
      <c r="N65" s="612"/>
      <c r="O65" s="603"/>
      <c r="P65" s="554">
        <f t="shared" si="14"/>
        <v>0</v>
      </c>
      <c r="Q65" s="554">
        <f t="shared" si="15"/>
        <v>3899340</v>
      </c>
      <c r="R65" s="564" t="s">
        <v>300</v>
      </c>
      <c r="S65" s="615"/>
      <c r="T65" s="311"/>
      <c r="U65" s="311"/>
    </row>
    <row r="66" spans="1:21" s="552" customFormat="1" ht="15.75" x14ac:dyDescent="0.25">
      <c r="A66" s="585" t="s">
        <v>52</v>
      </c>
      <c r="B66" s="87"/>
      <c r="C66" s="613">
        <v>38</v>
      </c>
      <c r="D66" s="612"/>
      <c r="E66" s="611" t="s">
        <v>232</v>
      </c>
      <c r="F66" s="610">
        <v>25</v>
      </c>
      <c r="G66" s="609"/>
      <c r="H66" s="583">
        <f>SUM(F66:G66)</f>
        <v>25</v>
      </c>
      <c r="I66" s="608">
        <v>4.51</v>
      </c>
      <c r="J66" s="560">
        <v>0</v>
      </c>
      <c r="K66" s="559">
        <f t="shared" si="12"/>
        <v>1</v>
      </c>
      <c r="L66" s="614">
        <v>7470</v>
      </c>
      <c r="M66" s="558">
        <f t="shared" si="13"/>
        <v>186750</v>
      </c>
      <c r="N66" s="604"/>
      <c r="O66" s="603"/>
      <c r="P66" s="554">
        <f t="shared" si="14"/>
        <v>0</v>
      </c>
      <c r="Q66" s="554">
        <f t="shared" si="15"/>
        <v>186750</v>
      </c>
      <c r="R66" s="607"/>
      <c r="S66" s="569"/>
      <c r="T66" s="311"/>
      <c r="U66" s="311"/>
    </row>
    <row r="67" spans="1:21" s="552" customFormat="1" ht="45" x14ac:dyDescent="0.25">
      <c r="A67" s="585" t="s">
        <v>53</v>
      </c>
      <c r="B67" s="87"/>
      <c r="C67" s="613">
        <v>900</v>
      </c>
      <c r="D67" s="612"/>
      <c r="E67" s="611" t="s">
        <v>232</v>
      </c>
      <c r="F67" s="610">
        <v>500</v>
      </c>
      <c r="G67" s="609"/>
      <c r="H67" s="583">
        <f>SUM(F67:G67)</f>
        <v>500</v>
      </c>
      <c r="I67" s="608">
        <v>4.51</v>
      </c>
      <c r="J67" s="560">
        <v>0</v>
      </c>
      <c r="K67" s="559">
        <f t="shared" si="12"/>
        <v>1</v>
      </c>
      <c r="L67" s="580">
        <v>7470</v>
      </c>
      <c r="M67" s="558">
        <f t="shared" si="13"/>
        <v>3735000</v>
      </c>
      <c r="N67" s="612"/>
      <c r="O67" s="603"/>
      <c r="P67" s="554">
        <f t="shared" si="14"/>
        <v>0</v>
      </c>
      <c r="Q67" s="554">
        <f t="shared" si="15"/>
        <v>3735000</v>
      </c>
      <c r="R67" s="564" t="s">
        <v>299</v>
      </c>
      <c r="S67" s="569"/>
      <c r="T67" s="311"/>
      <c r="U67" s="311"/>
    </row>
    <row r="68" spans="1:21" s="552" customFormat="1" ht="15.75" x14ac:dyDescent="0.25">
      <c r="A68" s="585" t="s">
        <v>54</v>
      </c>
      <c r="B68" s="87"/>
      <c r="C68" s="613">
        <v>33</v>
      </c>
      <c r="D68" s="609"/>
      <c r="E68" s="611" t="s">
        <v>232</v>
      </c>
      <c r="F68" s="610">
        <v>15</v>
      </c>
      <c r="G68" s="609"/>
      <c r="H68" s="583">
        <f>SUM(F68:G68)</f>
        <v>15</v>
      </c>
      <c r="I68" s="608">
        <v>4.51</v>
      </c>
      <c r="J68" s="560">
        <v>0</v>
      </c>
      <c r="K68" s="559">
        <f t="shared" si="12"/>
        <v>1</v>
      </c>
      <c r="L68" s="580">
        <v>7470</v>
      </c>
      <c r="M68" s="558">
        <f t="shared" si="13"/>
        <v>112050</v>
      </c>
      <c r="N68" s="612"/>
      <c r="O68" s="603"/>
      <c r="P68" s="554">
        <f t="shared" si="14"/>
        <v>0</v>
      </c>
      <c r="Q68" s="554">
        <f t="shared" si="15"/>
        <v>112050</v>
      </c>
      <c r="R68" s="607"/>
      <c r="S68" s="569"/>
      <c r="T68" s="311"/>
      <c r="U68" s="311"/>
    </row>
    <row r="69" spans="1:21" s="552" customFormat="1" ht="15.75" x14ac:dyDescent="0.25">
      <c r="A69" s="585" t="s">
        <v>55</v>
      </c>
      <c r="B69" s="87"/>
      <c r="C69" s="613">
        <v>20</v>
      </c>
      <c r="D69" s="612"/>
      <c r="E69" s="611" t="s">
        <v>127</v>
      </c>
      <c r="F69" s="610">
        <v>7</v>
      </c>
      <c r="G69" s="610"/>
      <c r="H69" s="583">
        <f>SUM(F69:G69)</f>
        <v>7</v>
      </c>
      <c r="I69" s="608">
        <v>4.51</v>
      </c>
      <c r="J69" s="560">
        <f>I69*0.5</f>
        <v>2.2549999999999999</v>
      </c>
      <c r="K69" s="559">
        <f t="shared" si="12"/>
        <v>0.5</v>
      </c>
      <c r="L69" s="558">
        <v>33464</v>
      </c>
      <c r="M69" s="558">
        <f t="shared" si="13"/>
        <v>117124</v>
      </c>
      <c r="N69" s="612"/>
      <c r="O69" s="603"/>
      <c r="P69" s="554">
        <f t="shared" si="14"/>
        <v>0</v>
      </c>
      <c r="Q69" s="554">
        <f t="shared" si="15"/>
        <v>117124</v>
      </c>
      <c r="R69" s="607"/>
      <c r="S69" s="569"/>
      <c r="T69" s="311"/>
      <c r="U69" s="311"/>
    </row>
    <row r="70" spans="1:21" s="552" customFormat="1" ht="15" x14ac:dyDescent="0.25">
      <c r="A70" s="585" t="s">
        <v>56</v>
      </c>
      <c r="B70" s="87"/>
      <c r="C70" s="613">
        <v>1850</v>
      </c>
      <c r="D70" s="613">
        <v>0</v>
      </c>
      <c r="E70" s="613">
        <v>0</v>
      </c>
      <c r="F70" s="613">
        <v>1839</v>
      </c>
      <c r="G70" s="613">
        <v>0</v>
      </c>
      <c r="H70" s="613">
        <v>1839</v>
      </c>
      <c r="I70" s="613">
        <v>9.02</v>
      </c>
      <c r="J70" s="613">
        <v>0</v>
      </c>
      <c r="K70" s="613">
        <v>2</v>
      </c>
      <c r="L70" s="613">
        <v>7470</v>
      </c>
      <c r="M70" s="613">
        <v>10532700</v>
      </c>
      <c r="N70" s="613">
        <v>1934.79</v>
      </c>
      <c r="O70" s="613">
        <v>17</v>
      </c>
      <c r="P70" s="613">
        <v>32891430</v>
      </c>
      <c r="Q70" s="613">
        <v>43424130</v>
      </c>
      <c r="R70" s="607"/>
      <c r="S70" s="569"/>
      <c r="T70" s="311"/>
      <c r="U70" s="311"/>
    </row>
    <row r="71" spans="1:21" s="552" customFormat="1" ht="15.75" hidden="1" customHeight="1" x14ac:dyDescent="0.25">
      <c r="A71" s="88" t="s">
        <v>298</v>
      </c>
      <c r="B71" s="88"/>
      <c r="C71" s="556"/>
      <c r="D71" s="84"/>
      <c r="E71" s="84"/>
      <c r="F71" s="556"/>
      <c r="G71" s="556"/>
      <c r="H71" s="554">
        <f>F71+G71</f>
        <v>0</v>
      </c>
      <c r="I71" s="556"/>
      <c r="J71" s="556"/>
      <c r="K71" s="559"/>
      <c r="L71" s="84"/>
      <c r="M71" s="558">
        <f>(H71*L71)*K71</f>
        <v>0</v>
      </c>
      <c r="N71" s="555"/>
      <c r="O71" s="554"/>
      <c r="P71" s="554">
        <f>N71*1000*17</f>
        <v>0</v>
      </c>
      <c r="Q71" s="554">
        <f>M71+P71</f>
        <v>0</v>
      </c>
      <c r="R71" s="553"/>
    </row>
    <row r="72" spans="1:21" s="598" customFormat="1" ht="15" x14ac:dyDescent="0.25">
      <c r="A72" s="141"/>
      <c r="B72" s="141"/>
      <c r="C72" s="602"/>
      <c r="D72" s="140"/>
      <c r="E72" s="140"/>
      <c r="F72" s="602"/>
      <c r="G72" s="602"/>
      <c r="H72" s="602"/>
      <c r="I72" s="557"/>
      <c r="J72" s="556"/>
      <c r="K72" s="601"/>
      <c r="L72" s="140"/>
      <c r="M72" s="140"/>
      <c r="N72" s="600"/>
      <c r="O72" s="76"/>
      <c r="P72" s="76"/>
      <c r="Q72" s="554"/>
      <c r="R72" s="599"/>
    </row>
    <row r="73" spans="1:21" s="573" customFormat="1" ht="16.5" x14ac:dyDescent="0.25">
      <c r="A73" s="579" t="s">
        <v>34</v>
      </c>
      <c r="B73" s="579"/>
      <c r="C73" s="578">
        <f>SUM(C74:C93)</f>
        <v>65</v>
      </c>
      <c r="D73" s="576"/>
      <c r="E73" s="576"/>
      <c r="F73" s="578">
        <f>SUM(F74:F93)</f>
        <v>123</v>
      </c>
      <c r="G73" s="578">
        <f>SUM(G74:G93)</f>
        <v>0</v>
      </c>
      <c r="H73" s="578">
        <f>SUM(H74:H93)</f>
        <v>123</v>
      </c>
      <c r="I73" s="578"/>
      <c r="J73" s="578">
        <f>AVERAGE(J74:J93)</f>
        <v>0</v>
      </c>
      <c r="K73" s="577"/>
      <c r="L73" s="576">
        <f>SUM(L74:L93)</f>
        <v>40934</v>
      </c>
      <c r="M73" s="576">
        <f>SUM(M74:M93)</f>
        <v>2489504</v>
      </c>
      <c r="N73" s="576">
        <f>SUM(N74:N93)</f>
        <v>6.24</v>
      </c>
      <c r="O73" s="576">
        <f>AVERAGE(O74:O93)</f>
        <v>17</v>
      </c>
      <c r="P73" s="576">
        <f>SUM(P74:P93)</f>
        <v>106080</v>
      </c>
      <c r="Q73" s="575">
        <f>P73+M73</f>
        <v>2595584</v>
      </c>
      <c r="R73" s="574"/>
    </row>
    <row r="74" spans="1:21" s="598" customFormat="1" ht="15" hidden="1" x14ac:dyDescent="0.25">
      <c r="A74" s="141" t="s">
        <v>35</v>
      </c>
      <c r="B74" s="141"/>
      <c r="C74" s="602"/>
      <c r="D74" s="140"/>
      <c r="E74" s="140"/>
      <c r="F74" s="602"/>
      <c r="G74" s="602"/>
      <c r="H74" s="554">
        <f t="shared" ref="H74:H92" si="16">F74+G74</f>
        <v>0</v>
      </c>
      <c r="I74" s="556"/>
      <c r="J74" s="556"/>
      <c r="K74" s="559"/>
      <c r="L74" s="140"/>
      <c r="M74" s="558">
        <f t="shared" ref="M74:M92" si="17">(H74*L74)*K74</f>
        <v>0</v>
      </c>
      <c r="N74" s="600"/>
      <c r="O74" s="76"/>
      <c r="P74" s="554">
        <f t="shared" ref="P74:P92" si="18">N74*1000*17</f>
        <v>0</v>
      </c>
      <c r="Q74" s="554">
        <f t="shared" ref="Q74:Q92" si="19">M74+P74</f>
        <v>0</v>
      </c>
      <c r="R74" s="599"/>
    </row>
    <row r="75" spans="1:21" s="598" customFormat="1" ht="15" hidden="1" x14ac:dyDescent="0.25">
      <c r="A75" s="141" t="s">
        <v>36</v>
      </c>
      <c r="B75" s="141"/>
      <c r="C75" s="602"/>
      <c r="D75" s="140"/>
      <c r="E75" s="140"/>
      <c r="F75" s="602"/>
      <c r="G75" s="602"/>
      <c r="H75" s="554">
        <f t="shared" si="16"/>
        <v>0</v>
      </c>
      <c r="I75" s="556"/>
      <c r="J75" s="556"/>
      <c r="K75" s="559"/>
      <c r="L75" s="140"/>
      <c r="M75" s="558">
        <f t="shared" si="17"/>
        <v>0</v>
      </c>
      <c r="N75" s="600"/>
      <c r="O75" s="76"/>
      <c r="P75" s="554">
        <f t="shared" si="18"/>
        <v>0</v>
      </c>
      <c r="Q75" s="554">
        <f t="shared" si="19"/>
        <v>0</v>
      </c>
      <c r="R75" s="599"/>
    </row>
    <row r="76" spans="1:21" s="552" customFormat="1" ht="15.75" x14ac:dyDescent="0.25">
      <c r="A76" s="585" t="s">
        <v>37</v>
      </c>
      <c r="B76" s="585"/>
      <c r="C76" s="567">
        <v>12</v>
      </c>
      <c r="D76" s="566"/>
      <c r="E76" s="87" t="s">
        <v>226</v>
      </c>
      <c r="F76" s="556">
        <v>61</v>
      </c>
      <c r="G76" s="606"/>
      <c r="H76" s="554">
        <f t="shared" si="16"/>
        <v>61</v>
      </c>
      <c r="I76" s="561">
        <v>3.12</v>
      </c>
      <c r="J76" s="560">
        <v>0</v>
      </c>
      <c r="K76" s="559">
        <f>(I76-J76)/I76</f>
        <v>1</v>
      </c>
      <c r="L76" s="605">
        <v>33464</v>
      </c>
      <c r="M76" s="558">
        <f t="shared" si="17"/>
        <v>2041304</v>
      </c>
      <c r="N76" s="565"/>
      <c r="O76" s="565"/>
      <c r="P76" s="554">
        <f t="shared" si="18"/>
        <v>0</v>
      </c>
      <c r="Q76" s="554">
        <f t="shared" si="19"/>
        <v>2041304</v>
      </c>
      <c r="R76" s="564"/>
      <c r="S76" s="569"/>
      <c r="T76" s="311"/>
      <c r="U76" s="311"/>
    </row>
    <row r="77" spans="1:21" s="598" customFormat="1" ht="15" hidden="1" x14ac:dyDescent="0.25">
      <c r="A77" s="141" t="s">
        <v>297</v>
      </c>
      <c r="B77" s="141"/>
      <c r="C77" s="602"/>
      <c r="D77" s="140"/>
      <c r="E77" s="140"/>
      <c r="F77" s="602"/>
      <c r="G77" s="602"/>
      <c r="H77" s="554">
        <f t="shared" si="16"/>
        <v>0</v>
      </c>
      <c r="I77" s="556"/>
      <c r="J77" s="556"/>
      <c r="K77" s="559"/>
      <c r="L77" s="140"/>
      <c r="M77" s="558">
        <f t="shared" si="17"/>
        <v>0</v>
      </c>
      <c r="N77" s="600"/>
      <c r="O77" s="76"/>
      <c r="P77" s="554">
        <f t="shared" si="18"/>
        <v>0</v>
      </c>
      <c r="Q77" s="554">
        <f t="shared" si="19"/>
        <v>0</v>
      </c>
      <c r="R77" s="599"/>
    </row>
    <row r="78" spans="1:21" s="598" customFormat="1" ht="15" hidden="1" x14ac:dyDescent="0.25">
      <c r="A78" s="141" t="s">
        <v>296</v>
      </c>
      <c r="B78" s="141"/>
      <c r="C78" s="602"/>
      <c r="D78" s="140"/>
      <c r="E78" s="140"/>
      <c r="F78" s="602"/>
      <c r="G78" s="602"/>
      <c r="H78" s="554">
        <f t="shared" si="16"/>
        <v>0</v>
      </c>
      <c r="I78" s="556"/>
      <c r="J78" s="556"/>
      <c r="K78" s="559"/>
      <c r="L78" s="140"/>
      <c r="M78" s="558">
        <f t="shared" si="17"/>
        <v>0</v>
      </c>
      <c r="N78" s="600"/>
      <c r="O78" s="76"/>
      <c r="P78" s="554">
        <f t="shared" si="18"/>
        <v>0</v>
      </c>
      <c r="Q78" s="554">
        <f t="shared" si="19"/>
        <v>0</v>
      </c>
      <c r="R78" s="599"/>
    </row>
    <row r="79" spans="1:21" s="598" customFormat="1" ht="15" hidden="1" x14ac:dyDescent="0.25">
      <c r="A79" s="141" t="s">
        <v>38</v>
      </c>
      <c r="B79" s="141"/>
      <c r="C79" s="602"/>
      <c r="D79" s="140"/>
      <c r="E79" s="140"/>
      <c r="F79" s="602"/>
      <c r="G79" s="602"/>
      <c r="H79" s="554">
        <f t="shared" si="16"/>
        <v>0</v>
      </c>
      <c r="I79" s="556"/>
      <c r="J79" s="556"/>
      <c r="K79" s="559"/>
      <c r="L79" s="140"/>
      <c r="M79" s="558">
        <f t="shared" si="17"/>
        <v>0</v>
      </c>
      <c r="N79" s="600"/>
      <c r="O79" s="76"/>
      <c r="P79" s="554">
        <f t="shared" si="18"/>
        <v>0</v>
      </c>
      <c r="Q79" s="554">
        <f t="shared" si="19"/>
        <v>0</v>
      </c>
      <c r="R79" s="599"/>
    </row>
    <row r="80" spans="1:21" s="598" customFormat="1" ht="15" hidden="1" x14ac:dyDescent="0.25">
      <c r="A80" s="141" t="s">
        <v>295</v>
      </c>
      <c r="B80" s="141"/>
      <c r="C80" s="602"/>
      <c r="D80" s="140"/>
      <c r="E80" s="140"/>
      <c r="F80" s="602"/>
      <c r="G80" s="602"/>
      <c r="H80" s="554">
        <f t="shared" si="16"/>
        <v>0</v>
      </c>
      <c r="I80" s="556"/>
      <c r="J80" s="556"/>
      <c r="K80" s="559"/>
      <c r="L80" s="140"/>
      <c r="M80" s="558">
        <f t="shared" si="17"/>
        <v>0</v>
      </c>
      <c r="N80" s="600"/>
      <c r="O80" s="76"/>
      <c r="P80" s="554">
        <f t="shared" si="18"/>
        <v>0</v>
      </c>
      <c r="Q80" s="554">
        <f t="shared" si="19"/>
        <v>0</v>
      </c>
      <c r="R80" s="599"/>
    </row>
    <row r="81" spans="1:21" s="598" customFormat="1" ht="15" hidden="1" x14ac:dyDescent="0.25">
      <c r="A81" s="141" t="s">
        <v>39</v>
      </c>
      <c r="B81" s="141"/>
      <c r="C81" s="602"/>
      <c r="D81" s="140"/>
      <c r="E81" s="140"/>
      <c r="F81" s="602"/>
      <c r="G81" s="602"/>
      <c r="H81" s="554">
        <f t="shared" si="16"/>
        <v>0</v>
      </c>
      <c r="I81" s="556"/>
      <c r="J81" s="556"/>
      <c r="K81" s="559"/>
      <c r="L81" s="140"/>
      <c r="M81" s="558">
        <f t="shared" si="17"/>
        <v>0</v>
      </c>
      <c r="N81" s="600"/>
      <c r="O81" s="76"/>
      <c r="P81" s="554">
        <f t="shared" si="18"/>
        <v>0</v>
      </c>
      <c r="Q81" s="554">
        <f t="shared" si="19"/>
        <v>0</v>
      </c>
      <c r="R81" s="599"/>
    </row>
    <row r="82" spans="1:21" s="598" customFormat="1" ht="15" x14ac:dyDescent="0.25">
      <c r="A82" s="141" t="s">
        <v>40</v>
      </c>
      <c r="B82" s="141"/>
      <c r="C82" s="602">
        <v>3</v>
      </c>
      <c r="D82" s="140"/>
      <c r="E82" s="140" t="s">
        <v>289</v>
      </c>
      <c r="F82" s="602">
        <v>2</v>
      </c>
      <c r="G82" s="602"/>
      <c r="H82" s="554">
        <f t="shared" si="16"/>
        <v>2</v>
      </c>
      <c r="I82" s="561">
        <v>3.12</v>
      </c>
      <c r="J82" s="560">
        <v>0</v>
      </c>
      <c r="K82" s="559">
        <f>(I82-J82)/I82</f>
        <v>1</v>
      </c>
      <c r="L82" s="140"/>
      <c r="M82" s="558">
        <f t="shared" si="17"/>
        <v>0</v>
      </c>
      <c r="N82" s="604">
        <f>H82*I82*K82</f>
        <v>6.24</v>
      </c>
      <c r="O82" s="603">
        <v>17</v>
      </c>
      <c r="P82" s="554">
        <f t="shared" si="18"/>
        <v>106080</v>
      </c>
      <c r="Q82" s="554">
        <f t="shared" si="19"/>
        <v>106080</v>
      </c>
      <c r="R82" s="599"/>
    </row>
    <row r="83" spans="1:21" s="598" customFormat="1" ht="15" hidden="1" x14ac:dyDescent="0.25">
      <c r="A83" s="141" t="s">
        <v>41</v>
      </c>
      <c r="B83" s="141"/>
      <c r="C83" s="602"/>
      <c r="D83" s="140"/>
      <c r="E83" s="140"/>
      <c r="F83" s="602"/>
      <c r="G83" s="602"/>
      <c r="H83" s="554">
        <f t="shared" si="16"/>
        <v>0</v>
      </c>
      <c r="I83" s="556"/>
      <c r="J83" s="556"/>
      <c r="K83" s="559"/>
      <c r="L83" s="140"/>
      <c r="M83" s="558">
        <f t="shared" si="17"/>
        <v>0</v>
      </c>
      <c r="N83" s="600"/>
      <c r="O83" s="76"/>
      <c r="P83" s="554">
        <f t="shared" si="18"/>
        <v>0</v>
      </c>
      <c r="Q83" s="554">
        <f t="shared" si="19"/>
        <v>0</v>
      </c>
      <c r="R83" s="599"/>
    </row>
    <row r="84" spans="1:21" s="598" customFormat="1" ht="15" hidden="1" x14ac:dyDescent="0.25">
      <c r="A84" s="141" t="s">
        <v>42</v>
      </c>
      <c r="B84" s="141"/>
      <c r="C84" s="602"/>
      <c r="D84" s="140"/>
      <c r="E84" s="140"/>
      <c r="F84" s="602"/>
      <c r="G84" s="602"/>
      <c r="H84" s="554">
        <f t="shared" si="16"/>
        <v>0</v>
      </c>
      <c r="I84" s="556"/>
      <c r="J84" s="556"/>
      <c r="K84" s="559"/>
      <c r="L84" s="140"/>
      <c r="M84" s="558">
        <f t="shared" si="17"/>
        <v>0</v>
      </c>
      <c r="N84" s="600"/>
      <c r="O84" s="76"/>
      <c r="P84" s="554">
        <f t="shared" si="18"/>
        <v>0</v>
      </c>
      <c r="Q84" s="554">
        <f t="shared" si="19"/>
        <v>0</v>
      </c>
      <c r="R84" s="599"/>
    </row>
    <row r="85" spans="1:21" s="598" customFormat="1" ht="15" hidden="1" x14ac:dyDescent="0.25">
      <c r="A85" s="141" t="s">
        <v>43</v>
      </c>
      <c r="B85" s="141"/>
      <c r="C85" s="602"/>
      <c r="D85" s="140"/>
      <c r="E85" s="140"/>
      <c r="F85" s="602"/>
      <c r="G85" s="602"/>
      <c r="H85" s="554">
        <f t="shared" si="16"/>
        <v>0</v>
      </c>
      <c r="I85" s="556"/>
      <c r="J85" s="556"/>
      <c r="K85" s="559"/>
      <c r="L85" s="140"/>
      <c r="M85" s="558">
        <f t="shared" si="17"/>
        <v>0</v>
      </c>
      <c r="N85" s="600"/>
      <c r="O85" s="76"/>
      <c r="P85" s="554">
        <f t="shared" si="18"/>
        <v>0</v>
      </c>
      <c r="Q85" s="554">
        <f t="shared" si="19"/>
        <v>0</v>
      </c>
      <c r="R85" s="599"/>
    </row>
    <row r="86" spans="1:21" s="598" customFormat="1" ht="15" hidden="1" x14ac:dyDescent="0.25">
      <c r="A86" s="141" t="s">
        <v>294</v>
      </c>
      <c r="B86" s="141"/>
      <c r="C86" s="602"/>
      <c r="D86" s="140"/>
      <c r="E86" s="140"/>
      <c r="F86" s="602"/>
      <c r="G86" s="602"/>
      <c r="H86" s="554">
        <f t="shared" si="16"/>
        <v>0</v>
      </c>
      <c r="I86" s="556"/>
      <c r="J86" s="556"/>
      <c r="K86" s="559"/>
      <c r="L86" s="140"/>
      <c r="M86" s="558">
        <f t="shared" si="17"/>
        <v>0</v>
      </c>
      <c r="N86" s="600"/>
      <c r="O86" s="76"/>
      <c r="P86" s="554">
        <f t="shared" si="18"/>
        <v>0</v>
      </c>
      <c r="Q86" s="554">
        <f t="shared" si="19"/>
        <v>0</v>
      </c>
      <c r="R86" s="599"/>
    </row>
    <row r="87" spans="1:21" s="598" customFormat="1" ht="15" hidden="1" x14ac:dyDescent="0.25">
      <c r="A87" s="141" t="s">
        <v>44</v>
      </c>
      <c r="B87" s="141"/>
      <c r="C87" s="602"/>
      <c r="D87" s="140"/>
      <c r="E87" s="140"/>
      <c r="F87" s="602"/>
      <c r="G87" s="602"/>
      <c r="H87" s="554">
        <f t="shared" si="16"/>
        <v>0</v>
      </c>
      <c r="I87" s="556"/>
      <c r="J87" s="556"/>
      <c r="K87" s="559"/>
      <c r="L87" s="140"/>
      <c r="M87" s="558">
        <f t="shared" si="17"/>
        <v>0</v>
      </c>
      <c r="N87" s="600"/>
      <c r="O87" s="76"/>
      <c r="P87" s="554">
        <f t="shared" si="18"/>
        <v>0</v>
      </c>
      <c r="Q87" s="554">
        <f t="shared" si="19"/>
        <v>0</v>
      </c>
      <c r="R87" s="599"/>
    </row>
    <row r="88" spans="1:21" s="598" customFormat="1" ht="15" hidden="1" x14ac:dyDescent="0.25">
      <c r="A88" s="141" t="s">
        <v>293</v>
      </c>
      <c r="B88" s="141"/>
      <c r="C88" s="602"/>
      <c r="D88" s="140"/>
      <c r="E88" s="140"/>
      <c r="F88" s="602"/>
      <c r="G88" s="602"/>
      <c r="H88" s="554">
        <f t="shared" si="16"/>
        <v>0</v>
      </c>
      <c r="I88" s="556"/>
      <c r="J88" s="556"/>
      <c r="K88" s="559"/>
      <c r="L88" s="140"/>
      <c r="M88" s="558">
        <f t="shared" si="17"/>
        <v>0</v>
      </c>
      <c r="N88" s="600"/>
      <c r="O88" s="76"/>
      <c r="P88" s="554">
        <f t="shared" si="18"/>
        <v>0</v>
      </c>
      <c r="Q88" s="554">
        <f t="shared" si="19"/>
        <v>0</v>
      </c>
      <c r="R88" s="599"/>
    </row>
    <row r="89" spans="1:21" s="598" customFormat="1" ht="15" hidden="1" x14ac:dyDescent="0.25">
      <c r="A89" s="141" t="s">
        <v>292</v>
      </c>
      <c r="B89" s="141"/>
      <c r="C89" s="602"/>
      <c r="D89" s="140"/>
      <c r="E89" s="140"/>
      <c r="F89" s="602"/>
      <c r="G89" s="602"/>
      <c r="H89" s="554">
        <f t="shared" si="16"/>
        <v>0</v>
      </c>
      <c r="I89" s="556"/>
      <c r="J89" s="556"/>
      <c r="K89" s="559"/>
      <c r="L89" s="140"/>
      <c r="M89" s="558">
        <f t="shared" si="17"/>
        <v>0</v>
      </c>
      <c r="N89" s="600"/>
      <c r="O89" s="76"/>
      <c r="P89" s="554">
        <f t="shared" si="18"/>
        <v>0</v>
      </c>
      <c r="Q89" s="554">
        <f t="shared" si="19"/>
        <v>0</v>
      </c>
      <c r="R89" s="599"/>
    </row>
    <row r="90" spans="1:21" s="552" customFormat="1" ht="15" x14ac:dyDescent="0.25">
      <c r="A90" s="568" t="s">
        <v>46</v>
      </c>
      <c r="B90" s="568"/>
      <c r="C90" s="567">
        <v>50</v>
      </c>
      <c r="D90" s="566"/>
      <c r="E90" s="87" t="s">
        <v>232</v>
      </c>
      <c r="F90" s="556">
        <v>60</v>
      </c>
      <c r="G90" s="556"/>
      <c r="H90" s="554">
        <f t="shared" si="16"/>
        <v>60</v>
      </c>
      <c r="I90" s="561">
        <v>3.12</v>
      </c>
      <c r="J90" s="560">
        <v>0</v>
      </c>
      <c r="K90" s="559">
        <f>(I90-J90)/I90</f>
        <v>1</v>
      </c>
      <c r="L90" s="580">
        <v>7470</v>
      </c>
      <c r="M90" s="558">
        <f t="shared" si="17"/>
        <v>448200</v>
      </c>
      <c r="N90" s="565"/>
      <c r="O90" s="565"/>
      <c r="P90" s="554">
        <f t="shared" si="18"/>
        <v>0</v>
      </c>
      <c r="Q90" s="554">
        <f t="shared" si="19"/>
        <v>448200</v>
      </c>
      <c r="R90" s="564"/>
      <c r="S90" s="569"/>
      <c r="T90" s="311"/>
      <c r="U90" s="311"/>
    </row>
    <row r="91" spans="1:21" s="598" customFormat="1" ht="15" hidden="1" x14ac:dyDescent="0.25">
      <c r="A91" s="141" t="s">
        <v>47</v>
      </c>
      <c r="B91" s="141"/>
      <c r="C91" s="602"/>
      <c r="D91" s="140"/>
      <c r="E91" s="140"/>
      <c r="F91" s="602"/>
      <c r="G91" s="602"/>
      <c r="H91" s="554">
        <f t="shared" si="16"/>
        <v>0</v>
      </c>
      <c r="I91" s="556"/>
      <c r="J91" s="556"/>
      <c r="K91" s="559"/>
      <c r="L91" s="140"/>
      <c r="M91" s="558">
        <f t="shared" si="17"/>
        <v>0</v>
      </c>
      <c r="N91" s="600"/>
      <c r="O91" s="76"/>
      <c r="P91" s="554">
        <f t="shared" si="18"/>
        <v>0</v>
      </c>
      <c r="Q91" s="554">
        <f t="shared" si="19"/>
        <v>0</v>
      </c>
      <c r="R91" s="599"/>
    </row>
    <row r="92" spans="1:21" s="598" customFormat="1" ht="15" hidden="1" x14ac:dyDescent="0.25">
      <c r="A92" s="141" t="s">
        <v>291</v>
      </c>
      <c r="B92" s="141"/>
      <c r="C92" s="602"/>
      <c r="D92" s="140"/>
      <c r="E92" s="140"/>
      <c r="F92" s="602"/>
      <c r="G92" s="602"/>
      <c r="H92" s="554">
        <f t="shared" si="16"/>
        <v>0</v>
      </c>
      <c r="I92" s="556"/>
      <c r="J92" s="556"/>
      <c r="K92" s="559"/>
      <c r="L92" s="140"/>
      <c r="M92" s="558">
        <f t="shared" si="17"/>
        <v>0</v>
      </c>
      <c r="N92" s="600"/>
      <c r="O92" s="76"/>
      <c r="P92" s="554">
        <f t="shared" si="18"/>
        <v>0</v>
      </c>
      <c r="Q92" s="554">
        <f t="shared" si="19"/>
        <v>0</v>
      </c>
      <c r="R92" s="599"/>
    </row>
    <row r="93" spans="1:21" s="598" customFormat="1" ht="15" x14ac:dyDescent="0.25">
      <c r="A93" s="141"/>
      <c r="B93" s="141"/>
      <c r="C93" s="602"/>
      <c r="D93" s="140"/>
      <c r="E93" s="140"/>
      <c r="F93" s="602"/>
      <c r="G93" s="602"/>
      <c r="H93" s="602"/>
      <c r="I93" s="557"/>
      <c r="J93" s="556"/>
      <c r="K93" s="601"/>
      <c r="L93" s="140"/>
      <c r="M93" s="140"/>
      <c r="N93" s="600"/>
      <c r="O93" s="76"/>
      <c r="P93" s="76"/>
      <c r="Q93" s="554"/>
      <c r="R93" s="599"/>
    </row>
    <row r="94" spans="1:21" s="573" customFormat="1" ht="16.5" x14ac:dyDescent="0.25">
      <c r="A94" s="579" t="s">
        <v>57</v>
      </c>
      <c r="B94" s="579"/>
      <c r="C94" s="597" t="e">
        <f>SUM(#REF!,#REF!)</f>
        <v>#REF!</v>
      </c>
      <c r="D94" s="576"/>
      <c r="E94" s="576"/>
      <c r="F94" s="578" t="e">
        <f>SUM(#REF!,#REF!)</f>
        <v>#REF!</v>
      </c>
      <c r="G94" s="578" t="e">
        <f>SUM(#REF!,#REF!)</f>
        <v>#REF!</v>
      </c>
      <c r="H94" s="578" t="e">
        <f>SUM(#REF!,#REF!)</f>
        <v>#REF!</v>
      </c>
      <c r="I94" s="578"/>
      <c r="J94" s="578"/>
      <c r="K94" s="577"/>
      <c r="L94" s="576" t="e">
        <f>SUM(#REF!,#REF!)</f>
        <v>#REF!</v>
      </c>
      <c r="M94" s="576" t="e">
        <f>SUM(#REF!,#REF!)</f>
        <v>#REF!</v>
      </c>
      <c r="N94" s="576" t="e">
        <f>SUM(#REF!,#REF!)</f>
        <v>#REF!</v>
      </c>
      <c r="O94" s="576" t="e">
        <f>AVERAGE(#REF!,#REF!)</f>
        <v>#REF!</v>
      </c>
      <c r="P94" s="576" t="e">
        <f>SUM(#REF!,#REF!)</f>
        <v>#REF!</v>
      </c>
      <c r="Q94" s="575" t="e">
        <f>P94+M94</f>
        <v>#REF!</v>
      </c>
      <c r="R94" s="574"/>
      <c r="S94" s="596"/>
    </row>
    <row r="95" spans="1:21" s="552" customFormat="1" ht="15" hidden="1" x14ac:dyDescent="0.25">
      <c r="A95" s="88" t="s">
        <v>290</v>
      </c>
      <c r="B95" s="88"/>
      <c r="C95" s="556"/>
      <c r="D95" s="84"/>
      <c r="E95" s="84"/>
      <c r="F95" s="556"/>
      <c r="G95" s="556"/>
      <c r="H95" s="554">
        <f>F95+G95</f>
        <v>0</v>
      </c>
      <c r="I95" s="556"/>
      <c r="J95" s="556"/>
      <c r="K95" s="559"/>
      <c r="L95" s="84"/>
      <c r="M95" s="558">
        <f>(H95*L95)*K95</f>
        <v>0</v>
      </c>
      <c r="N95" s="555"/>
      <c r="O95" s="554"/>
      <c r="P95" s="554">
        <f>N95*1000*17</f>
        <v>0</v>
      </c>
      <c r="Q95" s="554">
        <f>M95+P95</f>
        <v>0</v>
      </c>
      <c r="R95" s="553"/>
    </row>
    <row r="96" spans="1:21" s="665" customFormat="1" ht="15" x14ac:dyDescent="0.25">
      <c r="A96" s="660" t="s">
        <v>107</v>
      </c>
      <c r="B96" s="660"/>
      <c r="C96" s="653">
        <v>248.16</v>
      </c>
      <c r="D96" s="653">
        <v>0</v>
      </c>
      <c r="E96" s="653">
        <v>0</v>
      </c>
      <c r="F96" s="653">
        <v>1550</v>
      </c>
      <c r="G96" s="653">
        <v>0</v>
      </c>
      <c r="H96" s="653">
        <v>1550</v>
      </c>
      <c r="I96" s="653">
        <v>7.4399999999999995</v>
      </c>
      <c r="J96" s="653">
        <v>0</v>
      </c>
      <c r="K96" s="653">
        <v>3</v>
      </c>
      <c r="L96" s="653">
        <v>40934</v>
      </c>
      <c r="M96" s="653">
        <v>17819902</v>
      </c>
      <c r="N96" s="653">
        <v>2398.16</v>
      </c>
      <c r="O96" s="653">
        <v>17</v>
      </c>
      <c r="P96" s="653">
        <v>40768720</v>
      </c>
      <c r="Q96" s="653">
        <v>58588622</v>
      </c>
      <c r="R96" s="664"/>
    </row>
    <row r="97" spans="1:21" s="670" customFormat="1" ht="15" x14ac:dyDescent="0.25">
      <c r="A97" s="650" t="s">
        <v>62</v>
      </c>
      <c r="B97" s="666"/>
      <c r="C97" s="667">
        <v>101.6</v>
      </c>
      <c r="D97" s="667">
        <v>0</v>
      </c>
      <c r="E97" s="667">
        <v>0</v>
      </c>
      <c r="F97" s="667">
        <v>769</v>
      </c>
      <c r="G97" s="667">
        <v>0</v>
      </c>
      <c r="H97" s="667">
        <v>769</v>
      </c>
      <c r="I97" s="667">
        <v>4.96</v>
      </c>
      <c r="J97" s="667">
        <v>1.736</v>
      </c>
      <c r="K97" s="667">
        <v>1.3</v>
      </c>
      <c r="L97" s="667">
        <v>40934</v>
      </c>
      <c r="M97" s="667">
        <v>3284479</v>
      </c>
      <c r="N97" s="667">
        <v>0</v>
      </c>
      <c r="O97" s="667">
        <v>0</v>
      </c>
      <c r="P97" s="667">
        <v>0</v>
      </c>
      <c r="Q97" s="667">
        <v>3284479</v>
      </c>
      <c r="R97" s="657"/>
      <c r="S97" s="668"/>
      <c r="T97" s="669"/>
      <c r="U97" s="669"/>
    </row>
    <row r="98" spans="1:21" s="552" customFormat="1" ht="15" hidden="1" x14ac:dyDescent="0.25">
      <c r="A98" s="88" t="s">
        <v>135</v>
      </c>
      <c r="B98" s="88"/>
      <c r="C98" s="556"/>
      <c r="D98" s="84"/>
      <c r="E98" s="84"/>
      <c r="F98" s="556"/>
      <c r="G98" s="556"/>
      <c r="H98" s="554">
        <f>F98+G98</f>
        <v>0</v>
      </c>
      <c r="I98" s="556"/>
      <c r="J98" s="556"/>
      <c r="K98" s="559"/>
      <c r="L98" s="84"/>
      <c r="M98" s="558">
        <f>(H98*L98)*K98</f>
        <v>0</v>
      </c>
      <c r="N98" s="555"/>
      <c r="O98" s="554"/>
      <c r="P98" s="554">
        <f>N98*1000*17</f>
        <v>0</v>
      </c>
      <c r="Q98" s="554">
        <f>M98+P98</f>
        <v>0</v>
      </c>
      <c r="R98" s="553"/>
    </row>
    <row r="99" spans="1:21" s="593" customFormat="1" ht="15.75" x14ac:dyDescent="0.25">
      <c r="A99" s="568" t="s">
        <v>230</v>
      </c>
      <c r="B99" s="568"/>
      <c r="C99" s="567">
        <v>250</v>
      </c>
      <c r="D99" s="572"/>
      <c r="E99" s="87" t="s">
        <v>232</v>
      </c>
      <c r="F99" s="556">
        <v>275</v>
      </c>
      <c r="G99" s="556"/>
      <c r="H99" s="554">
        <f>F99+G99</f>
        <v>275</v>
      </c>
      <c r="I99" s="590">
        <v>2.48</v>
      </c>
      <c r="J99" s="560">
        <v>0</v>
      </c>
      <c r="K99" s="559">
        <f>(I99-J99)/I99</f>
        <v>1</v>
      </c>
      <c r="L99" s="580">
        <v>7470</v>
      </c>
      <c r="M99" s="558">
        <f>(H99*L99)*K99</f>
        <v>2054250</v>
      </c>
      <c r="N99" s="565"/>
      <c r="O99" s="565"/>
      <c r="P99" s="554"/>
      <c r="Q99" s="589">
        <f>M99+P99</f>
        <v>2054250</v>
      </c>
      <c r="R99" s="564"/>
      <c r="S99" s="595"/>
      <c r="T99" s="594"/>
      <c r="U99" s="426"/>
    </row>
    <row r="100" spans="1:21" s="673" customFormat="1" ht="15.75" x14ac:dyDescent="0.25">
      <c r="A100" s="650" t="s">
        <v>134</v>
      </c>
      <c r="B100" s="650"/>
      <c r="C100" s="667">
        <v>839</v>
      </c>
      <c r="D100" s="667">
        <v>0</v>
      </c>
      <c r="E100" s="667">
        <v>0</v>
      </c>
      <c r="F100" s="667">
        <v>799</v>
      </c>
      <c r="G100" s="667">
        <v>0</v>
      </c>
      <c r="H100" s="667">
        <v>799</v>
      </c>
      <c r="I100" s="667">
        <v>4.96</v>
      </c>
      <c r="J100" s="667">
        <v>0</v>
      </c>
      <c r="K100" s="667">
        <v>2</v>
      </c>
      <c r="L100" s="667">
        <v>33464</v>
      </c>
      <c r="M100" s="667">
        <v>26001528</v>
      </c>
      <c r="N100" s="667">
        <v>54.56</v>
      </c>
      <c r="O100" s="667">
        <v>17</v>
      </c>
      <c r="P100" s="667">
        <v>927520</v>
      </c>
      <c r="Q100" s="667">
        <v>26929048</v>
      </c>
      <c r="R100" s="657"/>
      <c r="S100" s="671"/>
      <c r="T100" s="672"/>
      <c r="U100" s="669"/>
    </row>
    <row r="101" spans="1:21" s="65" customFormat="1" ht="15.75" x14ac:dyDescent="0.25">
      <c r="A101" s="88" t="s">
        <v>136</v>
      </c>
      <c r="B101" s="88"/>
      <c r="C101" s="592">
        <v>130</v>
      </c>
      <c r="D101" s="84"/>
      <c r="E101" s="84" t="s">
        <v>232</v>
      </c>
      <c r="F101" s="556">
        <v>149</v>
      </c>
      <c r="G101" s="556"/>
      <c r="H101" s="554">
        <f t="shared" ref="H101:H120" si="20">F101+G101</f>
        <v>149</v>
      </c>
      <c r="I101" s="556">
        <v>2.48</v>
      </c>
      <c r="J101" s="560">
        <v>0</v>
      </c>
      <c r="K101" s="559">
        <f>(I101-J101)/I101</f>
        <v>1</v>
      </c>
      <c r="L101" s="580">
        <v>7470</v>
      </c>
      <c r="M101" s="558">
        <f t="shared" ref="M101:M120" si="21">(H101*L101)*K101</f>
        <v>1113030</v>
      </c>
      <c r="N101" s="555"/>
      <c r="O101" s="589"/>
      <c r="P101" s="554">
        <f t="shared" ref="P101:P116" si="22">N101*1000*17</f>
        <v>0</v>
      </c>
      <c r="Q101" s="589">
        <f t="shared" ref="Q101:Q120" si="23">M101+P101</f>
        <v>1113030</v>
      </c>
      <c r="R101" s="591"/>
    </row>
    <row r="102" spans="1:21" s="65" customFormat="1" ht="15.75" x14ac:dyDescent="0.25">
      <c r="A102" s="88" t="s">
        <v>281</v>
      </c>
      <c r="B102" s="88"/>
      <c r="C102" s="592">
        <v>64</v>
      </c>
      <c r="D102" s="84"/>
      <c r="E102" s="84" t="s">
        <v>232</v>
      </c>
      <c r="F102" s="556">
        <v>54</v>
      </c>
      <c r="G102" s="556"/>
      <c r="H102" s="554">
        <f t="shared" si="20"/>
        <v>54</v>
      </c>
      <c r="I102" s="556">
        <v>2.48</v>
      </c>
      <c r="J102" s="560">
        <v>0</v>
      </c>
      <c r="K102" s="559">
        <f>(I102-J102)/I102</f>
        <v>1</v>
      </c>
      <c r="L102" s="580">
        <v>7470</v>
      </c>
      <c r="M102" s="558">
        <f t="shared" si="21"/>
        <v>403380</v>
      </c>
      <c r="N102" s="555"/>
      <c r="O102" s="589"/>
      <c r="P102" s="554">
        <f t="shared" si="22"/>
        <v>0</v>
      </c>
      <c r="Q102" s="589">
        <f t="shared" si="23"/>
        <v>403380</v>
      </c>
      <c r="R102" s="591"/>
    </row>
    <row r="103" spans="1:21" s="552" customFormat="1" ht="15" hidden="1" x14ac:dyDescent="0.25">
      <c r="A103" s="88" t="s">
        <v>266</v>
      </c>
      <c r="B103" s="88"/>
      <c r="C103" s="556"/>
      <c r="D103" s="84"/>
      <c r="E103" s="84"/>
      <c r="F103" s="556"/>
      <c r="G103" s="556"/>
      <c r="H103" s="554">
        <f t="shared" si="20"/>
        <v>0</v>
      </c>
      <c r="I103" s="556"/>
      <c r="J103" s="556"/>
      <c r="K103" s="559"/>
      <c r="L103" s="84"/>
      <c r="M103" s="558">
        <f t="shared" si="21"/>
        <v>0</v>
      </c>
      <c r="N103" s="555"/>
      <c r="O103" s="554"/>
      <c r="P103" s="554">
        <f t="shared" si="22"/>
        <v>0</v>
      </c>
      <c r="Q103" s="554">
        <f t="shared" si="23"/>
        <v>0</v>
      </c>
      <c r="R103" s="553"/>
    </row>
    <row r="104" spans="1:21" s="65" customFormat="1" ht="15.75" x14ac:dyDescent="0.25">
      <c r="A104" s="88" t="s">
        <v>71</v>
      </c>
      <c r="B104" s="88"/>
      <c r="C104" s="556"/>
      <c r="D104" s="84"/>
      <c r="E104" s="84" t="s">
        <v>232</v>
      </c>
      <c r="F104" s="556">
        <v>271</v>
      </c>
      <c r="G104" s="556"/>
      <c r="H104" s="554">
        <f t="shared" si="20"/>
        <v>271</v>
      </c>
      <c r="I104" s="556">
        <v>2.48</v>
      </c>
      <c r="J104" s="560">
        <v>0</v>
      </c>
      <c r="K104" s="559">
        <f>(I104-J104)/I104</f>
        <v>1</v>
      </c>
      <c r="L104" s="580">
        <v>7470</v>
      </c>
      <c r="M104" s="558">
        <f t="shared" si="21"/>
        <v>2024370</v>
      </c>
      <c r="N104" s="555"/>
      <c r="O104" s="589"/>
      <c r="P104" s="554">
        <f t="shared" si="22"/>
        <v>0</v>
      </c>
      <c r="Q104" s="589">
        <f t="shared" si="23"/>
        <v>2024370</v>
      </c>
      <c r="R104" s="591"/>
    </row>
    <row r="105" spans="1:21" s="65" customFormat="1" ht="15.75" x14ac:dyDescent="0.25">
      <c r="A105" s="88" t="s">
        <v>58</v>
      </c>
      <c r="B105" s="88"/>
      <c r="C105" s="592">
        <v>1492</v>
      </c>
      <c r="D105" s="84"/>
      <c r="E105" s="84" t="s">
        <v>232</v>
      </c>
      <c r="F105" s="556">
        <v>1145</v>
      </c>
      <c r="G105" s="556"/>
      <c r="H105" s="554">
        <f t="shared" si="20"/>
        <v>1145</v>
      </c>
      <c r="I105" s="556">
        <v>2.48</v>
      </c>
      <c r="J105" s="560">
        <v>0</v>
      </c>
      <c r="K105" s="559">
        <f>(I105-J105)/I105</f>
        <v>1</v>
      </c>
      <c r="L105" s="580">
        <v>7470</v>
      </c>
      <c r="M105" s="558">
        <f t="shared" si="21"/>
        <v>8553150</v>
      </c>
      <c r="N105" s="555"/>
      <c r="O105" s="589"/>
      <c r="P105" s="554">
        <f t="shared" si="22"/>
        <v>0</v>
      </c>
      <c r="Q105" s="589">
        <f t="shared" si="23"/>
        <v>8553150</v>
      </c>
      <c r="R105" s="591"/>
    </row>
    <row r="106" spans="1:21" s="552" customFormat="1" ht="15" hidden="1" x14ac:dyDescent="0.25">
      <c r="A106" s="88" t="s">
        <v>59</v>
      </c>
      <c r="B106" s="88"/>
      <c r="C106" s="556"/>
      <c r="D106" s="84"/>
      <c r="E106" s="84"/>
      <c r="F106" s="556"/>
      <c r="G106" s="556"/>
      <c r="H106" s="554">
        <f t="shared" si="20"/>
        <v>0</v>
      </c>
      <c r="I106" s="556"/>
      <c r="J106" s="556"/>
      <c r="K106" s="559"/>
      <c r="L106" s="84"/>
      <c r="M106" s="558">
        <f t="shared" si="21"/>
        <v>0</v>
      </c>
      <c r="N106" s="555"/>
      <c r="O106" s="554"/>
      <c r="P106" s="554">
        <f t="shared" si="22"/>
        <v>0</v>
      </c>
      <c r="Q106" s="554">
        <f t="shared" si="23"/>
        <v>0</v>
      </c>
      <c r="R106" s="553"/>
    </row>
    <row r="107" spans="1:21" s="552" customFormat="1" ht="15" hidden="1" x14ac:dyDescent="0.25">
      <c r="A107" s="88" t="s">
        <v>60</v>
      </c>
      <c r="B107" s="88"/>
      <c r="C107" s="556"/>
      <c r="D107" s="84"/>
      <c r="E107" s="84"/>
      <c r="F107" s="556"/>
      <c r="G107" s="556"/>
      <c r="H107" s="554">
        <f t="shared" si="20"/>
        <v>0</v>
      </c>
      <c r="I107" s="556"/>
      <c r="J107" s="556"/>
      <c r="K107" s="559"/>
      <c r="L107" s="84"/>
      <c r="M107" s="558">
        <f t="shared" si="21"/>
        <v>0</v>
      </c>
      <c r="N107" s="555"/>
      <c r="O107" s="554"/>
      <c r="P107" s="554">
        <f t="shared" si="22"/>
        <v>0</v>
      </c>
      <c r="Q107" s="554">
        <f t="shared" si="23"/>
        <v>0</v>
      </c>
      <c r="R107" s="553"/>
    </row>
    <row r="108" spans="1:21" s="552" customFormat="1" ht="15" hidden="1" x14ac:dyDescent="0.25">
      <c r="A108" s="88" t="s">
        <v>61</v>
      </c>
      <c r="B108" s="88"/>
      <c r="C108" s="556"/>
      <c r="D108" s="84"/>
      <c r="E108" s="84"/>
      <c r="F108" s="556"/>
      <c r="G108" s="556"/>
      <c r="H108" s="554">
        <f t="shared" si="20"/>
        <v>0</v>
      </c>
      <c r="I108" s="556"/>
      <c r="J108" s="556"/>
      <c r="K108" s="559"/>
      <c r="L108" s="84"/>
      <c r="M108" s="558">
        <f t="shared" si="21"/>
        <v>0</v>
      </c>
      <c r="N108" s="555"/>
      <c r="O108" s="554"/>
      <c r="P108" s="554">
        <f t="shared" si="22"/>
        <v>0</v>
      </c>
      <c r="Q108" s="554">
        <f t="shared" si="23"/>
        <v>0</v>
      </c>
      <c r="R108" s="553"/>
    </row>
    <row r="109" spans="1:21" s="552" customFormat="1" ht="15" x14ac:dyDescent="0.25">
      <c r="A109" s="88" t="s">
        <v>63</v>
      </c>
      <c r="B109" s="88"/>
      <c r="C109" s="556">
        <v>35</v>
      </c>
      <c r="D109" s="84"/>
      <c r="E109" s="84" t="s">
        <v>232</v>
      </c>
      <c r="F109" s="556">
        <v>65</v>
      </c>
      <c r="G109" s="556"/>
      <c r="H109" s="554">
        <f t="shared" si="20"/>
        <v>65</v>
      </c>
      <c r="I109" s="556">
        <v>2.48</v>
      </c>
      <c r="J109" s="560">
        <v>0</v>
      </c>
      <c r="K109" s="559">
        <f>(I109-J109)/I109</f>
        <v>1</v>
      </c>
      <c r="L109" s="580">
        <v>7470</v>
      </c>
      <c r="M109" s="558">
        <f t="shared" si="21"/>
        <v>485550</v>
      </c>
      <c r="N109" s="555"/>
      <c r="O109" s="554"/>
      <c r="P109" s="554">
        <f t="shared" si="22"/>
        <v>0</v>
      </c>
      <c r="Q109" s="554">
        <f t="shared" si="23"/>
        <v>485550</v>
      </c>
      <c r="R109" s="553"/>
    </row>
    <row r="110" spans="1:21" s="552" customFormat="1" ht="15" hidden="1" x14ac:dyDescent="0.25">
      <c r="A110" s="88" t="s">
        <v>64</v>
      </c>
      <c r="B110" s="88"/>
      <c r="C110" s="556"/>
      <c r="D110" s="84"/>
      <c r="E110" s="84"/>
      <c r="F110" s="556"/>
      <c r="G110" s="556"/>
      <c r="H110" s="554">
        <f t="shared" si="20"/>
        <v>0</v>
      </c>
      <c r="I110" s="556"/>
      <c r="J110" s="556"/>
      <c r="K110" s="559"/>
      <c r="L110" s="84"/>
      <c r="M110" s="558">
        <f t="shared" si="21"/>
        <v>0</v>
      </c>
      <c r="N110" s="555"/>
      <c r="O110" s="554"/>
      <c r="P110" s="554">
        <f t="shared" si="22"/>
        <v>0</v>
      </c>
      <c r="Q110" s="554">
        <f t="shared" si="23"/>
        <v>0</v>
      </c>
      <c r="R110" s="553"/>
    </row>
    <row r="111" spans="1:21" s="552" customFormat="1" ht="15" x14ac:dyDescent="0.25">
      <c r="A111" s="88" t="s">
        <v>65</v>
      </c>
      <c r="B111" s="88"/>
      <c r="C111" s="592">
        <v>34</v>
      </c>
      <c r="D111" s="84"/>
      <c r="E111" s="84" t="s">
        <v>288</v>
      </c>
      <c r="F111" s="556">
        <v>21</v>
      </c>
      <c r="G111" s="556"/>
      <c r="H111" s="554">
        <f t="shared" si="20"/>
        <v>21</v>
      </c>
      <c r="I111" s="556">
        <v>2.48</v>
      </c>
      <c r="J111" s="560">
        <v>0</v>
      </c>
      <c r="K111" s="559">
        <f>(I111-J111)/I111</f>
        <v>1</v>
      </c>
      <c r="L111" s="580">
        <v>7470</v>
      </c>
      <c r="M111" s="558">
        <f t="shared" si="21"/>
        <v>156870</v>
      </c>
      <c r="N111" s="555"/>
      <c r="O111" s="554"/>
      <c r="P111" s="554">
        <f t="shared" si="22"/>
        <v>0</v>
      </c>
      <c r="Q111" s="554">
        <f t="shared" si="23"/>
        <v>156870</v>
      </c>
      <c r="R111" s="553"/>
    </row>
    <row r="112" spans="1:21" s="552" customFormat="1" ht="15" x14ac:dyDescent="0.25">
      <c r="A112" s="88" t="s">
        <v>66</v>
      </c>
      <c r="B112" s="88"/>
      <c r="C112" s="592">
        <v>358</v>
      </c>
      <c r="D112" s="84"/>
      <c r="E112" s="84" t="s">
        <v>232</v>
      </c>
      <c r="F112" s="556">
        <v>447</v>
      </c>
      <c r="G112" s="556"/>
      <c r="H112" s="554">
        <f t="shared" si="20"/>
        <v>447</v>
      </c>
      <c r="I112" s="556">
        <v>2.48</v>
      </c>
      <c r="J112" s="560">
        <v>0</v>
      </c>
      <c r="K112" s="559">
        <f>(I112-J112)/I112</f>
        <v>1</v>
      </c>
      <c r="L112" s="580">
        <v>7470</v>
      </c>
      <c r="M112" s="558">
        <f t="shared" si="21"/>
        <v>3339090</v>
      </c>
      <c r="N112" s="555"/>
      <c r="O112" s="554"/>
      <c r="P112" s="554">
        <f t="shared" si="22"/>
        <v>0</v>
      </c>
      <c r="Q112" s="554">
        <f t="shared" si="23"/>
        <v>3339090</v>
      </c>
      <c r="R112" s="553"/>
    </row>
    <row r="113" spans="1:21" s="552" customFormat="1" ht="15" x14ac:dyDescent="0.25">
      <c r="A113" s="88" t="s">
        <v>67</v>
      </c>
      <c r="B113" s="88"/>
      <c r="C113" s="592">
        <v>84</v>
      </c>
      <c r="D113" s="84"/>
      <c r="E113" s="84" t="s">
        <v>232</v>
      </c>
      <c r="F113" s="556">
        <v>105</v>
      </c>
      <c r="G113" s="556"/>
      <c r="H113" s="554">
        <f t="shared" si="20"/>
        <v>105</v>
      </c>
      <c r="I113" s="556">
        <v>2.48</v>
      </c>
      <c r="J113" s="560">
        <v>0</v>
      </c>
      <c r="K113" s="559">
        <f>(I113-J113)/I113</f>
        <v>1</v>
      </c>
      <c r="L113" s="580">
        <v>7470</v>
      </c>
      <c r="M113" s="558">
        <f t="shared" si="21"/>
        <v>784350</v>
      </c>
      <c r="N113" s="555"/>
      <c r="O113" s="554"/>
      <c r="P113" s="554">
        <f t="shared" si="22"/>
        <v>0</v>
      </c>
      <c r="Q113" s="554">
        <f t="shared" si="23"/>
        <v>784350</v>
      </c>
      <c r="R113" s="553"/>
    </row>
    <row r="114" spans="1:21" s="65" customFormat="1" ht="15.75" x14ac:dyDescent="0.25">
      <c r="A114" s="88" t="s">
        <v>133</v>
      </c>
      <c r="B114" s="88"/>
      <c r="C114" s="592">
        <v>623</v>
      </c>
      <c r="D114" s="84"/>
      <c r="E114" s="84" t="s">
        <v>232</v>
      </c>
      <c r="F114" s="556">
        <v>654</v>
      </c>
      <c r="G114" s="556"/>
      <c r="H114" s="554">
        <f t="shared" si="20"/>
        <v>654</v>
      </c>
      <c r="I114" s="556">
        <v>2.48</v>
      </c>
      <c r="J114" s="560">
        <v>0</v>
      </c>
      <c r="K114" s="559">
        <f>(I114-J114)/I114</f>
        <v>1</v>
      </c>
      <c r="L114" s="580">
        <v>7470</v>
      </c>
      <c r="M114" s="558">
        <f t="shared" si="21"/>
        <v>4885380</v>
      </c>
      <c r="N114" s="555"/>
      <c r="O114" s="589"/>
      <c r="P114" s="554">
        <f t="shared" si="22"/>
        <v>0</v>
      </c>
      <c r="Q114" s="589">
        <f t="shared" si="23"/>
        <v>4885380</v>
      </c>
      <c r="R114" s="591"/>
    </row>
    <row r="115" spans="1:21" s="552" customFormat="1" ht="15" hidden="1" x14ac:dyDescent="0.25">
      <c r="A115" s="88" t="s">
        <v>68</v>
      </c>
      <c r="B115" s="88"/>
      <c r="C115" s="556"/>
      <c r="D115" s="84"/>
      <c r="E115" s="84"/>
      <c r="F115" s="556"/>
      <c r="G115" s="556"/>
      <c r="H115" s="554">
        <f t="shared" si="20"/>
        <v>0</v>
      </c>
      <c r="I115" s="556"/>
      <c r="J115" s="556"/>
      <c r="K115" s="559"/>
      <c r="L115" s="84"/>
      <c r="M115" s="558">
        <f t="shared" si="21"/>
        <v>0</v>
      </c>
      <c r="N115" s="555"/>
      <c r="O115" s="554"/>
      <c r="P115" s="554">
        <f t="shared" si="22"/>
        <v>0</v>
      </c>
      <c r="Q115" s="554">
        <f t="shared" si="23"/>
        <v>0</v>
      </c>
      <c r="R115" s="553"/>
    </row>
    <row r="116" spans="1:21" s="552" customFormat="1" ht="15" hidden="1" x14ac:dyDescent="0.25">
      <c r="A116" s="88" t="s">
        <v>69</v>
      </c>
      <c r="B116" s="88"/>
      <c r="C116" s="556"/>
      <c r="D116" s="84"/>
      <c r="E116" s="84"/>
      <c r="F116" s="556"/>
      <c r="G116" s="556"/>
      <c r="H116" s="554">
        <f t="shared" si="20"/>
        <v>0</v>
      </c>
      <c r="I116" s="556"/>
      <c r="J116" s="556"/>
      <c r="K116" s="559"/>
      <c r="L116" s="84"/>
      <c r="M116" s="558">
        <f t="shared" si="21"/>
        <v>0</v>
      </c>
      <c r="N116" s="555"/>
      <c r="O116" s="554"/>
      <c r="P116" s="554">
        <f t="shared" si="22"/>
        <v>0</v>
      </c>
      <c r="Q116" s="554">
        <f t="shared" si="23"/>
        <v>0</v>
      </c>
      <c r="R116" s="553"/>
    </row>
    <row r="117" spans="1:21" s="65" customFormat="1" ht="15.75" x14ac:dyDescent="0.25">
      <c r="A117" s="568" t="s">
        <v>70</v>
      </c>
      <c r="B117" s="568"/>
      <c r="C117" s="567">
        <v>1190</v>
      </c>
      <c r="D117" s="566"/>
      <c r="E117" s="87" t="s">
        <v>232</v>
      </c>
      <c r="F117" s="556">
        <v>1260</v>
      </c>
      <c r="G117" s="556"/>
      <c r="H117" s="554">
        <f t="shared" si="20"/>
        <v>1260</v>
      </c>
      <c r="I117" s="590">
        <v>2.48</v>
      </c>
      <c r="J117" s="560">
        <v>0</v>
      </c>
      <c r="K117" s="559">
        <f>(I117-J117)/I117</f>
        <v>1</v>
      </c>
      <c r="L117" s="580">
        <v>7470</v>
      </c>
      <c r="M117" s="558">
        <f t="shared" si="21"/>
        <v>9412200</v>
      </c>
      <c r="N117" s="565"/>
      <c r="O117" s="565"/>
      <c r="P117" s="554"/>
      <c r="Q117" s="589">
        <f t="shared" si="23"/>
        <v>9412200</v>
      </c>
      <c r="R117" s="564"/>
      <c r="S117" s="21"/>
      <c r="T117" s="588"/>
      <c r="U117" s="311"/>
    </row>
    <row r="118" spans="1:21" s="552" customFormat="1" ht="15" hidden="1" x14ac:dyDescent="0.25">
      <c r="A118" s="88" t="s">
        <v>287</v>
      </c>
      <c r="B118" s="88"/>
      <c r="C118" s="556"/>
      <c r="D118" s="84"/>
      <c r="E118" s="84"/>
      <c r="F118" s="556"/>
      <c r="G118" s="556"/>
      <c r="H118" s="554">
        <f t="shared" si="20"/>
        <v>0</v>
      </c>
      <c r="I118" s="556"/>
      <c r="J118" s="556"/>
      <c r="K118" s="559"/>
      <c r="L118" s="84"/>
      <c r="M118" s="558">
        <f t="shared" si="21"/>
        <v>0</v>
      </c>
      <c r="N118" s="555"/>
      <c r="O118" s="554"/>
      <c r="P118" s="554">
        <f>N118*1000*17</f>
        <v>0</v>
      </c>
      <c r="Q118" s="554">
        <f t="shared" si="23"/>
        <v>0</v>
      </c>
      <c r="R118" s="553"/>
    </row>
    <row r="119" spans="1:21" s="552" customFormat="1" ht="15" hidden="1" x14ac:dyDescent="0.25">
      <c r="A119" s="88" t="s">
        <v>72</v>
      </c>
      <c r="B119" s="88"/>
      <c r="C119" s="556"/>
      <c r="D119" s="84"/>
      <c r="E119" s="84"/>
      <c r="F119" s="556"/>
      <c r="G119" s="556"/>
      <c r="H119" s="554">
        <f t="shared" si="20"/>
        <v>0</v>
      </c>
      <c r="I119" s="556"/>
      <c r="J119" s="556"/>
      <c r="K119" s="559"/>
      <c r="L119" s="84"/>
      <c r="M119" s="558">
        <f t="shared" si="21"/>
        <v>0</v>
      </c>
      <c r="N119" s="555"/>
      <c r="O119" s="554"/>
      <c r="P119" s="554">
        <f>N119*1000*17</f>
        <v>0</v>
      </c>
      <c r="Q119" s="554">
        <f t="shared" si="23"/>
        <v>0</v>
      </c>
      <c r="R119" s="553"/>
    </row>
    <row r="120" spans="1:21" s="552" customFormat="1" ht="15" hidden="1" x14ac:dyDescent="0.25">
      <c r="A120" s="88" t="s">
        <v>73</v>
      </c>
      <c r="B120" s="88"/>
      <c r="C120" s="556"/>
      <c r="D120" s="84"/>
      <c r="E120" s="84"/>
      <c r="F120" s="556"/>
      <c r="G120" s="556"/>
      <c r="H120" s="554">
        <f t="shared" si="20"/>
        <v>0</v>
      </c>
      <c r="I120" s="556"/>
      <c r="J120" s="556"/>
      <c r="K120" s="559"/>
      <c r="L120" s="84"/>
      <c r="M120" s="558">
        <f t="shared" si="21"/>
        <v>0</v>
      </c>
      <c r="N120" s="555"/>
      <c r="O120" s="554"/>
      <c r="P120" s="554">
        <f>N120*1000*17</f>
        <v>0</v>
      </c>
      <c r="Q120" s="554">
        <f t="shared" si="23"/>
        <v>0</v>
      </c>
      <c r="R120" s="553"/>
    </row>
    <row r="121" spans="1:21" s="552" customFormat="1" ht="15" x14ac:dyDescent="0.25">
      <c r="A121" s="88"/>
      <c r="B121" s="88"/>
      <c r="C121" s="556"/>
      <c r="D121" s="84"/>
      <c r="E121" s="84"/>
      <c r="F121" s="556"/>
      <c r="G121" s="556"/>
      <c r="H121" s="556"/>
      <c r="I121" s="557"/>
      <c r="J121" s="556"/>
      <c r="K121" s="554"/>
      <c r="L121" s="84"/>
      <c r="M121" s="84"/>
      <c r="N121" s="555"/>
      <c r="O121" s="554"/>
      <c r="P121" s="554"/>
      <c r="Q121" s="554"/>
      <c r="R121" s="553"/>
    </row>
    <row r="122" spans="1:21" s="573" customFormat="1" ht="16.5" x14ac:dyDescent="0.25">
      <c r="A122" s="579" t="s">
        <v>74</v>
      </c>
      <c r="B122" s="579"/>
      <c r="C122" s="578">
        <f>SUM(C123:C146)</f>
        <v>6783.5</v>
      </c>
      <c r="D122" s="576"/>
      <c r="E122" s="576"/>
      <c r="F122" s="578">
        <f>SUM(F123:F146)</f>
        <v>6800.5</v>
      </c>
      <c r="G122" s="578">
        <f>SUM(G123:G146)</f>
        <v>3178</v>
      </c>
      <c r="H122" s="578">
        <f>SUM(H123:H146)</f>
        <v>9978.5</v>
      </c>
      <c r="I122" s="578"/>
      <c r="J122" s="578"/>
      <c r="K122" s="577"/>
      <c r="L122" s="576">
        <f>SUM(L123:L146)</f>
        <v>256960</v>
      </c>
      <c r="M122" s="576">
        <f>SUM(M123:M146)</f>
        <v>218505432.52293578</v>
      </c>
      <c r="N122" s="576">
        <f>SUM(N123:N146)</f>
        <v>0</v>
      </c>
      <c r="O122" s="576">
        <f>AVERAGE(O123:O146)</f>
        <v>0</v>
      </c>
      <c r="P122" s="576">
        <f>SUM(P123:P146)</f>
        <v>0</v>
      </c>
      <c r="Q122" s="575">
        <f>P122+M122</f>
        <v>218505432.52293578</v>
      </c>
      <c r="R122" s="574"/>
    </row>
    <row r="123" spans="1:21" s="66" customFormat="1" ht="15" x14ac:dyDescent="0.25">
      <c r="A123" s="568" t="s">
        <v>111</v>
      </c>
      <c r="B123" s="568"/>
      <c r="C123" s="567">
        <v>438</v>
      </c>
      <c r="D123" s="584"/>
      <c r="E123" s="87" t="s">
        <v>232</v>
      </c>
      <c r="F123" s="556">
        <v>808</v>
      </c>
      <c r="G123" s="556"/>
      <c r="H123" s="554">
        <f>SUM(F123:G123)</f>
        <v>808</v>
      </c>
      <c r="I123" s="561">
        <v>2.1800000000000002</v>
      </c>
      <c r="J123" s="560">
        <v>0</v>
      </c>
      <c r="K123" s="559">
        <f>(I123-J123)/I123</f>
        <v>1</v>
      </c>
      <c r="L123" s="580">
        <v>7470</v>
      </c>
      <c r="M123" s="558">
        <f>(H123*L123)*K123</f>
        <v>6035760</v>
      </c>
      <c r="N123" s="565"/>
      <c r="O123" s="565"/>
      <c r="P123" s="554">
        <f>N123*1000*17</f>
        <v>0</v>
      </c>
      <c r="Q123" s="554">
        <f>M123+P123</f>
        <v>6035760</v>
      </c>
      <c r="R123" s="564"/>
      <c r="S123" s="571"/>
      <c r="T123" s="426"/>
      <c r="U123" s="426"/>
    </row>
    <row r="124" spans="1:21" s="552" customFormat="1" ht="15" x14ac:dyDescent="0.25">
      <c r="A124" s="568" t="s">
        <v>264</v>
      </c>
      <c r="B124" s="568"/>
      <c r="C124" s="567">
        <v>399</v>
      </c>
      <c r="D124" s="586"/>
      <c r="E124" s="87" t="s">
        <v>232</v>
      </c>
      <c r="F124" s="556">
        <v>570</v>
      </c>
      <c r="G124" s="556"/>
      <c r="H124" s="554">
        <f>SUM(F124:G124)</f>
        <v>570</v>
      </c>
      <c r="I124" s="561">
        <v>2.1800000000000002</v>
      </c>
      <c r="J124" s="560">
        <v>0</v>
      </c>
      <c r="K124" s="559">
        <f>(I124-J124)/I124</f>
        <v>1</v>
      </c>
      <c r="L124" s="580">
        <v>7470</v>
      </c>
      <c r="M124" s="558">
        <f>(H124*L124)*K124</f>
        <v>4257900</v>
      </c>
      <c r="N124" s="565"/>
      <c r="O124" s="565"/>
      <c r="P124" s="554">
        <f>N124*1000*17</f>
        <v>0</v>
      </c>
      <c r="Q124" s="554">
        <f>M124+P124</f>
        <v>4257900</v>
      </c>
      <c r="R124" s="564"/>
      <c r="S124" s="569"/>
      <c r="T124" s="311"/>
      <c r="U124" s="311"/>
    </row>
    <row r="125" spans="1:21" s="552" customFormat="1" ht="15" hidden="1" x14ac:dyDescent="0.25">
      <c r="A125" s="564" t="s">
        <v>75</v>
      </c>
      <c r="B125" s="87"/>
      <c r="C125" s="567"/>
      <c r="D125" s="581"/>
      <c r="E125" s="87"/>
      <c r="F125" s="566"/>
      <c r="G125" s="566"/>
      <c r="H125" s="554">
        <f>F125+G125</f>
        <v>0</v>
      </c>
      <c r="I125" s="561"/>
      <c r="J125" s="587"/>
      <c r="K125" s="559"/>
      <c r="L125" s="558"/>
      <c r="M125" s="558">
        <f>(H125*L125)*K125</f>
        <v>0</v>
      </c>
      <c r="N125" s="565"/>
      <c r="O125" s="565"/>
      <c r="P125" s="554">
        <f>N125*1000*17</f>
        <v>0</v>
      </c>
      <c r="Q125" s="554">
        <f>M125+P125</f>
        <v>0</v>
      </c>
      <c r="R125" s="564"/>
      <c r="S125" s="569"/>
      <c r="T125" s="311"/>
      <c r="U125" s="311"/>
    </row>
    <row r="126" spans="1:21" s="552" customFormat="1" ht="15" x14ac:dyDescent="0.25">
      <c r="A126" s="564" t="s">
        <v>76</v>
      </c>
      <c r="B126" s="87"/>
      <c r="C126" s="567">
        <v>200</v>
      </c>
      <c r="D126" s="581"/>
      <c r="E126" s="87" t="s">
        <v>127</v>
      </c>
      <c r="F126" s="566">
        <v>120</v>
      </c>
      <c r="G126" s="566"/>
      <c r="H126" s="554">
        <f>F126+G126</f>
        <v>120</v>
      </c>
      <c r="I126" s="561"/>
      <c r="J126" s="587"/>
      <c r="K126" s="559"/>
      <c r="L126" s="558"/>
      <c r="M126" s="558">
        <f>(H126*L126)*K126</f>
        <v>0</v>
      </c>
      <c r="N126" s="565"/>
      <c r="O126" s="565"/>
      <c r="P126" s="554">
        <f>N126*1000*17</f>
        <v>0</v>
      </c>
      <c r="Q126" s="554">
        <f>M126+P126</f>
        <v>0</v>
      </c>
      <c r="R126" s="564"/>
      <c r="S126" s="569"/>
      <c r="T126" s="311"/>
      <c r="U126" s="311"/>
    </row>
    <row r="127" spans="1:21" s="552" customFormat="1" ht="15" x14ac:dyDescent="0.25">
      <c r="A127" s="564" t="s">
        <v>109</v>
      </c>
      <c r="B127" s="87"/>
      <c r="C127" s="567">
        <v>350</v>
      </c>
      <c r="D127" s="581"/>
      <c r="E127" s="87" t="s">
        <v>127</v>
      </c>
      <c r="F127" s="566">
        <v>247</v>
      </c>
      <c r="G127" s="566"/>
      <c r="H127" s="554">
        <f>F127+G127</f>
        <v>247</v>
      </c>
      <c r="I127" s="561">
        <v>2.1800000000000002</v>
      </c>
      <c r="J127" s="560">
        <v>0</v>
      </c>
      <c r="K127" s="559">
        <f>(I127-J127)/I127</f>
        <v>1</v>
      </c>
      <c r="L127" s="558">
        <v>33464</v>
      </c>
      <c r="M127" s="558">
        <f>(H127*L127)*K127</f>
        <v>8265608</v>
      </c>
      <c r="N127" s="565"/>
      <c r="O127" s="565"/>
      <c r="P127" s="554">
        <f>N127*1000*17</f>
        <v>0</v>
      </c>
      <c r="Q127" s="554">
        <f>M127+P127</f>
        <v>8265608</v>
      </c>
      <c r="R127" s="564"/>
      <c r="S127" s="569"/>
      <c r="T127" s="311"/>
      <c r="U127" s="311"/>
    </row>
    <row r="128" spans="1:21" s="552" customFormat="1" ht="15" x14ac:dyDescent="0.25">
      <c r="A128" s="564" t="s">
        <v>77</v>
      </c>
      <c r="B128" s="87"/>
      <c r="C128" s="567">
        <v>3129</v>
      </c>
      <c r="D128" s="567">
        <v>0</v>
      </c>
      <c r="E128" s="567">
        <v>0</v>
      </c>
      <c r="F128" s="567">
        <v>3265</v>
      </c>
      <c r="G128" s="567">
        <v>3123</v>
      </c>
      <c r="H128" s="567">
        <v>6388</v>
      </c>
      <c r="I128" s="567">
        <v>4.3600000000000003</v>
      </c>
      <c r="J128" s="567">
        <v>0.65</v>
      </c>
      <c r="K128" s="567">
        <v>1.7018348623853212</v>
      </c>
      <c r="L128" s="567">
        <v>66928</v>
      </c>
      <c r="M128" s="567">
        <v>182607368.33027524</v>
      </c>
      <c r="N128" s="567">
        <v>0</v>
      </c>
      <c r="O128" s="567">
        <v>0</v>
      </c>
      <c r="P128" s="567">
        <v>0</v>
      </c>
      <c r="Q128" s="567">
        <v>182607368.33027524</v>
      </c>
      <c r="R128" s="564"/>
      <c r="S128" s="569"/>
      <c r="T128" s="311"/>
      <c r="U128" s="311"/>
    </row>
    <row r="129" spans="1:21" s="552" customFormat="1" ht="15" x14ac:dyDescent="0.25">
      <c r="A129" s="88" t="s">
        <v>286</v>
      </c>
      <c r="B129" s="88"/>
      <c r="C129" s="556"/>
      <c r="D129" s="84"/>
      <c r="E129" s="87" t="s">
        <v>232</v>
      </c>
      <c r="F129" s="556">
        <v>26</v>
      </c>
      <c r="G129" s="556"/>
      <c r="H129" s="554">
        <f t="shared" ref="H129:H138" si="24">F129+G129</f>
        <v>26</v>
      </c>
      <c r="I129" s="561">
        <v>2.1800000000000002</v>
      </c>
      <c r="J129" s="560">
        <v>0</v>
      </c>
      <c r="K129" s="559">
        <f>(I129-J129)/I129</f>
        <v>1</v>
      </c>
      <c r="L129" s="580">
        <v>7470</v>
      </c>
      <c r="M129" s="558">
        <f t="shared" ref="M129:M138" si="25">(H129*L129)*K129</f>
        <v>194220</v>
      </c>
      <c r="N129" s="555"/>
      <c r="O129" s="554"/>
      <c r="P129" s="554">
        <f t="shared" ref="P129:P138" si="26">N129*1000*17</f>
        <v>0</v>
      </c>
      <c r="Q129" s="554">
        <f t="shared" ref="Q129:Q138" si="27">M129+P129</f>
        <v>194220</v>
      </c>
      <c r="R129" s="553"/>
    </row>
    <row r="130" spans="1:21" s="552" customFormat="1" ht="15" hidden="1" x14ac:dyDescent="0.25">
      <c r="A130" s="88" t="s">
        <v>78</v>
      </c>
      <c r="B130" s="88"/>
      <c r="C130" s="556"/>
      <c r="D130" s="84"/>
      <c r="E130" s="84"/>
      <c r="F130" s="556"/>
      <c r="G130" s="556"/>
      <c r="H130" s="554">
        <f t="shared" si="24"/>
        <v>0</v>
      </c>
      <c r="I130" s="556"/>
      <c r="J130" s="556"/>
      <c r="K130" s="559"/>
      <c r="L130" s="84"/>
      <c r="M130" s="558">
        <f t="shared" si="25"/>
        <v>0</v>
      </c>
      <c r="N130" s="555"/>
      <c r="O130" s="554"/>
      <c r="P130" s="554">
        <f t="shared" si="26"/>
        <v>0</v>
      </c>
      <c r="Q130" s="554">
        <f t="shared" si="27"/>
        <v>0</v>
      </c>
      <c r="R130" s="553"/>
    </row>
    <row r="131" spans="1:21" s="552" customFormat="1" ht="15" hidden="1" x14ac:dyDescent="0.25">
      <c r="A131" s="88" t="s">
        <v>79</v>
      </c>
      <c r="B131" s="88"/>
      <c r="C131" s="556"/>
      <c r="D131" s="84"/>
      <c r="E131" s="84"/>
      <c r="F131" s="556"/>
      <c r="G131" s="556"/>
      <c r="H131" s="554">
        <f t="shared" si="24"/>
        <v>0</v>
      </c>
      <c r="I131" s="556"/>
      <c r="J131" s="556"/>
      <c r="K131" s="559"/>
      <c r="L131" s="84"/>
      <c r="M131" s="558">
        <f t="shared" si="25"/>
        <v>0</v>
      </c>
      <c r="N131" s="555"/>
      <c r="O131" s="554"/>
      <c r="P131" s="554">
        <f t="shared" si="26"/>
        <v>0</v>
      </c>
      <c r="Q131" s="554">
        <f t="shared" si="27"/>
        <v>0</v>
      </c>
      <c r="R131" s="553"/>
    </row>
    <row r="132" spans="1:21" s="552" customFormat="1" ht="15" hidden="1" x14ac:dyDescent="0.25">
      <c r="A132" s="88" t="s">
        <v>262</v>
      </c>
      <c r="B132" s="88"/>
      <c r="C132" s="556"/>
      <c r="D132" s="84"/>
      <c r="E132" s="84"/>
      <c r="F132" s="556"/>
      <c r="G132" s="556"/>
      <c r="H132" s="554">
        <f t="shared" si="24"/>
        <v>0</v>
      </c>
      <c r="I132" s="556"/>
      <c r="J132" s="556"/>
      <c r="K132" s="559"/>
      <c r="L132" s="84"/>
      <c r="M132" s="558">
        <f t="shared" si="25"/>
        <v>0</v>
      </c>
      <c r="N132" s="555"/>
      <c r="O132" s="554"/>
      <c r="P132" s="554">
        <f t="shared" si="26"/>
        <v>0</v>
      </c>
      <c r="Q132" s="554">
        <f t="shared" si="27"/>
        <v>0</v>
      </c>
      <c r="R132" s="553"/>
    </row>
    <row r="133" spans="1:21" s="552" customFormat="1" ht="15" x14ac:dyDescent="0.25">
      <c r="A133" s="564" t="s">
        <v>110</v>
      </c>
      <c r="B133" s="87"/>
      <c r="C133" s="567">
        <v>410</v>
      </c>
      <c r="D133" s="581"/>
      <c r="E133" s="87" t="s">
        <v>232</v>
      </c>
      <c r="F133" s="566">
        <f>623*0.5</f>
        <v>311.5</v>
      </c>
      <c r="G133" s="566"/>
      <c r="H133" s="554">
        <f t="shared" si="24"/>
        <v>311.5</v>
      </c>
      <c r="I133" s="561">
        <v>2.1800000000000002</v>
      </c>
      <c r="J133" s="560">
        <v>0</v>
      </c>
      <c r="K133" s="559">
        <f>(I133-J133)/I133</f>
        <v>1</v>
      </c>
      <c r="L133" s="580">
        <v>7470</v>
      </c>
      <c r="M133" s="558">
        <f t="shared" si="25"/>
        <v>2326905</v>
      </c>
      <c r="N133" s="565"/>
      <c r="O133" s="565"/>
      <c r="P133" s="554">
        <f t="shared" si="26"/>
        <v>0</v>
      </c>
      <c r="Q133" s="554">
        <f t="shared" si="27"/>
        <v>2326905</v>
      </c>
      <c r="R133" s="564"/>
      <c r="S133" s="569"/>
      <c r="T133" s="311"/>
      <c r="U133" s="311"/>
    </row>
    <row r="134" spans="1:21" s="552" customFormat="1" ht="15" hidden="1" x14ac:dyDescent="0.25">
      <c r="A134" s="88" t="s">
        <v>80</v>
      </c>
      <c r="B134" s="88"/>
      <c r="C134" s="556"/>
      <c r="D134" s="84"/>
      <c r="E134" s="84"/>
      <c r="F134" s="556"/>
      <c r="G134" s="556"/>
      <c r="H134" s="554">
        <f t="shared" si="24"/>
        <v>0</v>
      </c>
      <c r="I134" s="556"/>
      <c r="J134" s="556"/>
      <c r="K134" s="559"/>
      <c r="L134" s="84"/>
      <c r="M134" s="558">
        <f t="shared" si="25"/>
        <v>0</v>
      </c>
      <c r="N134" s="555"/>
      <c r="O134" s="554"/>
      <c r="P134" s="554">
        <f t="shared" si="26"/>
        <v>0</v>
      </c>
      <c r="Q134" s="554">
        <f t="shared" si="27"/>
        <v>0</v>
      </c>
      <c r="R134" s="553"/>
    </row>
    <row r="135" spans="1:21" s="552" customFormat="1" ht="15" hidden="1" x14ac:dyDescent="0.25">
      <c r="A135" s="88" t="s">
        <v>81</v>
      </c>
      <c r="B135" s="88"/>
      <c r="C135" s="556"/>
      <c r="D135" s="84"/>
      <c r="E135" s="84"/>
      <c r="F135" s="556"/>
      <c r="G135" s="556"/>
      <c r="H135" s="554">
        <f t="shared" si="24"/>
        <v>0</v>
      </c>
      <c r="I135" s="556"/>
      <c r="J135" s="556"/>
      <c r="K135" s="559"/>
      <c r="L135" s="84"/>
      <c r="M135" s="558">
        <f t="shared" si="25"/>
        <v>0</v>
      </c>
      <c r="N135" s="555"/>
      <c r="O135" s="554"/>
      <c r="P135" s="554">
        <f t="shared" si="26"/>
        <v>0</v>
      </c>
      <c r="Q135" s="554">
        <f t="shared" si="27"/>
        <v>0</v>
      </c>
      <c r="R135" s="553"/>
    </row>
    <row r="136" spans="1:21" s="552" customFormat="1" ht="15" x14ac:dyDescent="0.25">
      <c r="A136" s="564" t="s">
        <v>82</v>
      </c>
      <c r="B136" s="87"/>
      <c r="C136" s="567">
        <v>150</v>
      </c>
      <c r="D136" s="581"/>
      <c r="E136" s="87" t="s">
        <v>127</v>
      </c>
      <c r="F136" s="566">
        <v>110</v>
      </c>
      <c r="G136" s="566"/>
      <c r="H136" s="554">
        <f t="shared" si="24"/>
        <v>110</v>
      </c>
      <c r="I136" s="561">
        <v>2.1800000000000002</v>
      </c>
      <c r="J136" s="560">
        <v>0</v>
      </c>
      <c r="K136" s="559">
        <f>(I136-J136)/I136</f>
        <v>1</v>
      </c>
      <c r="L136" s="558">
        <v>33464</v>
      </c>
      <c r="M136" s="558">
        <f t="shared" si="25"/>
        <v>3681040</v>
      </c>
      <c r="N136" s="565"/>
      <c r="O136" s="565"/>
      <c r="P136" s="554">
        <f t="shared" si="26"/>
        <v>0</v>
      </c>
      <c r="Q136" s="554">
        <f t="shared" si="27"/>
        <v>3681040</v>
      </c>
      <c r="R136" s="564"/>
      <c r="S136" s="569"/>
      <c r="T136" s="311"/>
      <c r="U136" s="311"/>
    </row>
    <row r="137" spans="1:21" s="552" customFormat="1" ht="15" x14ac:dyDescent="0.25">
      <c r="A137" s="564" t="s">
        <v>261</v>
      </c>
      <c r="B137" s="87"/>
      <c r="C137" s="567">
        <v>235</v>
      </c>
      <c r="D137" s="581"/>
      <c r="E137" s="87" t="s">
        <v>232</v>
      </c>
      <c r="F137" s="566">
        <v>185</v>
      </c>
      <c r="G137" s="566"/>
      <c r="H137" s="554">
        <f t="shared" si="24"/>
        <v>185</v>
      </c>
      <c r="I137" s="561">
        <v>2.1800000000000002</v>
      </c>
      <c r="J137" s="560">
        <v>0</v>
      </c>
      <c r="K137" s="559">
        <f>(I137-J137)/I137</f>
        <v>1</v>
      </c>
      <c r="L137" s="580">
        <v>7470</v>
      </c>
      <c r="M137" s="558">
        <f t="shared" si="25"/>
        <v>1381950</v>
      </c>
      <c r="N137" s="565"/>
      <c r="O137" s="565"/>
      <c r="P137" s="554">
        <f t="shared" si="26"/>
        <v>0</v>
      </c>
      <c r="Q137" s="554">
        <f t="shared" si="27"/>
        <v>1381950</v>
      </c>
      <c r="R137" s="564"/>
      <c r="S137" s="569"/>
      <c r="T137" s="311"/>
      <c r="U137" s="311"/>
    </row>
    <row r="138" spans="1:21" s="552" customFormat="1" ht="15" hidden="1" x14ac:dyDescent="0.25">
      <c r="A138" s="88" t="s">
        <v>2</v>
      </c>
      <c r="B138" s="88"/>
      <c r="C138" s="556"/>
      <c r="D138" s="84"/>
      <c r="E138" s="84"/>
      <c r="F138" s="556"/>
      <c r="G138" s="556"/>
      <c r="H138" s="554">
        <f t="shared" si="24"/>
        <v>0</v>
      </c>
      <c r="I138" s="556"/>
      <c r="J138" s="556"/>
      <c r="K138" s="559"/>
      <c r="L138" s="84"/>
      <c r="M138" s="558">
        <f t="shared" si="25"/>
        <v>0</v>
      </c>
      <c r="N138" s="555"/>
      <c r="O138" s="554"/>
      <c r="P138" s="554">
        <f t="shared" si="26"/>
        <v>0</v>
      </c>
      <c r="Q138" s="554">
        <f t="shared" si="27"/>
        <v>0</v>
      </c>
      <c r="R138" s="553"/>
    </row>
    <row r="139" spans="1:21" s="665" customFormat="1" ht="15" x14ac:dyDescent="0.25">
      <c r="A139" s="660" t="s">
        <v>83</v>
      </c>
      <c r="B139" s="660"/>
      <c r="C139" s="653">
        <v>59.5</v>
      </c>
      <c r="D139" s="653">
        <v>0</v>
      </c>
      <c r="E139" s="653">
        <v>0</v>
      </c>
      <c r="F139" s="653">
        <v>85</v>
      </c>
      <c r="G139" s="653">
        <v>0</v>
      </c>
      <c r="H139" s="653">
        <v>85</v>
      </c>
      <c r="I139" s="653">
        <v>4.3600000000000003</v>
      </c>
      <c r="J139" s="653">
        <v>0</v>
      </c>
      <c r="K139" s="653">
        <v>2</v>
      </c>
      <c r="L139" s="653">
        <v>40934</v>
      </c>
      <c r="M139" s="653">
        <v>1544740</v>
      </c>
      <c r="N139" s="653">
        <v>0</v>
      </c>
      <c r="O139" s="653">
        <v>0</v>
      </c>
      <c r="P139" s="653">
        <v>0</v>
      </c>
      <c r="Q139" s="653">
        <v>1544740</v>
      </c>
      <c r="R139" s="664"/>
    </row>
    <row r="140" spans="1:21" s="552" customFormat="1" ht="15" x14ac:dyDescent="0.25">
      <c r="A140" s="568" t="s">
        <v>84</v>
      </c>
      <c r="B140" s="568"/>
      <c r="C140" s="567">
        <v>280</v>
      </c>
      <c r="D140" s="586"/>
      <c r="E140" s="87" t="s">
        <v>285</v>
      </c>
      <c r="F140" s="556">
        <v>200</v>
      </c>
      <c r="G140" s="556"/>
      <c r="H140" s="554">
        <f>SUM(F140:G140)</f>
        <v>200</v>
      </c>
      <c r="I140" s="561">
        <v>2.1800000000000002</v>
      </c>
      <c r="J140" s="560">
        <v>0</v>
      </c>
      <c r="K140" s="559">
        <f>(I140-J140)/I140</f>
        <v>1</v>
      </c>
      <c r="L140" s="580">
        <v>7470</v>
      </c>
      <c r="M140" s="558">
        <f>(H140*L140)*K140</f>
        <v>1494000</v>
      </c>
      <c r="N140" s="565"/>
      <c r="O140" s="565"/>
      <c r="P140" s="554">
        <f>N140*1000*17</f>
        <v>0</v>
      </c>
      <c r="Q140" s="554">
        <f>M140+P140</f>
        <v>1494000</v>
      </c>
      <c r="R140" s="564"/>
      <c r="S140" s="569"/>
      <c r="T140" s="311"/>
      <c r="U140" s="311"/>
    </row>
    <row r="141" spans="1:21" s="552" customFormat="1" ht="15" hidden="1" x14ac:dyDescent="0.25">
      <c r="A141" s="88" t="s">
        <v>260</v>
      </c>
      <c r="B141" s="88"/>
      <c r="C141" s="556"/>
      <c r="D141" s="84"/>
      <c r="E141" s="84"/>
      <c r="F141" s="556"/>
      <c r="G141" s="556"/>
      <c r="H141" s="554">
        <f>F141+G141</f>
        <v>0</v>
      </c>
      <c r="I141" s="556"/>
      <c r="J141" s="556"/>
      <c r="K141" s="559"/>
      <c r="L141" s="84"/>
      <c r="M141" s="558">
        <f>(H141*L141)*K141</f>
        <v>0</v>
      </c>
      <c r="N141" s="555"/>
      <c r="O141" s="554"/>
      <c r="P141" s="554">
        <f>N141*1000*17</f>
        <v>0</v>
      </c>
      <c r="Q141" s="554">
        <f>M141+P141</f>
        <v>0</v>
      </c>
      <c r="R141" s="553"/>
    </row>
    <row r="142" spans="1:21" s="665" customFormat="1" ht="15" x14ac:dyDescent="0.25">
      <c r="A142" s="660" t="s">
        <v>259</v>
      </c>
      <c r="B142" s="660"/>
      <c r="C142" s="653">
        <v>25</v>
      </c>
      <c r="D142" s="653">
        <v>0</v>
      </c>
      <c r="E142" s="653">
        <v>0</v>
      </c>
      <c r="F142" s="653">
        <v>10</v>
      </c>
      <c r="G142" s="653">
        <v>20</v>
      </c>
      <c r="H142" s="653">
        <v>30</v>
      </c>
      <c r="I142" s="653">
        <v>4.3600000000000003</v>
      </c>
      <c r="J142" s="653">
        <v>3.056</v>
      </c>
      <c r="K142" s="653">
        <v>1.298165137614679</v>
      </c>
      <c r="L142" s="653">
        <v>14940</v>
      </c>
      <c r="M142" s="653">
        <v>119245.87155963303</v>
      </c>
      <c r="N142" s="653">
        <v>0</v>
      </c>
      <c r="O142" s="653">
        <v>0</v>
      </c>
      <c r="P142" s="653">
        <v>0</v>
      </c>
      <c r="Q142" s="653">
        <v>119245.87155963303</v>
      </c>
      <c r="R142" s="664"/>
    </row>
    <row r="143" spans="1:21" s="66" customFormat="1" ht="15" x14ac:dyDescent="0.25">
      <c r="A143" s="585" t="s">
        <v>229</v>
      </c>
      <c r="B143" s="564"/>
      <c r="C143" s="567">
        <v>50</v>
      </c>
      <c r="D143" s="584"/>
      <c r="E143" s="87" t="s">
        <v>232</v>
      </c>
      <c r="F143" s="566">
        <v>15</v>
      </c>
      <c r="G143" s="566">
        <v>35</v>
      </c>
      <c r="H143" s="583">
        <f>SUM(F143:G143)</f>
        <v>50</v>
      </c>
      <c r="I143" s="561">
        <v>2.1800000000000002</v>
      </c>
      <c r="J143" s="560">
        <v>0.65</v>
      </c>
      <c r="K143" s="559">
        <f>(I143-J143)/I143</f>
        <v>0.70183486238532111</v>
      </c>
      <c r="L143" s="580">
        <v>7470</v>
      </c>
      <c r="M143" s="582">
        <f>(H143*L143)*K143</f>
        <v>262135.32110091744</v>
      </c>
      <c r="N143" s="565"/>
      <c r="O143" s="565"/>
      <c r="P143" s="554">
        <f>N143*1000*17</f>
        <v>0</v>
      </c>
      <c r="Q143" s="554">
        <f>M143+P143</f>
        <v>262135.32110091744</v>
      </c>
      <c r="R143" s="564"/>
      <c r="S143" s="571"/>
      <c r="T143" s="426"/>
      <c r="U143" s="426"/>
    </row>
    <row r="144" spans="1:21" s="552" customFormat="1" ht="15" x14ac:dyDescent="0.25">
      <c r="A144" s="564" t="s">
        <v>123</v>
      </c>
      <c r="B144" s="87"/>
      <c r="C144" s="567">
        <v>378</v>
      </c>
      <c r="D144" s="581"/>
      <c r="E144" s="87" t="s">
        <v>232</v>
      </c>
      <c r="F144" s="566">
        <v>255</v>
      </c>
      <c r="G144" s="566"/>
      <c r="H144" s="554">
        <f>F144+G144</f>
        <v>255</v>
      </c>
      <c r="I144" s="561">
        <v>2.1800000000000002</v>
      </c>
      <c r="J144" s="560">
        <v>0</v>
      </c>
      <c r="K144" s="559">
        <f>(I144-J144)/I144</f>
        <v>1</v>
      </c>
      <c r="L144" s="580">
        <v>7470</v>
      </c>
      <c r="M144" s="558">
        <f>(H144*L144)*K144</f>
        <v>1904850</v>
      </c>
      <c r="N144" s="565"/>
      <c r="O144" s="565"/>
      <c r="P144" s="554">
        <f>N144*1000*17</f>
        <v>0</v>
      </c>
      <c r="Q144" s="554">
        <f>M144+P144</f>
        <v>1904850</v>
      </c>
      <c r="R144" s="564"/>
      <c r="S144" s="569"/>
      <c r="T144" s="311"/>
      <c r="U144" s="311"/>
    </row>
    <row r="145" spans="1:21" s="552" customFormat="1" ht="15" x14ac:dyDescent="0.25">
      <c r="A145" s="564" t="s">
        <v>85</v>
      </c>
      <c r="B145" s="87"/>
      <c r="C145" s="567">
        <v>680</v>
      </c>
      <c r="D145" s="581"/>
      <c r="E145" s="87" t="s">
        <v>232</v>
      </c>
      <c r="F145" s="566">
        <v>593</v>
      </c>
      <c r="G145" s="566"/>
      <c r="H145" s="554">
        <f>F145+G145</f>
        <v>593</v>
      </c>
      <c r="I145" s="561">
        <v>2.1800000000000002</v>
      </c>
      <c r="J145" s="560">
        <v>0</v>
      </c>
      <c r="K145" s="559">
        <f>(I145-J145)/I145</f>
        <v>1</v>
      </c>
      <c r="L145" s="580">
        <v>7470</v>
      </c>
      <c r="M145" s="558">
        <f>(H145*L145)*K145</f>
        <v>4429710</v>
      </c>
      <c r="N145" s="565"/>
      <c r="O145" s="565"/>
      <c r="P145" s="554">
        <f>N145*1000*17</f>
        <v>0</v>
      </c>
      <c r="Q145" s="554">
        <f>M145+P145</f>
        <v>4429710</v>
      </c>
      <c r="R145" s="564"/>
      <c r="S145" s="569"/>
      <c r="T145" s="311"/>
      <c r="U145" s="311"/>
    </row>
    <row r="146" spans="1:21" s="552" customFormat="1" ht="15" x14ac:dyDescent="0.25">
      <c r="A146" s="88"/>
      <c r="B146" s="88"/>
      <c r="C146" s="556"/>
      <c r="D146" s="84"/>
      <c r="E146" s="84"/>
      <c r="F146" s="556"/>
      <c r="G146" s="556"/>
      <c r="H146" s="556"/>
      <c r="I146" s="557"/>
      <c r="J146" s="556"/>
      <c r="K146" s="554"/>
      <c r="L146" s="84"/>
      <c r="M146" s="84"/>
      <c r="N146" s="555"/>
      <c r="O146" s="554"/>
      <c r="P146" s="554"/>
      <c r="Q146" s="554"/>
      <c r="R146" s="553"/>
    </row>
    <row r="147" spans="1:21" s="573" customFormat="1" ht="16.5" x14ac:dyDescent="0.25">
      <c r="A147" s="579" t="s">
        <v>86</v>
      </c>
      <c r="B147" s="579"/>
      <c r="C147" s="578" t="e">
        <f>SUM(#REF!,#REF!)</f>
        <v>#REF!</v>
      </c>
      <c r="D147" s="576"/>
      <c r="E147" s="576"/>
      <c r="F147" s="578" t="e">
        <f>SUM(#REF!,#REF!)</f>
        <v>#REF!</v>
      </c>
      <c r="G147" s="578" t="e">
        <f>SUM(#REF!,#REF!)</f>
        <v>#REF!</v>
      </c>
      <c r="H147" s="578" t="e">
        <f>SUM(#REF!,#REF!)</f>
        <v>#REF!</v>
      </c>
      <c r="I147" s="578"/>
      <c r="J147" s="578"/>
      <c r="K147" s="577"/>
      <c r="L147" s="576" t="e">
        <f>SUM(#REF!,#REF!)</f>
        <v>#REF!</v>
      </c>
      <c r="M147" s="576" t="e">
        <f>SUM(#REF!,#REF!)</f>
        <v>#REF!</v>
      </c>
      <c r="N147" s="576" t="e">
        <f>SUM(#REF!,#REF!)</f>
        <v>#REF!</v>
      </c>
      <c r="O147" s="576" t="e">
        <f>AVERAGE(#REF!,#REF!)</f>
        <v>#REF!</v>
      </c>
      <c r="P147" s="576" t="e">
        <f>SUM(#REF!,#REF!)</f>
        <v>#REF!</v>
      </c>
      <c r="Q147" s="575" t="e">
        <f>P147+M147</f>
        <v>#REF!</v>
      </c>
      <c r="R147" s="574"/>
    </row>
    <row r="148" spans="1:21" s="552" customFormat="1" ht="15" hidden="1" x14ac:dyDescent="0.25">
      <c r="A148" s="88" t="s">
        <v>87</v>
      </c>
      <c r="B148" s="88"/>
      <c r="C148" s="556"/>
      <c r="D148" s="84"/>
      <c r="E148" s="84"/>
      <c r="F148" s="556"/>
      <c r="G148" s="556"/>
      <c r="H148" s="554">
        <f t="shared" ref="H148:H171" si="28">F148+G148</f>
        <v>0</v>
      </c>
      <c r="I148" s="556"/>
      <c r="J148" s="556"/>
      <c r="K148" s="559"/>
      <c r="L148" s="84"/>
      <c r="M148" s="558">
        <f t="shared" ref="M148:M171" si="29">(H148*L148)*K148</f>
        <v>0</v>
      </c>
      <c r="N148" s="555"/>
      <c r="O148" s="554"/>
      <c r="P148" s="554">
        <f t="shared" ref="P148:P171" si="30">N148*1000*17</f>
        <v>0</v>
      </c>
      <c r="Q148" s="554">
        <f t="shared" ref="Q148:Q171" si="31">M148+P148</f>
        <v>0</v>
      </c>
      <c r="R148" s="553"/>
    </row>
    <row r="149" spans="1:21" s="552" customFormat="1" ht="15" hidden="1" x14ac:dyDescent="0.25">
      <c r="A149" s="88" t="s">
        <v>88</v>
      </c>
      <c r="B149" s="88"/>
      <c r="C149" s="556"/>
      <c r="D149" s="84"/>
      <c r="E149" s="84"/>
      <c r="F149" s="556"/>
      <c r="G149" s="556"/>
      <c r="H149" s="554">
        <f t="shared" si="28"/>
        <v>0</v>
      </c>
      <c r="I149" s="556"/>
      <c r="J149" s="556"/>
      <c r="K149" s="559"/>
      <c r="L149" s="84"/>
      <c r="M149" s="558">
        <f t="shared" si="29"/>
        <v>0</v>
      </c>
      <c r="N149" s="555"/>
      <c r="O149" s="554"/>
      <c r="P149" s="554">
        <f t="shared" si="30"/>
        <v>0</v>
      </c>
      <c r="Q149" s="554">
        <f t="shared" si="31"/>
        <v>0</v>
      </c>
      <c r="R149" s="553"/>
    </row>
    <row r="150" spans="1:21" s="552" customFormat="1" ht="15" hidden="1" x14ac:dyDescent="0.25">
      <c r="A150" s="88" t="s">
        <v>195</v>
      </c>
      <c r="B150" s="88"/>
      <c r="C150" s="556"/>
      <c r="D150" s="84"/>
      <c r="E150" s="84"/>
      <c r="F150" s="556"/>
      <c r="G150" s="556"/>
      <c r="H150" s="554">
        <f t="shared" si="28"/>
        <v>0</v>
      </c>
      <c r="I150" s="556"/>
      <c r="J150" s="556"/>
      <c r="K150" s="559"/>
      <c r="L150" s="84"/>
      <c r="M150" s="558">
        <f t="shared" si="29"/>
        <v>0</v>
      </c>
      <c r="N150" s="555"/>
      <c r="O150" s="554"/>
      <c r="P150" s="554">
        <f t="shared" si="30"/>
        <v>0</v>
      </c>
      <c r="Q150" s="554">
        <f t="shared" si="31"/>
        <v>0</v>
      </c>
      <c r="R150" s="553"/>
    </row>
    <row r="151" spans="1:21" s="552" customFormat="1" ht="15" hidden="1" x14ac:dyDescent="0.25">
      <c r="A151" s="88" t="s">
        <v>89</v>
      </c>
      <c r="B151" s="88"/>
      <c r="C151" s="556"/>
      <c r="D151" s="84"/>
      <c r="E151" s="84"/>
      <c r="F151" s="556"/>
      <c r="G151" s="556"/>
      <c r="H151" s="554">
        <f t="shared" si="28"/>
        <v>0</v>
      </c>
      <c r="I151" s="556"/>
      <c r="J151" s="556"/>
      <c r="K151" s="559"/>
      <c r="L151" s="84"/>
      <c r="M151" s="558">
        <f t="shared" si="29"/>
        <v>0</v>
      </c>
      <c r="N151" s="555"/>
      <c r="O151" s="554"/>
      <c r="P151" s="554">
        <f t="shared" si="30"/>
        <v>0</v>
      </c>
      <c r="Q151" s="554">
        <f t="shared" si="31"/>
        <v>0</v>
      </c>
      <c r="R151" s="553"/>
    </row>
    <row r="152" spans="1:21" s="552" customFormat="1" ht="15" hidden="1" x14ac:dyDescent="0.25">
      <c r="A152" s="88" t="s">
        <v>90</v>
      </c>
      <c r="B152" s="88"/>
      <c r="C152" s="556"/>
      <c r="D152" s="84"/>
      <c r="E152" s="84"/>
      <c r="F152" s="556"/>
      <c r="G152" s="556"/>
      <c r="H152" s="554">
        <f t="shared" si="28"/>
        <v>0</v>
      </c>
      <c r="I152" s="556"/>
      <c r="J152" s="556"/>
      <c r="K152" s="559"/>
      <c r="L152" s="84"/>
      <c r="M152" s="558">
        <f t="shared" si="29"/>
        <v>0</v>
      </c>
      <c r="N152" s="555"/>
      <c r="O152" s="554"/>
      <c r="P152" s="554">
        <f t="shared" si="30"/>
        <v>0</v>
      </c>
      <c r="Q152" s="554">
        <f t="shared" si="31"/>
        <v>0</v>
      </c>
      <c r="R152" s="553"/>
    </row>
    <row r="153" spans="1:21" s="552" customFormat="1" ht="15" hidden="1" x14ac:dyDescent="0.25">
      <c r="A153" s="88" t="s">
        <v>118</v>
      </c>
      <c r="B153" s="88"/>
      <c r="C153" s="556"/>
      <c r="D153" s="84"/>
      <c r="E153" s="84"/>
      <c r="F153" s="556"/>
      <c r="G153" s="556"/>
      <c r="H153" s="554">
        <f t="shared" si="28"/>
        <v>0</v>
      </c>
      <c r="I153" s="556"/>
      <c r="J153" s="556"/>
      <c r="K153" s="559"/>
      <c r="L153" s="84"/>
      <c r="M153" s="558">
        <f t="shared" si="29"/>
        <v>0</v>
      </c>
      <c r="N153" s="555"/>
      <c r="O153" s="554"/>
      <c r="P153" s="554">
        <f t="shared" si="30"/>
        <v>0</v>
      </c>
      <c r="Q153" s="554">
        <f t="shared" si="31"/>
        <v>0</v>
      </c>
      <c r="R153" s="553"/>
    </row>
    <row r="154" spans="1:21" s="552" customFormat="1" ht="15" hidden="1" x14ac:dyDescent="0.25">
      <c r="A154" s="88" t="s">
        <v>92</v>
      </c>
      <c r="B154" s="88"/>
      <c r="C154" s="556"/>
      <c r="D154" s="84"/>
      <c r="E154" s="84"/>
      <c r="F154" s="556"/>
      <c r="G154" s="556"/>
      <c r="H154" s="554">
        <f t="shared" si="28"/>
        <v>0</v>
      </c>
      <c r="I154" s="556"/>
      <c r="J154" s="556"/>
      <c r="K154" s="559"/>
      <c r="L154" s="84"/>
      <c r="M154" s="558">
        <f t="shared" si="29"/>
        <v>0</v>
      </c>
      <c r="N154" s="555"/>
      <c r="O154" s="554"/>
      <c r="P154" s="554">
        <f t="shared" si="30"/>
        <v>0</v>
      </c>
      <c r="Q154" s="554">
        <f t="shared" si="31"/>
        <v>0</v>
      </c>
      <c r="R154" s="553"/>
    </row>
    <row r="155" spans="1:21" s="562" customFormat="1" ht="15" x14ac:dyDescent="0.25">
      <c r="A155" s="568" t="s">
        <v>112</v>
      </c>
      <c r="B155" s="568"/>
      <c r="C155" s="567">
        <v>1066</v>
      </c>
      <c r="D155" s="572"/>
      <c r="E155" s="87" t="s">
        <v>232</v>
      </c>
      <c r="F155" s="556">
        <v>569</v>
      </c>
      <c r="G155" s="556">
        <v>150</v>
      </c>
      <c r="H155" s="554">
        <f t="shared" si="28"/>
        <v>719</v>
      </c>
      <c r="I155" s="561">
        <v>2.4500000000000002</v>
      </c>
      <c r="J155" s="560">
        <v>0</v>
      </c>
      <c r="K155" s="559">
        <f>(I155-J155)/I155</f>
        <v>1</v>
      </c>
      <c r="L155" s="79">
        <v>7470</v>
      </c>
      <c r="M155" s="558">
        <f t="shared" si="29"/>
        <v>5370930</v>
      </c>
      <c r="N155" s="565"/>
      <c r="O155" s="565"/>
      <c r="P155" s="554">
        <f t="shared" si="30"/>
        <v>0</v>
      </c>
      <c r="Q155" s="554">
        <f t="shared" si="31"/>
        <v>5370930</v>
      </c>
      <c r="R155" s="564"/>
      <c r="S155" s="563"/>
      <c r="T155" s="477"/>
      <c r="U155" s="477"/>
    </row>
    <row r="156" spans="1:21" s="552" customFormat="1" ht="15" hidden="1" x14ac:dyDescent="0.25">
      <c r="A156" s="88" t="s">
        <v>227</v>
      </c>
      <c r="B156" s="88"/>
      <c r="C156" s="556"/>
      <c r="D156" s="84"/>
      <c r="E156" s="84"/>
      <c r="F156" s="556"/>
      <c r="G156" s="556"/>
      <c r="H156" s="554">
        <f t="shared" si="28"/>
        <v>0</v>
      </c>
      <c r="I156" s="556"/>
      <c r="J156" s="556"/>
      <c r="K156" s="559"/>
      <c r="L156" s="84"/>
      <c r="M156" s="558">
        <f t="shared" si="29"/>
        <v>0</v>
      </c>
      <c r="N156" s="555"/>
      <c r="O156" s="554"/>
      <c r="P156" s="554">
        <f t="shared" si="30"/>
        <v>0</v>
      </c>
      <c r="Q156" s="554">
        <f t="shared" si="31"/>
        <v>0</v>
      </c>
      <c r="R156" s="553"/>
    </row>
    <row r="157" spans="1:21" s="552" customFormat="1" ht="15" hidden="1" x14ac:dyDescent="0.25">
      <c r="A157" s="88" t="s">
        <v>95</v>
      </c>
      <c r="B157" s="88"/>
      <c r="C157" s="556"/>
      <c r="D157" s="84"/>
      <c r="E157" s="84"/>
      <c r="F157" s="556"/>
      <c r="G157" s="556"/>
      <c r="H157" s="554">
        <f t="shared" si="28"/>
        <v>0</v>
      </c>
      <c r="I157" s="556"/>
      <c r="J157" s="556"/>
      <c r="K157" s="559"/>
      <c r="L157" s="84"/>
      <c r="M157" s="558">
        <f t="shared" si="29"/>
        <v>0</v>
      </c>
      <c r="N157" s="555"/>
      <c r="O157" s="554"/>
      <c r="P157" s="554">
        <f t="shared" si="30"/>
        <v>0</v>
      </c>
      <c r="Q157" s="554">
        <f t="shared" si="31"/>
        <v>0</v>
      </c>
      <c r="R157" s="553"/>
    </row>
    <row r="158" spans="1:21" s="552" customFormat="1" ht="15" hidden="1" x14ac:dyDescent="0.25">
      <c r="A158" s="88" t="s">
        <v>0</v>
      </c>
      <c r="B158" s="88"/>
      <c r="C158" s="556"/>
      <c r="D158" s="84"/>
      <c r="E158" s="84"/>
      <c r="F158" s="556"/>
      <c r="G158" s="556"/>
      <c r="H158" s="554">
        <f t="shared" si="28"/>
        <v>0</v>
      </c>
      <c r="I158" s="556"/>
      <c r="J158" s="556"/>
      <c r="K158" s="559"/>
      <c r="L158" s="84"/>
      <c r="M158" s="558">
        <f t="shared" si="29"/>
        <v>0</v>
      </c>
      <c r="N158" s="555"/>
      <c r="O158" s="554"/>
      <c r="P158" s="554">
        <f t="shared" si="30"/>
        <v>0</v>
      </c>
      <c r="Q158" s="554">
        <f t="shared" si="31"/>
        <v>0</v>
      </c>
      <c r="R158" s="553"/>
    </row>
    <row r="159" spans="1:21" s="66" customFormat="1" ht="15" x14ac:dyDescent="0.25">
      <c r="A159" s="568" t="s">
        <v>97</v>
      </c>
      <c r="B159" s="568"/>
      <c r="C159" s="567">
        <v>27</v>
      </c>
      <c r="D159" s="572"/>
      <c r="E159" s="87" t="s">
        <v>232</v>
      </c>
      <c r="F159" s="556">
        <v>68</v>
      </c>
      <c r="G159" s="556"/>
      <c r="H159" s="554">
        <f t="shared" si="28"/>
        <v>68</v>
      </c>
      <c r="I159" s="561">
        <v>2.48</v>
      </c>
      <c r="J159" s="560">
        <v>0</v>
      </c>
      <c r="K159" s="559">
        <f>(I159-J159)/I159</f>
        <v>1</v>
      </c>
      <c r="L159" s="570">
        <v>7470</v>
      </c>
      <c r="M159" s="558">
        <f t="shared" si="29"/>
        <v>507960</v>
      </c>
      <c r="N159" s="565"/>
      <c r="O159" s="565"/>
      <c r="P159" s="554">
        <f t="shared" si="30"/>
        <v>0</v>
      </c>
      <c r="Q159" s="554">
        <f t="shared" si="31"/>
        <v>507960</v>
      </c>
      <c r="R159" s="564"/>
      <c r="S159" s="571"/>
      <c r="T159" s="426"/>
      <c r="U159" s="426"/>
    </row>
    <row r="160" spans="1:21" s="552" customFormat="1" ht="15" hidden="1" x14ac:dyDescent="0.25">
      <c r="A160" s="88" t="s">
        <v>117</v>
      </c>
      <c r="B160" s="88"/>
      <c r="C160" s="556"/>
      <c r="D160" s="84"/>
      <c r="E160" s="84"/>
      <c r="F160" s="556"/>
      <c r="G160" s="556"/>
      <c r="H160" s="554">
        <f t="shared" si="28"/>
        <v>0</v>
      </c>
      <c r="I160" s="556"/>
      <c r="J160" s="556"/>
      <c r="K160" s="559"/>
      <c r="L160" s="84"/>
      <c r="M160" s="558">
        <f t="shared" si="29"/>
        <v>0</v>
      </c>
      <c r="N160" s="555"/>
      <c r="O160" s="554"/>
      <c r="P160" s="554">
        <f t="shared" si="30"/>
        <v>0</v>
      </c>
      <c r="Q160" s="554">
        <f t="shared" si="31"/>
        <v>0</v>
      </c>
      <c r="R160" s="553"/>
    </row>
    <row r="161" spans="1:21" s="552" customFormat="1" ht="15" hidden="1" x14ac:dyDescent="0.25">
      <c r="A161" s="88" t="s">
        <v>3</v>
      </c>
      <c r="B161" s="88"/>
      <c r="C161" s="556"/>
      <c r="D161" s="84"/>
      <c r="E161" s="84"/>
      <c r="F161" s="556"/>
      <c r="G161" s="556"/>
      <c r="H161" s="554">
        <f t="shared" si="28"/>
        <v>0</v>
      </c>
      <c r="I161" s="556"/>
      <c r="J161" s="556"/>
      <c r="K161" s="559"/>
      <c r="L161" s="84"/>
      <c r="M161" s="558">
        <f t="shared" si="29"/>
        <v>0</v>
      </c>
      <c r="N161" s="555"/>
      <c r="O161" s="554"/>
      <c r="P161" s="554">
        <f t="shared" si="30"/>
        <v>0</v>
      </c>
      <c r="Q161" s="554">
        <f t="shared" si="31"/>
        <v>0</v>
      </c>
      <c r="R161" s="553"/>
    </row>
    <row r="162" spans="1:21" s="562" customFormat="1" ht="15" x14ac:dyDescent="0.25">
      <c r="A162" s="568" t="s">
        <v>91</v>
      </c>
      <c r="B162" s="568"/>
      <c r="C162" s="567">
        <v>320</v>
      </c>
      <c r="D162" s="566"/>
      <c r="E162" s="87" t="s">
        <v>127</v>
      </c>
      <c r="F162" s="556">
        <v>260</v>
      </c>
      <c r="G162" s="556"/>
      <c r="H162" s="554">
        <f t="shared" si="28"/>
        <v>260</v>
      </c>
      <c r="I162" s="561">
        <v>2.4500000000000002</v>
      </c>
      <c r="J162" s="560">
        <v>0</v>
      </c>
      <c r="K162" s="559">
        <f>(I162-J162)/I162</f>
        <v>1</v>
      </c>
      <c r="L162" s="79">
        <v>33464</v>
      </c>
      <c r="M162" s="558">
        <f t="shared" si="29"/>
        <v>8700640</v>
      </c>
      <c r="N162" s="565"/>
      <c r="O162" s="565"/>
      <c r="P162" s="554">
        <f t="shared" si="30"/>
        <v>0</v>
      </c>
      <c r="Q162" s="554">
        <f t="shared" si="31"/>
        <v>8700640</v>
      </c>
      <c r="R162" s="564"/>
      <c r="S162" s="563"/>
      <c r="T162" s="477"/>
      <c r="U162" s="477"/>
    </row>
    <row r="163" spans="1:21" s="552" customFormat="1" ht="15" hidden="1" x14ac:dyDescent="0.25">
      <c r="A163" s="88" t="s">
        <v>121</v>
      </c>
      <c r="B163" s="88"/>
      <c r="C163" s="556"/>
      <c r="D163" s="84"/>
      <c r="E163" s="84"/>
      <c r="F163" s="556"/>
      <c r="G163" s="556"/>
      <c r="H163" s="554">
        <f t="shared" si="28"/>
        <v>0</v>
      </c>
      <c r="I163" s="556"/>
      <c r="J163" s="556"/>
      <c r="K163" s="559"/>
      <c r="L163" s="84"/>
      <c r="M163" s="558">
        <f t="shared" si="29"/>
        <v>0</v>
      </c>
      <c r="N163" s="555"/>
      <c r="O163" s="554"/>
      <c r="P163" s="554">
        <f t="shared" si="30"/>
        <v>0</v>
      </c>
      <c r="Q163" s="554">
        <f t="shared" si="31"/>
        <v>0</v>
      </c>
      <c r="R163" s="553"/>
    </row>
    <row r="164" spans="1:21" s="552" customFormat="1" ht="15" hidden="1" x14ac:dyDescent="0.25">
      <c r="A164" s="88" t="s">
        <v>106</v>
      </c>
      <c r="B164" s="88"/>
      <c r="C164" s="556"/>
      <c r="D164" s="84"/>
      <c r="E164" s="84"/>
      <c r="F164" s="556"/>
      <c r="G164" s="556"/>
      <c r="H164" s="554">
        <f t="shared" si="28"/>
        <v>0</v>
      </c>
      <c r="I164" s="556"/>
      <c r="J164" s="556"/>
      <c r="K164" s="559"/>
      <c r="L164" s="84"/>
      <c r="M164" s="558">
        <f t="shared" si="29"/>
        <v>0</v>
      </c>
      <c r="N164" s="555"/>
      <c r="O164" s="554"/>
      <c r="P164" s="554">
        <f t="shared" si="30"/>
        <v>0</v>
      </c>
      <c r="Q164" s="554">
        <f t="shared" si="31"/>
        <v>0</v>
      </c>
      <c r="R164" s="553"/>
    </row>
    <row r="165" spans="1:21" s="552" customFormat="1" ht="15" x14ac:dyDescent="0.25">
      <c r="A165" s="568" t="s">
        <v>120</v>
      </c>
      <c r="B165" s="568"/>
      <c r="C165" s="567">
        <v>35</v>
      </c>
      <c r="D165" s="566"/>
      <c r="E165" s="87" t="s">
        <v>232</v>
      </c>
      <c r="F165" s="556">
        <v>44</v>
      </c>
      <c r="G165" s="556"/>
      <c r="H165" s="554">
        <f t="shared" si="28"/>
        <v>44</v>
      </c>
      <c r="I165" s="561">
        <v>2.4500000000000002</v>
      </c>
      <c r="J165" s="560">
        <f>I165*0.5</f>
        <v>1.2250000000000001</v>
      </c>
      <c r="K165" s="559">
        <f>(I165-J165)/I165</f>
        <v>0.5</v>
      </c>
      <c r="L165" s="570">
        <v>7470</v>
      </c>
      <c r="M165" s="558">
        <f t="shared" si="29"/>
        <v>164340</v>
      </c>
      <c r="N165" s="565"/>
      <c r="O165" s="565"/>
      <c r="P165" s="554">
        <f t="shared" si="30"/>
        <v>0</v>
      </c>
      <c r="Q165" s="554">
        <f t="shared" si="31"/>
        <v>164340</v>
      </c>
      <c r="R165" s="564"/>
      <c r="S165" s="569"/>
      <c r="T165" s="311"/>
      <c r="U165" s="311"/>
    </row>
    <row r="166" spans="1:21" s="552" customFormat="1" ht="15" hidden="1" x14ac:dyDescent="0.25">
      <c r="A166" s="88" t="s">
        <v>119</v>
      </c>
      <c r="B166" s="88"/>
      <c r="C166" s="556"/>
      <c r="D166" s="84"/>
      <c r="E166" s="84"/>
      <c r="F166" s="556"/>
      <c r="G166" s="556"/>
      <c r="H166" s="554">
        <f t="shared" si="28"/>
        <v>0</v>
      </c>
      <c r="I166" s="556"/>
      <c r="J166" s="556"/>
      <c r="K166" s="559"/>
      <c r="L166" s="84"/>
      <c r="M166" s="558">
        <f t="shared" si="29"/>
        <v>0</v>
      </c>
      <c r="N166" s="555"/>
      <c r="O166" s="554"/>
      <c r="P166" s="554">
        <f t="shared" si="30"/>
        <v>0</v>
      </c>
      <c r="Q166" s="554">
        <f t="shared" si="31"/>
        <v>0</v>
      </c>
      <c r="R166" s="553"/>
    </row>
    <row r="167" spans="1:21" s="562" customFormat="1" ht="15" x14ac:dyDescent="0.25">
      <c r="A167" s="568" t="s">
        <v>93</v>
      </c>
      <c r="B167" s="568"/>
      <c r="C167" s="567">
        <v>12</v>
      </c>
      <c r="D167" s="566"/>
      <c r="E167" s="87" t="s">
        <v>232</v>
      </c>
      <c r="F167" s="556">
        <v>157</v>
      </c>
      <c r="G167" s="556"/>
      <c r="H167" s="554">
        <f t="shared" si="28"/>
        <v>157</v>
      </c>
      <c r="I167" s="561">
        <v>2.4500000000000002</v>
      </c>
      <c r="J167" s="560">
        <v>0</v>
      </c>
      <c r="K167" s="559">
        <f>(I167-J167)/I167</f>
        <v>1</v>
      </c>
      <c r="L167" s="79">
        <v>7470</v>
      </c>
      <c r="M167" s="558">
        <f t="shared" si="29"/>
        <v>1172790</v>
      </c>
      <c r="N167" s="565"/>
      <c r="O167" s="565"/>
      <c r="P167" s="554">
        <f t="shared" si="30"/>
        <v>0</v>
      </c>
      <c r="Q167" s="554">
        <f t="shared" si="31"/>
        <v>1172790</v>
      </c>
      <c r="R167" s="564"/>
      <c r="S167" s="563"/>
      <c r="T167" s="477"/>
      <c r="U167" s="477"/>
    </row>
    <row r="168" spans="1:21" s="552" customFormat="1" ht="15" hidden="1" x14ac:dyDescent="0.25">
      <c r="A168" s="88" t="s">
        <v>249</v>
      </c>
      <c r="B168" s="88"/>
      <c r="C168" s="556"/>
      <c r="D168" s="84"/>
      <c r="E168" s="84"/>
      <c r="F168" s="556"/>
      <c r="G168" s="556"/>
      <c r="H168" s="554">
        <f t="shared" si="28"/>
        <v>0</v>
      </c>
      <c r="I168" s="556"/>
      <c r="J168" s="556"/>
      <c r="K168" s="559"/>
      <c r="L168" s="84"/>
      <c r="M168" s="558">
        <f t="shared" si="29"/>
        <v>0</v>
      </c>
      <c r="N168" s="555"/>
      <c r="O168" s="554"/>
      <c r="P168" s="554">
        <f t="shared" si="30"/>
        <v>0</v>
      </c>
      <c r="Q168" s="554">
        <f t="shared" si="31"/>
        <v>0</v>
      </c>
      <c r="R168" s="553"/>
    </row>
    <row r="169" spans="1:21" s="552" customFormat="1" ht="15" x14ac:dyDescent="0.25">
      <c r="A169" s="88" t="s">
        <v>94</v>
      </c>
      <c r="B169" s="88"/>
      <c r="C169" s="556">
        <v>372</v>
      </c>
      <c r="D169" s="84"/>
      <c r="E169" s="84" t="s">
        <v>232</v>
      </c>
      <c r="F169" s="556">
        <v>614</v>
      </c>
      <c r="G169" s="556"/>
      <c r="H169" s="554">
        <f t="shared" si="28"/>
        <v>614</v>
      </c>
      <c r="I169" s="561">
        <v>2.4500000000000002</v>
      </c>
      <c r="J169" s="560">
        <v>0</v>
      </c>
      <c r="K169" s="559">
        <f>(I169-J169)/I169</f>
        <v>1</v>
      </c>
      <c r="L169" s="79">
        <v>7470</v>
      </c>
      <c r="M169" s="558">
        <f t="shared" si="29"/>
        <v>4586580</v>
      </c>
      <c r="N169" s="555"/>
      <c r="O169" s="554"/>
      <c r="P169" s="554">
        <f t="shared" si="30"/>
        <v>0</v>
      </c>
      <c r="Q169" s="554">
        <f t="shared" si="31"/>
        <v>4586580</v>
      </c>
      <c r="R169" s="553"/>
    </row>
    <row r="170" spans="1:21" s="552" customFormat="1" ht="15" hidden="1" x14ac:dyDescent="0.25">
      <c r="A170" s="88" t="s">
        <v>284</v>
      </c>
      <c r="B170" s="88"/>
      <c r="C170" s="556"/>
      <c r="D170" s="84"/>
      <c r="E170" s="84"/>
      <c r="F170" s="556"/>
      <c r="G170" s="556"/>
      <c r="H170" s="554">
        <f t="shared" si="28"/>
        <v>0</v>
      </c>
      <c r="I170" s="556"/>
      <c r="J170" s="556"/>
      <c r="K170" s="559"/>
      <c r="L170" s="84"/>
      <c r="M170" s="558">
        <f t="shared" si="29"/>
        <v>0</v>
      </c>
      <c r="N170" s="555"/>
      <c r="O170" s="554"/>
      <c r="P170" s="554">
        <f t="shared" si="30"/>
        <v>0</v>
      </c>
      <c r="Q170" s="554">
        <f t="shared" si="31"/>
        <v>0</v>
      </c>
      <c r="R170" s="553"/>
    </row>
    <row r="171" spans="1:21" s="552" customFormat="1" ht="15" hidden="1" x14ac:dyDescent="0.25">
      <c r="A171" s="88" t="s">
        <v>96</v>
      </c>
      <c r="B171" s="88"/>
      <c r="C171" s="556"/>
      <c r="D171" s="84"/>
      <c r="E171" s="84"/>
      <c r="F171" s="556"/>
      <c r="G171" s="556"/>
      <c r="H171" s="554">
        <f t="shared" si="28"/>
        <v>0</v>
      </c>
      <c r="I171" s="556"/>
      <c r="J171" s="556"/>
      <c r="K171" s="559"/>
      <c r="L171" s="84"/>
      <c r="M171" s="558">
        <f t="shared" si="29"/>
        <v>0</v>
      </c>
      <c r="N171" s="555"/>
      <c r="O171" s="554"/>
      <c r="P171" s="554">
        <f t="shared" si="30"/>
        <v>0</v>
      </c>
      <c r="Q171" s="554">
        <f t="shared" si="31"/>
        <v>0</v>
      </c>
      <c r="R171" s="553"/>
    </row>
    <row r="172" spans="1:21" s="552" customFormat="1" ht="15" x14ac:dyDescent="0.25">
      <c r="A172" s="88"/>
      <c r="B172" s="88"/>
      <c r="C172" s="556"/>
      <c r="D172" s="84"/>
      <c r="E172" s="84"/>
      <c r="F172" s="556"/>
      <c r="G172" s="556"/>
      <c r="H172" s="556"/>
      <c r="I172" s="557"/>
      <c r="J172" s="556"/>
      <c r="K172" s="554"/>
      <c r="L172" s="84"/>
      <c r="M172" s="84"/>
      <c r="N172" s="555"/>
      <c r="O172" s="554"/>
      <c r="P172" s="554"/>
      <c r="Q172" s="554">
        <f>P172+M172</f>
        <v>0</v>
      </c>
      <c r="R172" s="553"/>
    </row>
    <row r="173" spans="1:21" ht="42" customHeight="1" x14ac:dyDescent="0.25">
      <c r="A173" s="779" t="s">
        <v>283</v>
      </c>
      <c r="B173" s="779"/>
      <c r="C173" s="779"/>
      <c r="D173" s="779"/>
      <c r="E173" s="779"/>
      <c r="F173" s="779"/>
      <c r="G173" s="779"/>
      <c r="H173" s="779"/>
      <c r="I173" s="779"/>
      <c r="J173" s="779"/>
      <c r="K173" s="779"/>
      <c r="L173" s="779"/>
      <c r="M173" s="779"/>
      <c r="N173" s="779"/>
      <c r="O173" s="779"/>
      <c r="P173" s="779"/>
      <c r="Q173" s="779"/>
      <c r="R173" s="779"/>
    </row>
  </sheetData>
  <mergeCells count="19">
    <mergeCell ref="A1:R1"/>
    <mergeCell ref="A2:R2"/>
    <mergeCell ref="A3:R3"/>
    <mergeCell ref="A4:R4"/>
    <mergeCell ref="A11:R11"/>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s>
  <phoneticPr fontId="57"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B02D-F857-A74E-B488-C3020C9AAF18}">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5" customWidth="1"/>
    <col min="2" max="2" width="19.42578125" style="15" hidden="1" customWidth="1"/>
    <col min="3" max="3" width="16.42578125" style="257" customWidth="1"/>
    <col min="4" max="4" width="15.85546875" style="257" customWidth="1"/>
    <col min="5" max="5" width="25.140625" style="256" customWidth="1"/>
    <col min="6" max="6" width="17.140625" style="255" customWidth="1"/>
    <col min="7" max="7" width="16.85546875" style="255" customWidth="1"/>
    <col min="8" max="8" width="19.140625" style="254" customWidth="1"/>
    <col min="9" max="9" width="15" style="15" customWidth="1"/>
    <col min="10" max="10" width="13.42578125" style="253" customWidth="1"/>
    <col min="11" max="11" width="11.140625" style="253" customWidth="1"/>
    <col min="12" max="12" width="25.140625" style="252" customWidth="1"/>
    <col min="13" max="13" width="26.42578125" style="252" customWidth="1"/>
    <col min="14" max="14" width="16.28515625" style="252" customWidth="1"/>
    <col min="15" max="15" width="12.140625" style="252" customWidth="1"/>
    <col min="16" max="16" width="29.42578125" style="20" customWidth="1"/>
    <col min="17" max="17" width="21.85546875" style="15" customWidth="1"/>
    <col min="18" max="18" width="9.140625" style="15"/>
    <col min="19" max="19" width="22.7109375" style="15" customWidth="1"/>
    <col min="20" max="20" width="29.28515625" style="15" customWidth="1"/>
    <col min="21" max="16384" width="9.140625" style="15"/>
  </cols>
  <sheetData>
    <row r="1" spans="1:20" ht="33.75" customHeight="1" x14ac:dyDescent="0.25">
      <c r="A1" s="782" t="s">
        <v>277</v>
      </c>
      <c r="B1" s="782"/>
      <c r="C1" s="782"/>
      <c r="D1" s="782"/>
      <c r="E1" s="782"/>
      <c r="F1" s="782"/>
      <c r="G1" s="782"/>
      <c r="H1" s="782"/>
      <c r="I1" s="782"/>
      <c r="J1" s="782"/>
      <c r="K1" s="782"/>
      <c r="L1" s="782"/>
      <c r="M1" s="782"/>
      <c r="N1" s="782"/>
      <c r="O1" s="782"/>
      <c r="P1" s="782"/>
      <c r="Q1" s="782"/>
    </row>
    <row r="2" spans="1:20" ht="18.95" customHeight="1" x14ac:dyDescent="0.25">
      <c r="A2" s="782" t="s">
        <v>276</v>
      </c>
      <c r="B2" s="782"/>
      <c r="C2" s="782"/>
      <c r="D2" s="782"/>
      <c r="E2" s="782"/>
      <c r="F2" s="782"/>
      <c r="G2" s="782"/>
      <c r="H2" s="782"/>
      <c r="I2" s="782"/>
      <c r="J2" s="782"/>
      <c r="K2" s="782"/>
      <c r="L2" s="782"/>
      <c r="M2" s="782"/>
      <c r="N2" s="782"/>
      <c r="O2" s="782"/>
      <c r="P2" s="782"/>
      <c r="Q2" s="782"/>
    </row>
    <row r="3" spans="1:20" ht="18.95" customHeight="1" x14ac:dyDescent="0.25">
      <c r="A3" s="782" t="s">
        <v>275</v>
      </c>
      <c r="B3" s="782"/>
      <c r="C3" s="782"/>
      <c r="D3" s="782"/>
      <c r="E3" s="782"/>
      <c r="F3" s="782"/>
      <c r="G3" s="782"/>
      <c r="H3" s="782"/>
      <c r="I3" s="782"/>
      <c r="J3" s="782"/>
      <c r="K3" s="782"/>
      <c r="L3" s="782"/>
      <c r="M3" s="782"/>
      <c r="N3" s="782"/>
      <c r="O3" s="782"/>
      <c r="P3" s="782"/>
      <c r="Q3" s="782"/>
    </row>
    <row r="4" spans="1:20" ht="18.95" customHeight="1" x14ac:dyDescent="0.25">
      <c r="A4" s="782" t="s">
        <v>274</v>
      </c>
      <c r="B4" s="782"/>
      <c r="C4" s="782"/>
      <c r="D4" s="782"/>
      <c r="E4" s="782"/>
      <c r="F4" s="782"/>
      <c r="G4" s="782"/>
      <c r="H4" s="782"/>
      <c r="I4" s="782"/>
      <c r="J4" s="782"/>
      <c r="K4" s="782"/>
      <c r="L4" s="782"/>
      <c r="M4" s="782"/>
      <c r="N4" s="782"/>
      <c r="O4" s="782"/>
      <c r="P4" s="782"/>
      <c r="Q4" s="782"/>
    </row>
    <row r="5" spans="1:20" ht="18.95" customHeight="1" thickBot="1" x14ac:dyDescent="0.3">
      <c r="A5" s="187"/>
      <c r="B5" s="187"/>
      <c r="C5" s="290"/>
      <c r="D5" s="290"/>
      <c r="E5" s="286"/>
      <c r="F5" s="290"/>
      <c r="G5" s="290"/>
      <c r="H5" s="289"/>
      <c r="I5" s="187"/>
      <c r="J5" s="286"/>
      <c r="K5" s="286"/>
      <c r="L5" s="286"/>
      <c r="M5" s="286"/>
      <c r="N5" s="286"/>
      <c r="O5" s="286"/>
      <c r="P5" s="187"/>
      <c r="Q5" s="187"/>
    </row>
    <row r="6" spans="1:20" ht="18.95" customHeight="1" x14ac:dyDescent="0.25">
      <c r="A6" s="218" t="s">
        <v>239</v>
      </c>
      <c r="B6" s="546"/>
      <c r="C6" s="447"/>
      <c r="D6" s="447"/>
      <c r="E6" s="443"/>
      <c r="F6" s="447"/>
      <c r="G6" s="447"/>
      <c r="H6" s="446"/>
      <c r="I6" s="208"/>
      <c r="J6" s="443"/>
      <c r="K6" s="443"/>
      <c r="L6" s="445"/>
      <c r="M6" s="444" t="s">
        <v>190</v>
      </c>
      <c r="N6" s="443"/>
      <c r="O6" s="443"/>
      <c r="P6" s="208"/>
      <c r="Q6" s="206"/>
    </row>
    <row r="7" spans="1:20" ht="18.95" customHeight="1" x14ac:dyDescent="0.25">
      <c r="A7" s="198"/>
      <c r="B7" s="280"/>
      <c r="C7" s="290"/>
      <c r="D7" s="290"/>
      <c r="E7" s="286"/>
      <c r="F7" s="290"/>
      <c r="G7" s="290"/>
      <c r="H7" s="289"/>
      <c r="I7" s="187"/>
      <c r="J7" s="286"/>
      <c r="K7" s="286"/>
      <c r="L7" s="439"/>
      <c r="M7" s="442" t="s">
        <v>189</v>
      </c>
      <c r="N7" s="441"/>
      <c r="O7" s="441" t="s">
        <v>188</v>
      </c>
      <c r="P7" s="187"/>
      <c r="Q7" s="185"/>
    </row>
    <row r="8" spans="1:20" ht="18.95" customHeight="1" x14ac:dyDescent="0.25">
      <c r="A8" s="198"/>
      <c r="B8" s="545"/>
      <c r="C8" s="290"/>
      <c r="D8" s="290"/>
      <c r="E8" s="286"/>
      <c r="F8" s="290"/>
      <c r="G8" s="290"/>
      <c r="H8" s="289"/>
      <c r="I8" s="187"/>
      <c r="J8" s="440"/>
      <c r="K8" s="286"/>
      <c r="L8" s="439"/>
      <c r="M8" s="438" t="s">
        <v>187</v>
      </c>
      <c r="N8" s="437"/>
      <c r="O8" s="286"/>
      <c r="P8" s="195" t="s">
        <v>186</v>
      </c>
      <c r="Q8" s="185"/>
    </row>
    <row r="9" spans="1:20" ht="18.95" customHeight="1" x14ac:dyDescent="0.25">
      <c r="A9" s="198"/>
      <c r="B9" s="545"/>
      <c r="C9" s="290"/>
      <c r="D9" s="290"/>
      <c r="E9" s="286"/>
      <c r="F9" s="290"/>
      <c r="G9" s="290"/>
      <c r="H9" s="289"/>
      <c r="I9" s="187"/>
      <c r="J9" s="440"/>
      <c r="K9" s="286"/>
      <c r="L9" s="439"/>
      <c r="M9" s="438" t="s">
        <v>185</v>
      </c>
      <c r="N9" s="437"/>
      <c r="O9" s="286"/>
      <c r="P9" s="195" t="s">
        <v>184</v>
      </c>
      <c r="Q9" s="185"/>
    </row>
    <row r="10" spans="1:20" ht="18.95" customHeight="1" thickBot="1" x14ac:dyDescent="0.3">
      <c r="A10" s="198"/>
      <c r="B10" s="545"/>
      <c r="C10" s="290"/>
      <c r="D10" s="290"/>
      <c r="E10" s="286"/>
      <c r="F10" s="290"/>
      <c r="G10" s="290"/>
      <c r="H10" s="289"/>
      <c r="I10" s="187"/>
      <c r="J10" s="286"/>
      <c r="K10" s="286"/>
      <c r="L10" s="439"/>
      <c r="M10" s="438" t="s">
        <v>183</v>
      </c>
      <c r="N10" s="437"/>
      <c r="O10" s="286"/>
      <c r="P10" s="195" t="s">
        <v>182</v>
      </c>
      <c r="Q10" s="185"/>
    </row>
    <row r="11" spans="1:20" ht="18.95" customHeight="1" thickBot="1" x14ac:dyDescent="0.3">
      <c r="A11" s="801" t="s">
        <v>181</v>
      </c>
      <c r="B11" s="802"/>
      <c r="C11" s="802"/>
      <c r="D11" s="802"/>
      <c r="E11" s="802"/>
      <c r="F11" s="802"/>
      <c r="G11" s="802"/>
      <c r="H11" s="802"/>
      <c r="I11" s="802"/>
      <c r="J11" s="802"/>
      <c r="K11" s="802"/>
      <c r="L11" s="802"/>
      <c r="M11" s="802"/>
      <c r="N11" s="802"/>
      <c r="O11" s="802"/>
      <c r="P11" s="802"/>
      <c r="Q11" s="803"/>
    </row>
    <row r="12" spans="1:20" ht="18.95" customHeight="1" x14ac:dyDescent="0.25">
      <c r="A12" s="759" t="s">
        <v>180</v>
      </c>
      <c r="B12" s="771" t="s">
        <v>179</v>
      </c>
      <c r="C12" s="804" t="s">
        <v>178</v>
      </c>
      <c r="D12" s="804" t="s">
        <v>177</v>
      </c>
      <c r="E12" s="789" t="s">
        <v>176</v>
      </c>
      <c r="F12" s="792" t="s">
        <v>175</v>
      </c>
      <c r="G12" s="793"/>
      <c r="H12" s="794"/>
      <c r="I12" s="744" t="s">
        <v>174</v>
      </c>
      <c r="J12" s="745"/>
      <c r="K12" s="789" t="s">
        <v>173</v>
      </c>
      <c r="L12" s="798" t="s">
        <v>172</v>
      </c>
      <c r="M12" s="798"/>
      <c r="N12" s="798"/>
      <c r="O12" s="798"/>
      <c r="P12" s="798"/>
      <c r="Q12" s="768" t="s">
        <v>171</v>
      </c>
    </row>
    <row r="13" spans="1:20" ht="30" customHeight="1" x14ac:dyDescent="0.25">
      <c r="A13" s="760"/>
      <c r="B13" s="765"/>
      <c r="C13" s="805"/>
      <c r="D13" s="805"/>
      <c r="E13" s="790"/>
      <c r="F13" s="795"/>
      <c r="G13" s="796"/>
      <c r="H13" s="797"/>
      <c r="I13" s="746"/>
      <c r="J13" s="747"/>
      <c r="K13" s="790"/>
      <c r="L13" s="799" t="s">
        <v>170</v>
      </c>
      <c r="M13" s="799"/>
      <c r="N13" s="780" t="s">
        <v>238</v>
      </c>
      <c r="O13" s="780"/>
      <c r="P13" s="780"/>
      <c r="Q13" s="769"/>
    </row>
    <row r="14" spans="1:20" ht="45.75" customHeight="1" thickBot="1" x14ac:dyDescent="0.3">
      <c r="A14" s="761"/>
      <c r="B14" s="772"/>
      <c r="C14" s="806"/>
      <c r="D14" s="806"/>
      <c r="E14" s="791"/>
      <c r="F14" s="436" t="s">
        <v>168</v>
      </c>
      <c r="G14" s="436" t="s">
        <v>167</v>
      </c>
      <c r="H14" s="435" t="s">
        <v>166</v>
      </c>
      <c r="I14" s="167" t="s">
        <v>165</v>
      </c>
      <c r="J14" s="434" t="s">
        <v>164</v>
      </c>
      <c r="K14" s="791"/>
      <c r="L14" s="433" t="s">
        <v>163</v>
      </c>
      <c r="M14" s="433" t="s">
        <v>162</v>
      </c>
      <c r="N14" s="432" t="s">
        <v>161</v>
      </c>
      <c r="O14" s="432" t="s">
        <v>160</v>
      </c>
      <c r="P14" s="165" t="s">
        <v>159</v>
      </c>
      <c r="Q14" s="770"/>
    </row>
    <row r="15" spans="1:20" s="65" customFormat="1" ht="19.5" customHeight="1" x14ac:dyDescent="0.25">
      <c r="A15" s="428" t="s">
        <v>158</v>
      </c>
      <c r="B15" s="428" t="s">
        <v>252</v>
      </c>
      <c r="C15" s="431" t="s">
        <v>157</v>
      </c>
      <c r="D15" s="431" t="s">
        <v>237</v>
      </c>
      <c r="E15" s="429" t="s">
        <v>156</v>
      </c>
      <c r="F15" s="431" t="s">
        <v>155</v>
      </c>
      <c r="G15" s="431" t="s">
        <v>154</v>
      </c>
      <c r="H15" s="430" t="s">
        <v>153</v>
      </c>
      <c r="I15" s="428" t="s">
        <v>152</v>
      </c>
      <c r="J15" s="429" t="s">
        <v>151</v>
      </c>
      <c r="K15" s="429" t="s">
        <v>150</v>
      </c>
      <c r="L15" s="429" t="s">
        <v>149</v>
      </c>
      <c r="M15" s="429" t="s">
        <v>148</v>
      </c>
      <c r="N15" s="429" t="s">
        <v>147</v>
      </c>
      <c r="O15" s="429" t="s">
        <v>146</v>
      </c>
      <c r="P15" s="428" t="s">
        <v>145</v>
      </c>
      <c r="Q15" s="427" t="s">
        <v>236</v>
      </c>
      <c r="T15" s="426"/>
    </row>
    <row r="16" spans="1:20" s="539" customFormat="1" ht="25.5" customHeight="1" x14ac:dyDescent="0.25">
      <c r="A16" s="544" t="s">
        <v>142</v>
      </c>
      <c r="B16" s="543"/>
      <c r="C16" s="542" t="e">
        <f>#REF!+#REF!+#REF!+#REF!+#REF!</f>
        <v>#REF!</v>
      </c>
      <c r="D16" s="542" t="e">
        <f>#REF!+#REF!+#REF!+#REF!+#REF!</f>
        <v>#REF!</v>
      </c>
      <c r="E16" s="542"/>
      <c r="F16" s="542" t="e">
        <f>#REF!+#REF!+#REF!+#REF!+#REF!</f>
        <v>#REF!</v>
      </c>
      <c r="G16" s="542" t="e">
        <f>#REF!+#REF!+#REF!+#REF!+#REF!</f>
        <v>#REF!</v>
      </c>
      <c r="H16" s="542" t="e">
        <f>#REF!+#REF!+#REF!+#REF!+#REF!</f>
        <v>#REF!</v>
      </c>
      <c r="I16" s="542"/>
      <c r="J16" s="542"/>
      <c r="K16" s="542"/>
      <c r="L16" s="542"/>
      <c r="M16" s="542"/>
      <c r="N16" s="542" t="e">
        <f>#REF!+#REF!+#REF!+#REF!+#REF!</f>
        <v>#REF!</v>
      </c>
      <c r="O16" s="542"/>
      <c r="P16" s="542" t="e">
        <f>#REF!+#REF!+#REF!+#REF!+#REF!</f>
        <v>#REF!</v>
      </c>
      <c r="Q16" s="541"/>
      <c r="T16" s="540"/>
    </row>
    <row r="17" spans="1:20" s="65" customFormat="1" ht="24.95" customHeight="1" x14ac:dyDescent="0.25">
      <c r="A17" s="538" t="s">
        <v>141</v>
      </c>
      <c r="B17" s="536"/>
      <c r="C17" s="372"/>
      <c r="D17" s="370"/>
      <c r="E17" s="371"/>
      <c r="F17" s="370"/>
      <c r="G17" s="369"/>
      <c r="H17" s="368"/>
      <c r="I17" s="367"/>
      <c r="J17" s="366"/>
      <c r="K17" s="365"/>
      <c r="L17" s="364"/>
      <c r="M17" s="363"/>
      <c r="N17" s="362"/>
      <c r="O17" s="362"/>
      <c r="P17" s="361"/>
      <c r="Q17" s="360"/>
      <c r="T17" s="311"/>
    </row>
    <row r="18" spans="1:20" s="65" customFormat="1" ht="24.95" customHeight="1" x14ac:dyDescent="0.25">
      <c r="A18" s="533" t="s">
        <v>8</v>
      </c>
      <c r="B18" s="534"/>
      <c r="C18" s="336">
        <v>800</v>
      </c>
      <c r="D18" s="334">
        <v>784.99990000000003</v>
      </c>
      <c r="E18" s="335" t="s">
        <v>129</v>
      </c>
      <c r="F18" s="334"/>
      <c r="G18" s="334">
        <v>784.99990000000003</v>
      </c>
      <c r="H18" s="333">
        <f>SUM(F18:G18)</f>
        <v>784.99990000000003</v>
      </c>
      <c r="I18" s="535">
        <v>3.51</v>
      </c>
      <c r="J18" s="331">
        <f>3.51*0.8</f>
        <v>2.8079999999999998</v>
      </c>
      <c r="K18" s="330">
        <f>(I18-J18)/I18</f>
        <v>0.2</v>
      </c>
      <c r="L18" s="329">
        <v>43768</v>
      </c>
      <c r="M18" s="328">
        <f>(H18*L18)*K18</f>
        <v>6871575.1246400001</v>
      </c>
      <c r="N18" s="384">
        <f>H18*I18*K18</f>
        <v>551.06992979999995</v>
      </c>
      <c r="O18" s="384">
        <v>17</v>
      </c>
      <c r="P18" s="385">
        <f>N18*1000*17</f>
        <v>9368188.8065999988</v>
      </c>
      <c r="Q18" s="533"/>
      <c r="T18" s="311"/>
    </row>
    <row r="19" spans="1:20" s="462" customFormat="1" ht="24.95" customHeight="1" x14ac:dyDescent="0.25">
      <c r="A19" s="547" t="s">
        <v>273</v>
      </c>
      <c r="B19" s="548"/>
      <c r="C19" s="449">
        <v>300</v>
      </c>
      <c r="D19" s="450">
        <v>250</v>
      </c>
      <c r="E19" s="451">
        <v>0</v>
      </c>
      <c r="F19" s="450">
        <v>151</v>
      </c>
      <c r="G19" s="450">
        <v>99</v>
      </c>
      <c r="H19" s="452">
        <v>250</v>
      </c>
      <c r="I19" s="549">
        <v>7.02</v>
      </c>
      <c r="J19" s="455">
        <v>5.2649999999999997</v>
      </c>
      <c r="K19" s="456">
        <v>0.5</v>
      </c>
      <c r="L19" s="457">
        <v>51238</v>
      </c>
      <c r="M19" s="458">
        <v>3371188</v>
      </c>
      <c r="N19" s="466">
        <v>287.82</v>
      </c>
      <c r="O19" s="466">
        <v>34</v>
      </c>
      <c r="P19" s="467">
        <v>4892940</v>
      </c>
      <c r="Q19" s="547"/>
      <c r="T19" s="463"/>
    </row>
    <row r="20" spans="1:20" s="65" customFormat="1" ht="24.95" customHeight="1" x14ac:dyDescent="0.25">
      <c r="A20" s="533" t="s">
        <v>10</v>
      </c>
      <c r="B20" s="534"/>
      <c r="C20" s="336">
        <v>10</v>
      </c>
      <c r="D20" s="334">
        <v>12.5</v>
      </c>
      <c r="E20" s="335" t="s">
        <v>132</v>
      </c>
      <c r="F20" s="334"/>
      <c r="G20" s="334">
        <v>12.5</v>
      </c>
      <c r="H20" s="333">
        <f>SUM(F20:G20)</f>
        <v>12.5</v>
      </c>
      <c r="I20" s="535">
        <v>3.51</v>
      </c>
      <c r="J20" s="331">
        <f>3.51*0.6</f>
        <v>2.1059999999999999</v>
      </c>
      <c r="K20" s="330">
        <f>(I20-J20)/I20</f>
        <v>0.4</v>
      </c>
      <c r="L20" s="329">
        <v>43768</v>
      </c>
      <c r="M20" s="328">
        <f>(H20*L20)*K20</f>
        <v>218840</v>
      </c>
      <c r="N20" s="384">
        <f>H20*I20*K20</f>
        <v>17.55</v>
      </c>
      <c r="O20" s="384">
        <v>17</v>
      </c>
      <c r="P20" s="385">
        <f>N20*1000*17</f>
        <v>298350</v>
      </c>
      <c r="Q20" s="533"/>
      <c r="T20" s="311"/>
    </row>
    <row r="21" spans="1:20" s="462" customFormat="1" ht="24.95" customHeight="1" x14ac:dyDescent="0.25">
      <c r="A21" s="547" t="s">
        <v>12</v>
      </c>
      <c r="B21" s="548"/>
      <c r="C21" s="449">
        <v>961</v>
      </c>
      <c r="D21" s="449">
        <v>843</v>
      </c>
      <c r="E21" s="449">
        <v>0</v>
      </c>
      <c r="F21" s="449">
        <v>726</v>
      </c>
      <c r="G21" s="449">
        <v>117</v>
      </c>
      <c r="H21" s="449">
        <v>843</v>
      </c>
      <c r="I21" s="449">
        <v>7.02</v>
      </c>
      <c r="J21" s="449">
        <v>5.2649999999999997</v>
      </c>
      <c r="K21" s="449">
        <v>0.5</v>
      </c>
      <c r="L21" s="449">
        <v>51238</v>
      </c>
      <c r="M21" s="449">
        <v>14088161.600000001</v>
      </c>
      <c r="N21" s="449">
        <v>1141.452</v>
      </c>
      <c r="O21" s="449">
        <v>34</v>
      </c>
      <c r="P21" s="449">
        <v>19404684</v>
      </c>
      <c r="Q21" s="547"/>
      <c r="T21" s="463"/>
    </row>
    <row r="22" spans="1:20" s="65" customFormat="1" ht="24.95" customHeight="1" x14ac:dyDescent="0.25">
      <c r="A22" s="533" t="s">
        <v>272</v>
      </c>
      <c r="B22" s="534"/>
      <c r="C22" s="336">
        <v>73</v>
      </c>
      <c r="D22" s="334">
        <v>69</v>
      </c>
      <c r="E22" s="335" t="s">
        <v>130</v>
      </c>
      <c r="F22" s="334">
        <v>27.2</v>
      </c>
      <c r="G22" s="334">
        <v>41.3</v>
      </c>
      <c r="H22" s="333">
        <f>SUM(F22:G22)</f>
        <v>68.5</v>
      </c>
      <c r="I22" s="535">
        <v>3.51</v>
      </c>
      <c r="J22" s="331">
        <f>3.51*0.9</f>
        <v>3.1589999999999998</v>
      </c>
      <c r="K22" s="330">
        <f>(I22-J22)/I22</f>
        <v>0.1</v>
      </c>
      <c r="L22" s="329">
        <v>7470</v>
      </c>
      <c r="M22" s="328">
        <f>(H22*L22)*K22</f>
        <v>51169.5</v>
      </c>
      <c r="N22" s="384">
        <f>H22*I22*K22</f>
        <v>24.043499999999998</v>
      </c>
      <c r="O22" s="384">
        <v>17</v>
      </c>
      <c r="P22" s="385">
        <f>N22*1000*17</f>
        <v>408739.49999999994</v>
      </c>
      <c r="Q22" s="533"/>
      <c r="T22" s="311"/>
    </row>
    <row r="23" spans="1:20" s="65" customFormat="1" ht="24.95" customHeight="1" x14ac:dyDescent="0.25">
      <c r="A23" s="533" t="s">
        <v>13</v>
      </c>
      <c r="B23" s="534"/>
      <c r="C23" s="336">
        <v>60</v>
      </c>
      <c r="D23" s="334">
        <v>35</v>
      </c>
      <c r="E23" s="335" t="s">
        <v>130</v>
      </c>
      <c r="F23" s="334">
        <v>21</v>
      </c>
      <c r="G23" s="334">
        <v>14</v>
      </c>
      <c r="H23" s="333">
        <f>SUM(F23:G23)</f>
        <v>35</v>
      </c>
      <c r="I23" s="535">
        <v>3.51</v>
      </c>
      <c r="J23" s="331">
        <f>3.51*0.9</f>
        <v>3.1589999999999998</v>
      </c>
      <c r="K23" s="330">
        <f>(I23-J23)/I23</f>
        <v>0.1</v>
      </c>
      <c r="L23" s="329">
        <v>7470</v>
      </c>
      <c r="M23" s="328">
        <f>(H23*L23)*K23</f>
        <v>26145</v>
      </c>
      <c r="N23" s="384">
        <f>H23*I23*K23</f>
        <v>12.285</v>
      </c>
      <c r="O23" s="384">
        <v>17</v>
      </c>
      <c r="P23" s="385">
        <f>N23*1000*17</f>
        <v>208845</v>
      </c>
      <c r="Q23" s="533"/>
      <c r="T23" s="311"/>
    </row>
    <row r="24" spans="1:20" s="462" customFormat="1" ht="24.95" customHeight="1" x14ac:dyDescent="0.25">
      <c r="A24" s="547" t="s">
        <v>19</v>
      </c>
      <c r="B24" s="548"/>
      <c r="C24" s="449">
        <v>93</v>
      </c>
      <c r="D24" s="449">
        <v>84</v>
      </c>
      <c r="E24" s="449">
        <v>0</v>
      </c>
      <c r="F24" s="449">
        <v>12.05</v>
      </c>
      <c r="G24" s="449">
        <v>72.2</v>
      </c>
      <c r="H24" s="449">
        <v>84.25</v>
      </c>
      <c r="I24" s="449">
        <v>7.02</v>
      </c>
      <c r="J24" s="449">
        <v>5.2649999999999997</v>
      </c>
      <c r="K24" s="449">
        <v>0.5</v>
      </c>
      <c r="L24" s="449">
        <v>51238</v>
      </c>
      <c r="M24" s="449">
        <v>1370230.35</v>
      </c>
      <c r="N24" s="449">
        <v>111.70574999999999</v>
      </c>
      <c r="O24" s="449">
        <v>34</v>
      </c>
      <c r="P24" s="449">
        <v>1898997.75</v>
      </c>
      <c r="Q24" s="547"/>
      <c r="T24" s="463"/>
    </row>
    <row r="25" spans="1:20" s="462" customFormat="1" ht="24.95" customHeight="1" x14ac:dyDescent="0.25">
      <c r="A25" s="547" t="s">
        <v>22</v>
      </c>
      <c r="B25" s="548"/>
      <c r="C25" s="449">
        <v>320</v>
      </c>
      <c r="D25" s="449">
        <v>303</v>
      </c>
      <c r="E25" s="449">
        <v>0</v>
      </c>
      <c r="F25" s="449">
        <v>89</v>
      </c>
      <c r="G25" s="449">
        <v>214</v>
      </c>
      <c r="H25" s="449">
        <v>303</v>
      </c>
      <c r="I25" s="449">
        <v>7.02</v>
      </c>
      <c r="J25" s="449">
        <v>5.2649999999999997</v>
      </c>
      <c r="K25" s="449">
        <v>0.5</v>
      </c>
      <c r="L25" s="449">
        <v>51238</v>
      </c>
      <c r="M25" s="449">
        <v>3796263.6</v>
      </c>
      <c r="N25" s="449">
        <v>330.642</v>
      </c>
      <c r="O25" s="449">
        <v>34</v>
      </c>
      <c r="P25" s="449">
        <v>5620914</v>
      </c>
      <c r="Q25" s="547"/>
      <c r="T25" s="463"/>
    </row>
    <row r="26" spans="1:20" s="462" customFormat="1" ht="24.95" customHeight="1" x14ac:dyDescent="0.25">
      <c r="A26" s="547" t="s">
        <v>25</v>
      </c>
      <c r="B26" s="548"/>
      <c r="C26" s="449">
        <v>33.5</v>
      </c>
      <c r="D26" s="450">
        <v>64</v>
      </c>
      <c r="E26" s="451">
        <v>0</v>
      </c>
      <c r="F26" s="450">
        <v>55.7</v>
      </c>
      <c r="G26" s="450">
        <v>8.8000000000000007</v>
      </c>
      <c r="H26" s="452">
        <v>64.5</v>
      </c>
      <c r="I26" s="549">
        <v>10.53</v>
      </c>
      <c r="J26" s="455">
        <v>8.0730000000000004</v>
      </c>
      <c r="K26" s="456">
        <v>0.70000000000000007</v>
      </c>
      <c r="L26" s="457">
        <v>84702</v>
      </c>
      <c r="M26" s="458">
        <v>382028.4</v>
      </c>
      <c r="N26" s="466">
        <v>43.524000000000001</v>
      </c>
      <c r="O26" s="466">
        <v>51</v>
      </c>
      <c r="P26" s="467">
        <v>739908</v>
      </c>
      <c r="Q26" s="547"/>
      <c r="T26" s="463"/>
    </row>
    <row r="27" spans="1:20" s="65" customFormat="1" ht="24.95" customHeight="1" x14ac:dyDescent="0.25">
      <c r="A27" s="533" t="s">
        <v>27</v>
      </c>
      <c r="B27" s="534"/>
      <c r="C27" s="336">
        <v>13</v>
      </c>
      <c r="D27" s="334">
        <v>13.1</v>
      </c>
      <c r="E27" s="335" t="s">
        <v>130</v>
      </c>
      <c r="F27" s="334">
        <v>9</v>
      </c>
      <c r="G27" s="334">
        <v>4</v>
      </c>
      <c r="H27" s="333">
        <f>SUM(F27:G27)</f>
        <v>13</v>
      </c>
      <c r="I27" s="535">
        <v>3.51</v>
      </c>
      <c r="J27" s="331">
        <f>3.51*0.9</f>
        <v>3.1589999999999998</v>
      </c>
      <c r="K27" s="330">
        <f>(I27-J27)/I27</f>
        <v>0.1</v>
      </c>
      <c r="L27" s="329">
        <v>43768</v>
      </c>
      <c r="M27" s="328">
        <f>(H27*L27)*K27</f>
        <v>56898.400000000001</v>
      </c>
      <c r="N27" s="384">
        <f>H27*I27*K27</f>
        <v>4.5629999999999997</v>
      </c>
      <c r="O27" s="384">
        <v>17</v>
      </c>
      <c r="P27" s="385">
        <f>N27*1000*17</f>
        <v>77571</v>
      </c>
      <c r="Q27" s="533"/>
      <c r="T27" s="311"/>
    </row>
    <row r="28" spans="1:20" s="65" customFormat="1" ht="24.95" customHeight="1" x14ac:dyDescent="0.25">
      <c r="A28" s="533" t="s">
        <v>31</v>
      </c>
      <c r="B28" s="534"/>
      <c r="C28" s="336">
        <v>489</v>
      </c>
      <c r="D28" s="334">
        <v>573.99999990000003</v>
      </c>
      <c r="E28" s="335" t="s">
        <v>132</v>
      </c>
      <c r="F28" s="334">
        <v>21.771000000000001</v>
      </c>
      <c r="G28" s="334">
        <v>552</v>
      </c>
      <c r="H28" s="333">
        <f>SUM(F28:G28)</f>
        <v>573.77099999999996</v>
      </c>
      <c r="I28" s="535">
        <v>3.51</v>
      </c>
      <c r="J28" s="331">
        <f>3.51*0.6</f>
        <v>2.1059999999999999</v>
      </c>
      <c r="K28" s="330">
        <f>(I28-J28)/I28</f>
        <v>0.4</v>
      </c>
      <c r="L28" s="329">
        <v>43768</v>
      </c>
      <c r="M28" s="328">
        <f>(H28*L28)*K28</f>
        <v>10045123.6512</v>
      </c>
      <c r="N28" s="384">
        <f>H28*I28*K28</f>
        <v>805.57448399999987</v>
      </c>
      <c r="O28" s="384">
        <v>17</v>
      </c>
      <c r="P28" s="385">
        <f>N28*1000*17</f>
        <v>13694766.227999996</v>
      </c>
      <c r="Q28" s="533"/>
      <c r="T28" s="311"/>
    </row>
    <row r="29" spans="1:20" s="65" customFormat="1" ht="24.95" customHeight="1" x14ac:dyDescent="0.25">
      <c r="A29" s="533" t="s">
        <v>30</v>
      </c>
      <c r="B29" s="534"/>
      <c r="C29" s="336">
        <v>49</v>
      </c>
      <c r="D29" s="334">
        <v>52.5</v>
      </c>
      <c r="E29" s="335" t="s">
        <v>129</v>
      </c>
      <c r="F29" s="334">
        <v>5.36</v>
      </c>
      <c r="G29" s="334">
        <v>1.34</v>
      </c>
      <c r="H29" s="333">
        <f>SUM(F29:G29)</f>
        <v>6.7</v>
      </c>
      <c r="I29" s="535">
        <v>3.51</v>
      </c>
      <c r="J29" s="331">
        <f>3.51*0.8</f>
        <v>2.8079999999999998</v>
      </c>
      <c r="K29" s="330">
        <f>(I29-J29)/I29</f>
        <v>0.2</v>
      </c>
      <c r="L29" s="329">
        <v>43768</v>
      </c>
      <c r="M29" s="328">
        <f>(H29*L29)*K29</f>
        <v>58649.12000000001</v>
      </c>
      <c r="N29" s="384">
        <f>H29*I29*K29</f>
        <v>4.7034000000000002</v>
      </c>
      <c r="O29" s="384">
        <v>17</v>
      </c>
      <c r="P29" s="385">
        <f>N29*1000*17</f>
        <v>79957.8</v>
      </c>
      <c r="Q29" s="533"/>
      <c r="T29" s="311"/>
    </row>
    <row r="30" spans="1:20" s="462" customFormat="1" ht="24.95" customHeight="1" x14ac:dyDescent="0.25">
      <c r="A30" s="547" t="s">
        <v>14</v>
      </c>
      <c r="B30" s="548"/>
      <c r="C30" s="449">
        <v>273</v>
      </c>
      <c r="D30" s="450">
        <v>275.55555555555497</v>
      </c>
      <c r="E30" s="451">
        <v>0</v>
      </c>
      <c r="F30" s="450">
        <v>35</v>
      </c>
      <c r="G30" s="450">
        <v>240.555555555555</v>
      </c>
      <c r="H30" s="452">
        <v>275.55555555555497</v>
      </c>
      <c r="I30" s="549">
        <v>7.02</v>
      </c>
      <c r="J30" s="455">
        <v>5.9669999999999996</v>
      </c>
      <c r="K30" s="456">
        <v>0.30000000000000004</v>
      </c>
      <c r="L30" s="457">
        <v>51238</v>
      </c>
      <c r="M30" s="458">
        <v>1851641.1111111064</v>
      </c>
      <c r="N30" s="466">
        <v>168.86999999999961</v>
      </c>
      <c r="O30" s="466">
        <v>34</v>
      </c>
      <c r="P30" s="467">
        <v>2870789.9999999935</v>
      </c>
      <c r="Q30" s="547"/>
      <c r="T30" s="463"/>
    </row>
    <row r="31" spans="1:20" s="65" customFormat="1" ht="24.95" customHeight="1" x14ac:dyDescent="0.25">
      <c r="A31" s="533" t="s">
        <v>15</v>
      </c>
      <c r="B31" s="534"/>
      <c r="C31" s="336">
        <v>750</v>
      </c>
      <c r="D31" s="334">
        <v>744</v>
      </c>
      <c r="E31" s="335" t="s">
        <v>129</v>
      </c>
      <c r="F31" s="334"/>
      <c r="G31" s="334">
        <v>744</v>
      </c>
      <c r="H31" s="333">
        <f>SUM(F31:G31)</f>
        <v>744</v>
      </c>
      <c r="I31" s="535">
        <v>3.51</v>
      </c>
      <c r="J31" s="331">
        <f>3.51*0.8</f>
        <v>2.8079999999999998</v>
      </c>
      <c r="K31" s="330">
        <f>(I31-J31)/I31</f>
        <v>0.2</v>
      </c>
      <c r="L31" s="329">
        <v>43768</v>
      </c>
      <c r="M31" s="328">
        <f>(H31*L31)*K31</f>
        <v>6512678.4000000004</v>
      </c>
      <c r="N31" s="384">
        <f>H31*I31*K31</f>
        <v>522.28800000000001</v>
      </c>
      <c r="O31" s="384">
        <v>17</v>
      </c>
      <c r="P31" s="385">
        <f>N31*1000*17</f>
        <v>8878896</v>
      </c>
      <c r="Q31" s="533"/>
      <c r="T31" s="311"/>
    </row>
    <row r="32" spans="1:20" s="462" customFormat="1" ht="24.95" customHeight="1" x14ac:dyDescent="0.25">
      <c r="A32" s="547" t="s">
        <v>16</v>
      </c>
      <c r="B32" s="548"/>
      <c r="C32" s="449">
        <v>62</v>
      </c>
      <c r="D32" s="449">
        <v>61</v>
      </c>
      <c r="E32" s="449">
        <v>0</v>
      </c>
      <c r="F32" s="449">
        <v>0</v>
      </c>
      <c r="G32" s="449">
        <v>61</v>
      </c>
      <c r="H32" s="449">
        <v>61</v>
      </c>
      <c r="I32" s="449">
        <v>7.02</v>
      </c>
      <c r="J32" s="449">
        <v>5.9669999999999996</v>
      </c>
      <c r="K32" s="449">
        <v>0.30000000000000004</v>
      </c>
      <c r="L32" s="449">
        <v>51238</v>
      </c>
      <c r="M32" s="449">
        <v>413870.60000000003</v>
      </c>
      <c r="N32" s="449">
        <v>37.556999999999995</v>
      </c>
      <c r="O32" s="449">
        <v>34</v>
      </c>
      <c r="P32" s="449">
        <v>638468.99999999988</v>
      </c>
      <c r="Q32" s="547"/>
      <c r="T32" s="463"/>
    </row>
    <row r="33" spans="1:20" s="65" customFormat="1" ht="24.95" customHeight="1" x14ac:dyDescent="0.25">
      <c r="A33" s="533" t="s">
        <v>29</v>
      </c>
      <c r="B33" s="534"/>
      <c r="C33" s="336">
        <v>7</v>
      </c>
      <c r="D33" s="334">
        <v>6</v>
      </c>
      <c r="E33" s="335" t="s">
        <v>129</v>
      </c>
      <c r="F33" s="334"/>
      <c r="G33" s="334">
        <v>6</v>
      </c>
      <c r="H33" s="333">
        <f t="shared" ref="H33:H38" si="0">SUM(F33:G33)</f>
        <v>6</v>
      </c>
      <c r="I33" s="535">
        <v>3.51</v>
      </c>
      <c r="J33" s="331">
        <f t="shared" ref="J33:J38" si="1">3.51*0.8</f>
        <v>2.8079999999999998</v>
      </c>
      <c r="K33" s="330">
        <f t="shared" ref="K33:K38" si="2">(I33-J33)/I33</f>
        <v>0.2</v>
      </c>
      <c r="L33" s="329">
        <v>43768</v>
      </c>
      <c r="M33" s="328">
        <f t="shared" ref="M33:M38" si="3">(H33*L33)*K33</f>
        <v>52521.600000000006</v>
      </c>
      <c r="N33" s="384">
        <f t="shared" ref="N33:N38" si="4">H33*I33*K33</f>
        <v>4.2119999999999997</v>
      </c>
      <c r="O33" s="384">
        <v>17</v>
      </c>
      <c r="P33" s="385">
        <f t="shared" ref="P33:P38" si="5">N33*1000*17</f>
        <v>71604</v>
      </c>
      <c r="Q33" s="533"/>
      <c r="T33" s="311"/>
    </row>
    <row r="34" spans="1:20" s="65" customFormat="1" ht="24.95" customHeight="1" x14ac:dyDescent="0.25">
      <c r="A34" s="533" t="s">
        <v>21</v>
      </c>
      <c r="B34" s="534"/>
      <c r="C34" s="336">
        <v>350</v>
      </c>
      <c r="D34" s="334">
        <v>300</v>
      </c>
      <c r="E34" s="335" t="s">
        <v>129</v>
      </c>
      <c r="F34" s="334"/>
      <c r="G34" s="334">
        <v>300</v>
      </c>
      <c r="H34" s="333">
        <f t="shared" si="0"/>
        <v>300</v>
      </c>
      <c r="I34" s="535">
        <v>3.51</v>
      </c>
      <c r="J34" s="331">
        <f t="shared" si="1"/>
        <v>2.8079999999999998</v>
      </c>
      <c r="K34" s="330">
        <f t="shared" si="2"/>
        <v>0.2</v>
      </c>
      <c r="L34" s="329">
        <v>43768</v>
      </c>
      <c r="M34" s="328">
        <f t="shared" si="3"/>
        <v>2626080</v>
      </c>
      <c r="N34" s="384">
        <f t="shared" si="4"/>
        <v>210.60000000000002</v>
      </c>
      <c r="O34" s="384">
        <v>17</v>
      </c>
      <c r="P34" s="385">
        <f t="shared" si="5"/>
        <v>3580200.0000000005</v>
      </c>
      <c r="Q34" s="533"/>
      <c r="T34" s="311"/>
    </row>
    <row r="35" spans="1:20" s="65" customFormat="1" ht="24.95" customHeight="1" x14ac:dyDescent="0.25">
      <c r="A35" s="533" t="s">
        <v>271</v>
      </c>
      <c r="B35" s="534"/>
      <c r="C35" s="336">
        <v>6</v>
      </c>
      <c r="D35" s="334">
        <v>12</v>
      </c>
      <c r="E35" s="335" t="s">
        <v>129</v>
      </c>
      <c r="F35" s="334">
        <v>0.97499999999999998</v>
      </c>
      <c r="G35" s="334">
        <v>2.2799999999999998</v>
      </c>
      <c r="H35" s="333">
        <f t="shared" si="0"/>
        <v>3.2549999999999999</v>
      </c>
      <c r="I35" s="535">
        <v>3.51</v>
      </c>
      <c r="J35" s="331">
        <f t="shared" si="1"/>
        <v>2.8079999999999998</v>
      </c>
      <c r="K35" s="330">
        <f t="shared" si="2"/>
        <v>0.2</v>
      </c>
      <c r="L35" s="329">
        <v>43768</v>
      </c>
      <c r="M35" s="328">
        <f t="shared" si="3"/>
        <v>28492.968000000001</v>
      </c>
      <c r="N35" s="384">
        <f t="shared" si="4"/>
        <v>2.2850099999999998</v>
      </c>
      <c r="O35" s="384">
        <v>17</v>
      </c>
      <c r="P35" s="385">
        <f t="shared" si="5"/>
        <v>38845.17</v>
      </c>
      <c r="Q35" s="533"/>
      <c r="T35" s="311"/>
    </row>
    <row r="36" spans="1:20" s="65" customFormat="1" ht="24.95" customHeight="1" x14ac:dyDescent="0.25">
      <c r="A36" s="533" t="s">
        <v>28</v>
      </c>
      <c r="B36" s="534"/>
      <c r="C36" s="336">
        <v>15</v>
      </c>
      <c r="D36" s="334">
        <v>17.5</v>
      </c>
      <c r="E36" s="335" t="s">
        <v>129</v>
      </c>
      <c r="F36" s="334"/>
      <c r="G36" s="334">
        <v>17.5</v>
      </c>
      <c r="H36" s="333">
        <f t="shared" si="0"/>
        <v>17.5</v>
      </c>
      <c r="I36" s="535">
        <v>3.51</v>
      </c>
      <c r="J36" s="331">
        <f t="shared" si="1"/>
        <v>2.8079999999999998</v>
      </c>
      <c r="K36" s="330">
        <f t="shared" si="2"/>
        <v>0.2</v>
      </c>
      <c r="L36" s="329">
        <v>43768</v>
      </c>
      <c r="M36" s="328">
        <f t="shared" si="3"/>
        <v>153188</v>
      </c>
      <c r="N36" s="384">
        <f t="shared" si="4"/>
        <v>12.285</v>
      </c>
      <c r="O36" s="384">
        <v>17</v>
      </c>
      <c r="P36" s="385">
        <f t="shared" si="5"/>
        <v>208845</v>
      </c>
      <c r="Q36" s="533"/>
      <c r="T36" s="311"/>
    </row>
    <row r="37" spans="1:20" s="65" customFormat="1" ht="24.95" customHeight="1" x14ac:dyDescent="0.25">
      <c r="A37" s="533" t="s">
        <v>105</v>
      </c>
      <c r="B37" s="534"/>
      <c r="C37" s="336">
        <v>1450</v>
      </c>
      <c r="D37" s="334">
        <v>1426.4</v>
      </c>
      <c r="E37" s="335" t="s">
        <v>129</v>
      </c>
      <c r="F37" s="334"/>
      <c r="G37" s="334">
        <v>1426.4</v>
      </c>
      <c r="H37" s="333">
        <f t="shared" si="0"/>
        <v>1426.4</v>
      </c>
      <c r="I37" s="535">
        <v>3.51</v>
      </c>
      <c r="J37" s="331">
        <f t="shared" si="1"/>
        <v>2.8079999999999998</v>
      </c>
      <c r="K37" s="330">
        <f t="shared" si="2"/>
        <v>0.2</v>
      </c>
      <c r="L37" s="329">
        <v>43768</v>
      </c>
      <c r="M37" s="328">
        <f t="shared" si="3"/>
        <v>12486135.040000001</v>
      </c>
      <c r="N37" s="384">
        <f t="shared" si="4"/>
        <v>1001.3328</v>
      </c>
      <c r="O37" s="384">
        <v>17</v>
      </c>
      <c r="P37" s="385">
        <f t="shared" si="5"/>
        <v>17022657.600000001</v>
      </c>
      <c r="Q37" s="533"/>
      <c r="T37" s="311"/>
    </row>
    <row r="38" spans="1:20" s="65" customFormat="1" ht="24.95" customHeight="1" x14ac:dyDescent="0.25">
      <c r="A38" s="533" t="s">
        <v>23</v>
      </c>
      <c r="B38" s="534"/>
      <c r="C38" s="336">
        <v>400</v>
      </c>
      <c r="D38" s="334">
        <v>404</v>
      </c>
      <c r="E38" s="335" t="s">
        <v>129</v>
      </c>
      <c r="F38" s="334"/>
      <c r="G38" s="334">
        <v>404</v>
      </c>
      <c r="H38" s="333">
        <f t="shared" si="0"/>
        <v>404</v>
      </c>
      <c r="I38" s="535">
        <v>3.51</v>
      </c>
      <c r="J38" s="331">
        <f t="shared" si="1"/>
        <v>2.8079999999999998</v>
      </c>
      <c r="K38" s="330">
        <f t="shared" si="2"/>
        <v>0.2</v>
      </c>
      <c r="L38" s="329">
        <v>43768</v>
      </c>
      <c r="M38" s="328">
        <f t="shared" si="3"/>
        <v>3536454.4000000004</v>
      </c>
      <c r="N38" s="384">
        <f t="shared" si="4"/>
        <v>283.608</v>
      </c>
      <c r="O38" s="384">
        <v>17</v>
      </c>
      <c r="P38" s="385">
        <f t="shared" si="5"/>
        <v>4821336</v>
      </c>
      <c r="Q38" s="533"/>
      <c r="T38" s="311"/>
    </row>
    <row r="39" spans="1:20" s="462" customFormat="1" ht="24.95" customHeight="1" x14ac:dyDescent="0.25">
      <c r="A39" s="547" t="s">
        <v>24</v>
      </c>
      <c r="B39" s="548"/>
      <c r="C39" s="449">
        <v>0</v>
      </c>
      <c r="D39" s="449">
        <v>297</v>
      </c>
      <c r="E39" s="449">
        <v>0</v>
      </c>
      <c r="F39" s="449">
        <v>113.5</v>
      </c>
      <c r="G39" s="449">
        <v>183.5</v>
      </c>
      <c r="H39" s="449">
        <v>297</v>
      </c>
      <c r="I39" s="449">
        <v>10.53</v>
      </c>
      <c r="J39" s="449">
        <v>8.7749999999999986</v>
      </c>
      <c r="K39" s="449">
        <v>0.5</v>
      </c>
      <c r="L39" s="449">
        <v>84702</v>
      </c>
      <c r="M39" s="449">
        <v>691172.60000000009</v>
      </c>
      <c r="N39" s="449">
        <v>129.51900000000001</v>
      </c>
      <c r="O39" s="449">
        <v>51</v>
      </c>
      <c r="P39" s="449">
        <v>2201823</v>
      </c>
      <c r="Q39" s="547"/>
      <c r="T39" s="463"/>
    </row>
    <row r="40" spans="1:20" s="65" customFormat="1" ht="24.95" customHeight="1" x14ac:dyDescent="0.25">
      <c r="A40" s="537" t="s">
        <v>270</v>
      </c>
      <c r="B40" s="534"/>
      <c r="C40" s="336">
        <v>1205</v>
      </c>
      <c r="D40" s="334">
        <v>1202</v>
      </c>
      <c r="E40" s="335" t="s">
        <v>129</v>
      </c>
      <c r="F40" s="334"/>
      <c r="G40" s="334">
        <v>1202</v>
      </c>
      <c r="H40" s="333">
        <f>SUM(F40:G40)</f>
        <v>1202</v>
      </c>
      <c r="I40" s="535">
        <v>3.51</v>
      </c>
      <c r="J40" s="331">
        <f>3.51*0.8</f>
        <v>2.8079999999999998</v>
      </c>
      <c r="K40" s="330">
        <f>(I40-J40)/I40</f>
        <v>0.2</v>
      </c>
      <c r="L40" s="329">
        <v>43768</v>
      </c>
      <c r="M40" s="328">
        <f>(H40*L40)*K40</f>
        <v>10521827.200000001</v>
      </c>
      <c r="N40" s="384">
        <f>H40*I40*K40</f>
        <v>843.80399999999997</v>
      </c>
      <c r="O40" s="384">
        <v>17</v>
      </c>
      <c r="P40" s="385">
        <f>N40*1000*17</f>
        <v>14344668</v>
      </c>
      <c r="Q40" s="533"/>
      <c r="T40" s="311"/>
    </row>
    <row r="41" spans="1:20" s="65" customFormat="1" ht="24.95" customHeight="1" x14ac:dyDescent="0.25">
      <c r="A41" s="533" t="s">
        <v>269</v>
      </c>
      <c r="B41" s="534"/>
      <c r="C41" s="336">
        <v>45</v>
      </c>
      <c r="D41" s="334">
        <v>44</v>
      </c>
      <c r="E41" s="335" t="s">
        <v>129</v>
      </c>
      <c r="F41" s="334"/>
      <c r="G41" s="334">
        <v>44</v>
      </c>
      <c r="H41" s="333">
        <f>SUM(F41:G41)</f>
        <v>44</v>
      </c>
      <c r="I41" s="535">
        <v>3.51</v>
      </c>
      <c r="J41" s="331">
        <f>3.51*0.8</f>
        <v>2.8079999999999998</v>
      </c>
      <c r="K41" s="330">
        <f>(I41-J41)/I41</f>
        <v>0.2</v>
      </c>
      <c r="L41" s="329">
        <v>43768</v>
      </c>
      <c r="M41" s="328">
        <f>(H41*L41)*K41</f>
        <v>385158.40000000002</v>
      </c>
      <c r="N41" s="384">
        <f>H41*I41*K41</f>
        <v>30.888000000000002</v>
      </c>
      <c r="O41" s="384">
        <v>17</v>
      </c>
      <c r="P41" s="385">
        <f>N41*1000*17</f>
        <v>525096</v>
      </c>
      <c r="Q41" s="800"/>
      <c r="T41" s="311"/>
    </row>
    <row r="42" spans="1:20" s="65" customFormat="1" ht="24.95" customHeight="1" x14ac:dyDescent="0.25">
      <c r="A42" s="533" t="s">
        <v>268</v>
      </c>
      <c r="B42" s="534"/>
      <c r="C42" s="336">
        <v>1619</v>
      </c>
      <c r="D42" s="334">
        <v>2254.4299999999998</v>
      </c>
      <c r="E42" s="335" t="s">
        <v>130</v>
      </c>
      <c r="F42" s="334">
        <v>834.11</v>
      </c>
      <c r="G42" s="334">
        <f>2254-834</f>
        <v>1420</v>
      </c>
      <c r="H42" s="333">
        <f>SUM(F42:G42)</f>
        <v>2254.11</v>
      </c>
      <c r="I42" s="535">
        <v>3.51</v>
      </c>
      <c r="J42" s="331">
        <f>3.51*0.9</f>
        <v>3.1589999999999998</v>
      </c>
      <c r="K42" s="330">
        <f>(I42-J42)/I42</f>
        <v>0.1</v>
      </c>
      <c r="L42" s="329">
        <v>7470</v>
      </c>
      <c r="M42" s="328">
        <f>(H42*L42)*K42</f>
        <v>1683820.17</v>
      </c>
      <c r="N42" s="384">
        <f>H42*I42*K42</f>
        <v>791.19261000000006</v>
      </c>
      <c r="O42" s="384">
        <v>17</v>
      </c>
      <c r="P42" s="385">
        <f>N42*1000*17</f>
        <v>13450274.370000001</v>
      </c>
      <c r="Q42" s="800"/>
      <c r="T42" s="311"/>
    </row>
    <row r="43" spans="1:20" s="65" customFormat="1" ht="19.5" customHeight="1" x14ac:dyDescent="0.25">
      <c r="A43" s="378"/>
      <c r="B43" s="534"/>
      <c r="C43" s="379"/>
      <c r="D43" s="379"/>
      <c r="E43" s="381"/>
      <c r="F43" s="379"/>
      <c r="G43" s="379"/>
      <c r="H43" s="380"/>
      <c r="I43" s="376"/>
      <c r="J43" s="331"/>
      <c r="K43" s="330"/>
      <c r="L43" s="379"/>
      <c r="M43" s="379"/>
      <c r="N43" s="379"/>
      <c r="O43" s="382"/>
      <c r="P43" s="379"/>
      <c r="Q43" s="338"/>
      <c r="T43" s="311"/>
    </row>
    <row r="44" spans="1:20" s="65" customFormat="1" ht="24.95" customHeight="1" x14ac:dyDescent="0.25">
      <c r="A44" s="386" t="s">
        <v>51</v>
      </c>
      <c r="B44" s="536"/>
      <c r="C44" s="372"/>
      <c r="D44" s="370"/>
      <c r="E44" s="371"/>
      <c r="F44" s="370"/>
      <c r="G44" s="369"/>
      <c r="H44" s="368"/>
      <c r="I44" s="367"/>
      <c r="J44" s="366"/>
      <c r="K44" s="365"/>
      <c r="L44" s="364"/>
      <c r="M44" s="363"/>
      <c r="N44" s="362"/>
      <c r="O44" s="362"/>
      <c r="P44" s="361"/>
      <c r="Q44" s="360"/>
      <c r="T44" s="311"/>
    </row>
    <row r="45" spans="1:20" s="462" customFormat="1" ht="24.95" customHeight="1" x14ac:dyDescent="0.25">
      <c r="A45" s="448" t="s">
        <v>52</v>
      </c>
      <c r="B45" s="548"/>
      <c r="C45" s="449">
        <v>171</v>
      </c>
      <c r="D45" s="449">
        <v>119</v>
      </c>
      <c r="E45" s="449">
        <v>0</v>
      </c>
      <c r="F45" s="449">
        <v>119</v>
      </c>
      <c r="G45" s="449">
        <v>0</v>
      </c>
      <c r="H45" s="449">
        <v>119</v>
      </c>
      <c r="I45" s="449">
        <v>7.02</v>
      </c>
      <c r="J45" s="449">
        <v>5.9669999999999996</v>
      </c>
      <c r="K45" s="449">
        <v>0.30000000000000004</v>
      </c>
      <c r="L45" s="449">
        <v>77232</v>
      </c>
      <c r="M45" s="449">
        <v>603695.20000000007</v>
      </c>
      <c r="N45" s="449">
        <v>55.106999999999999</v>
      </c>
      <c r="O45" s="449">
        <v>34</v>
      </c>
      <c r="P45" s="449">
        <v>936819</v>
      </c>
      <c r="Q45" s="461"/>
      <c r="T45" s="463"/>
    </row>
    <row r="46" spans="1:20" s="65" customFormat="1" ht="24.95" customHeight="1" x14ac:dyDescent="0.25">
      <c r="A46" s="533" t="s">
        <v>53</v>
      </c>
      <c r="B46" s="534"/>
      <c r="C46" s="336">
        <v>579</v>
      </c>
      <c r="D46" s="334">
        <v>791</v>
      </c>
      <c r="E46" s="335" t="s">
        <v>130</v>
      </c>
      <c r="F46" s="334">
        <v>791</v>
      </c>
      <c r="G46" s="334"/>
      <c r="H46" s="333">
        <f>SUM(F46:G46)</f>
        <v>791</v>
      </c>
      <c r="I46" s="535">
        <v>3.51</v>
      </c>
      <c r="J46" s="331">
        <f>3.51*0.9</f>
        <v>3.1589999999999998</v>
      </c>
      <c r="K46" s="330">
        <f>(I46-J46)/I46</f>
        <v>0.1</v>
      </c>
      <c r="L46" s="329">
        <v>7470</v>
      </c>
      <c r="M46" s="328">
        <f>(H46*L46)*K46</f>
        <v>590877</v>
      </c>
      <c r="N46" s="384">
        <f>H46*I46*K46</f>
        <v>277.64100000000002</v>
      </c>
      <c r="O46" s="384">
        <v>17</v>
      </c>
      <c r="P46" s="385">
        <f>N46*1000*17</f>
        <v>4719897</v>
      </c>
      <c r="Q46" s="533"/>
      <c r="T46" s="311"/>
    </row>
    <row r="47" spans="1:20" s="65" customFormat="1" ht="24.95" customHeight="1" x14ac:dyDescent="0.25">
      <c r="A47" s="533" t="s">
        <v>54</v>
      </c>
      <c r="B47" s="534"/>
      <c r="C47" s="336">
        <v>218</v>
      </c>
      <c r="D47" s="334">
        <v>94</v>
      </c>
      <c r="E47" s="335" t="s">
        <v>130</v>
      </c>
      <c r="F47" s="334">
        <v>94</v>
      </c>
      <c r="G47" s="334"/>
      <c r="H47" s="333">
        <f>SUM(F47:G47)</f>
        <v>94</v>
      </c>
      <c r="I47" s="535">
        <v>3.51</v>
      </c>
      <c r="J47" s="331">
        <f>3.51*0.9</f>
        <v>3.1589999999999998</v>
      </c>
      <c r="K47" s="330">
        <f>(I47-J47)/I47</f>
        <v>0.1</v>
      </c>
      <c r="L47" s="329">
        <v>7470</v>
      </c>
      <c r="M47" s="328">
        <f>(H47*L47)*K47</f>
        <v>70218</v>
      </c>
      <c r="N47" s="384">
        <f>H47*I47*K47</f>
        <v>32.994</v>
      </c>
      <c r="O47" s="384">
        <v>17</v>
      </c>
      <c r="P47" s="385">
        <f>N47*1000*17</f>
        <v>560898</v>
      </c>
      <c r="Q47" s="533"/>
      <c r="T47" s="311"/>
    </row>
    <row r="48" spans="1:20" s="65" customFormat="1" ht="24.95" customHeight="1" x14ac:dyDescent="0.25">
      <c r="A48" s="533" t="s">
        <v>50</v>
      </c>
      <c r="B48" s="534"/>
      <c r="C48" s="336">
        <v>3</v>
      </c>
      <c r="D48" s="334">
        <v>5</v>
      </c>
      <c r="E48" s="335" t="s">
        <v>130</v>
      </c>
      <c r="F48" s="334">
        <v>5</v>
      </c>
      <c r="G48" s="334"/>
      <c r="H48" s="333">
        <f>SUM(F48:G48)</f>
        <v>5</v>
      </c>
      <c r="I48" s="535">
        <v>3.51</v>
      </c>
      <c r="J48" s="331">
        <f>3.51*0.9</f>
        <v>3.1589999999999998</v>
      </c>
      <c r="K48" s="330">
        <f>(I48-J48)/I48</f>
        <v>0.1</v>
      </c>
      <c r="L48" s="329">
        <v>43768</v>
      </c>
      <c r="M48" s="328">
        <f>(H48*L48)*K48</f>
        <v>21884</v>
      </c>
      <c r="N48" s="384">
        <f>H48*I48*K48</f>
        <v>1.7549999999999999</v>
      </c>
      <c r="O48" s="384">
        <v>17</v>
      </c>
      <c r="P48" s="385">
        <f>N48*1000*17</f>
        <v>29835</v>
      </c>
      <c r="Q48" s="533"/>
      <c r="T48" s="311"/>
    </row>
    <row r="49" spans="1:20" s="65" customFormat="1" ht="24.95" customHeight="1" x14ac:dyDescent="0.25">
      <c r="A49" s="533" t="s">
        <v>51</v>
      </c>
      <c r="B49" s="534"/>
      <c r="C49" s="336">
        <v>52</v>
      </c>
      <c r="D49" s="334">
        <v>40</v>
      </c>
      <c r="E49" s="335" t="s">
        <v>130</v>
      </c>
      <c r="F49" s="334">
        <v>40</v>
      </c>
      <c r="G49" s="334"/>
      <c r="H49" s="333">
        <f>SUM(F49:G49)</f>
        <v>40</v>
      </c>
      <c r="I49" s="535">
        <v>3.51</v>
      </c>
      <c r="J49" s="331">
        <f>3.51*0.9</f>
        <v>3.1589999999999998</v>
      </c>
      <c r="K49" s="330">
        <f>(I49-J49)/I49</f>
        <v>0.1</v>
      </c>
      <c r="L49" s="329">
        <v>7470</v>
      </c>
      <c r="M49" s="328">
        <f>(H49*L49)*K49</f>
        <v>29880</v>
      </c>
      <c r="N49" s="384">
        <f>H49*I49*K49</f>
        <v>14.04</v>
      </c>
      <c r="O49" s="384">
        <v>17</v>
      </c>
      <c r="P49" s="385">
        <f>N49*1000*17</f>
        <v>238680</v>
      </c>
      <c r="Q49" s="533"/>
      <c r="T49" s="311"/>
    </row>
    <row r="50" spans="1:20" s="65" customFormat="1" ht="24.95" customHeight="1" x14ac:dyDescent="0.25">
      <c r="A50" s="533" t="s">
        <v>55</v>
      </c>
      <c r="B50" s="534"/>
      <c r="C50" s="336">
        <v>15</v>
      </c>
      <c r="D50" s="334">
        <v>5.25</v>
      </c>
      <c r="E50" s="335" t="s">
        <v>130</v>
      </c>
      <c r="F50" s="334">
        <v>5.25</v>
      </c>
      <c r="G50" s="334"/>
      <c r="H50" s="333">
        <f>SUM(F50:G50)</f>
        <v>5.25</v>
      </c>
      <c r="I50" s="535">
        <v>3.51</v>
      </c>
      <c r="J50" s="331">
        <f>3.51*0.9</f>
        <v>3.1589999999999998</v>
      </c>
      <c r="K50" s="330">
        <f>(I50-J50)/I50</f>
        <v>0.1</v>
      </c>
      <c r="L50" s="329">
        <v>7470</v>
      </c>
      <c r="M50" s="328">
        <f>(H50*L50)*K50</f>
        <v>3921.75</v>
      </c>
      <c r="N50" s="384">
        <f>H50*I50*K50</f>
        <v>1.8427499999999999</v>
      </c>
      <c r="O50" s="384">
        <v>17</v>
      </c>
      <c r="P50" s="385">
        <f>N50*1000*17</f>
        <v>31326.75</v>
      </c>
      <c r="Q50" s="533"/>
      <c r="T50" s="311"/>
    </row>
    <row r="51" spans="1:20" s="462" customFormat="1" ht="24.95" customHeight="1" x14ac:dyDescent="0.25">
      <c r="A51" s="547" t="s">
        <v>56</v>
      </c>
      <c r="B51" s="548"/>
      <c r="C51" s="449">
        <v>1210</v>
      </c>
      <c r="D51" s="449">
        <v>983</v>
      </c>
      <c r="E51" s="449">
        <v>0</v>
      </c>
      <c r="F51" s="449">
        <v>879.83</v>
      </c>
      <c r="G51" s="449">
        <v>102.67</v>
      </c>
      <c r="H51" s="449">
        <v>982.5</v>
      </c>
      <c r="I51" s="449">
        <v>7.02</v>
      </c>
      <c r="J51" s="449">
        <v>5.9669999999999996</v>
      </c>
      <c r="K51" s="449">
        <v>0.30000000000000004</v>
      </c>
      <c r="L51" s="449">
        <v>40934</v>
      </c>
      <c r="M51" s="449">
        <v>2856578.1</v>
      </c>
      <c r="N51" s="449">
        <v>470.16449999999998</v>
      </c>
      <c r="O51" s="449">
        <v>34</v>
      </c>
      <c r="P51" s="449">
        <v>7992796.5</v>
      </c>
      <c r="Q51" s="547"/>
      <c r="T51" s="463"/>
    </row>
    <row r="52" spans="1:20" s="65" customFormat="1" ht="19.5" customHeight="1" x14ac:dyDescent="0.25">
      <c r="A52" s="378"/>
      <c r="B52" s="534"/>
      <c r="C52" s="379"/>
      <c r="D52" s="379"/>
      <c r="E52" s="381"/>
      <c r="F52" s="379"/>
      <c r="G52" s="379"/>
      <c r="H52" s="380"/>
      <c r="I52" s="376"/>
      <c r="J52" s="331"/>
      <c r="K52" s="330"/>
      <c r="L52" s="379"/>
      <c r="M52" s="379"/>
      <c r="N52" s="379"/>
      <c r="O52" s="382"/>
      <c r="P52" s="379"/>
      <c r="Q52" s="338"/>
      <c r="T52" s="311"/>
    </row>
    <row r="53" spans="1:20" s="65" customFormat="1" ht="19.5" customHeight="1" x14ac:dyDescent="0.25">
      <c r="A53" s="386" t="s">
        <v>251</v>
      </c>
      <c r="B53" s="536"/>
      <c r="C53" s="372"/>
      <c r="D53" s="370"/>
      <c r="E53" s="371"/>
      <c r="F53" s="370"/>
      <c r="G53" s="369"/>
      <c r="H53" s="368"/>
      <c r="I53" s="367"/>
      <c r="J53" s="366"/>
      <c r="K53" s="365"/>
      <c r="L53" s="364"/>
      <c r="M53" s="363"/>
      <c r="N53" s="362"/>
      <c r="O53" s="362"/>
      <c r="P53" s="361"/>
      <c r="Q53" s="360"/>
      <c r="T53" s="311"/>
    </row>
    <row r="54" spans="1:20" s="462" customFormat="1" ht="19.5" customHeight="1" x14ac:dyDescent="0.25">
      <c r="A54" s="448" t="s">
        <v>58</v>
      </c>
      <c r="B54" s="548"/>
      <c r="C54" s="449">
        <v>2620</v>
      </c>
      <c r="D54" s="449">
        <v>2606.5</v>
      </c>
      <c r="E54" s="449">
        <v>0</v>
      </c>
      <c r="F54" s="449">
        <v>1063</v>
      </c>
      <c r="G54" s="449">
        <v>1543.5</v>
      </c>
      <c r="H54" s="449">
        <v>2606.5</v>
      </c>
      <c r="I54" s="449">
        <v>7.02</v>
      </c>
      <c r="J54" s="449">
        <v>5.6159999999999997</v>
      </c>
      <c r="K54" s="449">
        <v>0.4</v>
      </c>
      <c r="L54" s="449">
        <v>51238</v>
      </c>
      <c r="M54" s="449">
        <v>21060833.399999999</v>
      </c>
      <c r="N54" s="449">
        <v>1998.4184999999998</v>
      </c>
      <c r="O54" s="449">
        <v>34</v>
      </c>
      <c r="P54" s="449">
        <v>33973114.5</v>
      </c>
      <c r="Q54" s="461"/>
      <c r="T54" s="463"/>
    </row>
    <row r="55" spans="1:20" s="462" customFormat="1" ht="24.95" customHeight="1" x14ac:dyDescent="0.25">
      <c r="A55" s="547" t="s">
        <v>107</v>
      </c>
      <c r="B55" s="548"/>
      <c r="C55" s="449">
        <v>1462</v>
      </c>
      <c r="D55" s="449">
        <v>1596.62</v>
      </c>
      <c r="E55" s="449">
        <v>0</v>
      </c>
      <c r="F55" s="449">
        <v>337</v>
      </c>
      <c r="G55" s="449">
        <v>1259.6199999999999</v>
      </c>
      <c r="H55" s="449">
        <v>1596.62</v>
      </c>
      <c r="I55" s="449">
        <v>14.04</v>
      </c>
      <c r="J55" s="449">
        <v>10.179</v>
      </c>
      <c r="K55" s="449">
        <v>1.1000000000000001</v>
      </c>
      <c r="L55" s="449">
        <v>128470</v>
      </c>
      <c r="M55" s="449">
        <v>13763841.939999999</v>
      </c>
      <c r="N55" s="449">
        <v>1331.2096200000001</v>
      </c>
      <c r="O55" s="449">
        <v>68</v>
      </c>
      <c r="P55" s="449">
        <v>22630563.539999999</v>
      </c>
      <c r="Q55" s="547"/>
      <c r="T55" s="463"/>
    </row>
    <row r="56" spans="1:20" s="65" customFormat="1" ht="24.95" customHeight="1" x14ac:dyDescent="0.25">
      <c r="A56" s="533" t="s">
        <v>59</v>
      </c>
      <c r="B56" s="534"/>
      <c r="C56" s="336"/>
      <c r="D56" s="334">
        <v>200</v>
      </c>
      <c r="E56" s="335" t="s">
        <v>130</v>
      </c>
      <c r="F56" s="334">
        <v>200</v>
      </c>
      <c r="G56" s="334"/>
      <c r="H56" s="333">
        <f>SUM(F56:G56)</f>
        <v>200</v>
      </c>
      <c r="I56" s="535">
        <v>3.51</v>
      </c>
      <c r="J56" s="331">
        <f>3.51*0.9</f>
        <v>3.1589999999999998</v>
      </c>
      <c r="K56" s="330">
        <f>(I56-J56)/I56</f>
        <v>0.1</v>
      </c>
      <c r="L56" s="329">
        <v>7470</v>
      </c>
      <c r="M56" s="328">
        <f>(H56*L56)*K56</f>
        <v>149400</v>
      </c>
      <c r="N56" s="384">
        <f>H56*I56*K56</f>
        <v>70.2</v>
      </c>
      <c r="O56" s="384">
        <v>17</v>
      </c>
      <c r="P56" s="385">
        <f>N56*1000*17</f>
        <v>1193400</v>
      </c>
      <c r="Q56" s="533"/>
      <c r="T56" s="311"/>
    </row>
    <row r="57" spans="1:20" s="65" customFormat="1" ht="24.95" customHeight="1" x14ac:dyDescent="0.25">
      <c r="A57" s="533" t="s">
        <v>131</v>
      </c>
      <c r="B57" s="534"/>
      <c r="C57" s="336">
        <v>165</v>
      </c>
      <c r="D57" s="334">
        <v>171</v>
      </c>
      <c r="E57" s="335" t="s">
        <v>130</v>
      </c>
      <c r="F57" s="334">
        <v>131</v>
      </c>
      <c r="G57" s="334">
        <v>40</v>
      </c>
      <c r="H57" s="333">
        <f>SUM(F57:G57)</f>
        <v>171</v>
      </c>
      <c r="I57" s="535">
        <v>3.51</v>
      </c>
      <c r="J57" s="331">
        <f>3.51*0.9</f>
        <v>3.1589999999999998</v>
      </c>
      <c r="K57" s="330">
        <f>(I57-J57)/I57</f>
        <v>0.1</v>
      </c>
      <c r="L57" s="329">
        <v>33464</v>
      </c>
      <c r="M57" s="328">
        <f>(H57*L57)*K57</f>
        <v>572234.4</v>
      </c>
      <c r="N57" s="384">
        <f>H57*I57*K57</f>
        <v>60.020999999999994</v>
      </c>
      <c r="O57" s="384">
        <v>17</v>
      </c>
      <c r="P57" s="385">
        <f>N57*1000*17</f>
        <v>1020356.9999999999</v>
      </c>
      <c r="Q57" s="533"/>
      <c r="T57" s="311"/>
    </row>
    <row r="58" spans="1:20" s="462" customFormat="1" ht="24.95" customHeight="1" x14ac:dyDescent="0.25">
      <c r="A58" s="547" t="s">
        <v>62</v>
      </c>
      <c r="B58" s="548"/>
      <c r="C58" s="449">
        <v>801</v>
      </c>
      <c r="D58" s="449">
        <v>777.64</v>
      </c>
      <c r="E58" s="449">
        <v>0</v>
      </c>
      <c r="F58" s="449">
        <v>405</v>
      </c>
      <c r="G58" s="449">
        <v>373</v>
      </c>
      <c r="H58" s="449">
        <v>778</v>
      </c>
      <c r="I58" s="449">
        <v>14.04</v>
      </c>
      <c r="J58" s="449">
        <v>9.8279999999999994</v>
      </c>
      <c r="K58" s="449">
        <v>1.2000000000000002</v>
      </c>
      <c r="L58" s="449">
        <v>133470</v>
      </c>
      <c r="M58" s="449">
        <v>5440002</v>
      </c>
      <c r="N58" s="449">
        <v>683.39699999999993</v>
      </c>
      <c r="O58" s="449">
        <v>68</v>
      </c>
      <c r="P58" s="449">
        <v>11617749</v>
      </c>
      <c r="Q58" s="547"/>
      <c r="T58" s="463"/>
    </row>
    <row r="59" spans="1:20" s="65" customFormat="1" ht="24.95" customHeight="1" x14ac:dyDescent="0.25">
      <c r="A59" s="533" t="s">
        <v>64</v>
      </c>
      <c r="B59" s="534"/>
      <c r="C59" s="336">
        <v>250</v>
      </c>
      <c r="D59" s="334">
        <v>274.2</v>
      </c>
      <c r="E59" s="335" t="s">
        <v>130</v>
      </c>
      <c r="F59" s="334"/>
      <c r="G59" s="334">
        <v>274.2</v>
      </c>
      <c r="H59" s="333">
        <f>SUM(F59:G59)</f>
        <v>274.2</v>
      </c>
      <c r="I59" s="535">
        <v>3.51</v>
      </c>
      <c r="J59" s="331">
        <f>3.51*0.9</f>
        <v>3.1589999999999998</v>
      </c>
      <c r="K59" s="330">
        <f>(I59-J59)/I59</f>
        <v>0.1</v>
      </c>
      <c r="L59" s="329">
        <v>7470</v>
      </c>
      <c r="M59" s="328">
        <f>(H59*L59)*K59</f>
        <v>204827.40000000002</v>
      </c>
      <c r="N59" s="384">
        <f>H59*I59*K59</f>
        <v>96.244199999999992</v>
      </c>
      <c r="O59" s="384">
        <v>17</v>
      </c>
      <c r="P59" s="385">
        <f>N59*1000*17</f>
        <v>1636151.4</v>
      </c>
      <c r="Q59" s="411"/>
      <c r="T59" s="311"/>
    </row>
    <row r="60" spans="1:20" s="65" customFormat="1" ht="24.95" customHeight="1" x14ac:dyDescent="0.25">
      <c r="A60" s="533" t="s">
        <v>135</v>
      </c>
      <c r="B60" s="534"/>
      <c r="C60" s="336">
        <v>6</v>
      </c>
      <c r="D60" s="334">
        <v>4</v>
      </c>
      <c r="E60" s="335" t="s">
        <v>130</v>
      </c>
      <c r="F60" s="334">
        <v>4</v>
      </c>
      <c r="G60" s="334"/>
      <c r="H60" s="333">
        <v>4</v>
      </c>
      <c r="I60" s="535">
        <v>3.51</v>
      </c>
      <c r="J60" s="331">
        <f>3.51*0.9</f>
        <v>3.1589999999999998</v>
      </c>
      <c r="K60" s="330">
        <f>(I60-J60)/I60</f>
        <v>0.1</v>
      </c>
      <c r="L60" s="329">
        <v>7470</v>
      </c>
      <c r="M60" s="328">
        <f>(H60*L60)*K60</f>
        <v>2988</v>
      </c>
      <c r="N60" s="384">
        <f>H60*I60*K60</f>
        <v>1.4039999999999999</v>
      </c>
      <c r="O60" s="384">
        <v>17</v>
      </c>
      <c r="P60" s="385">
        <f>N60*1000*17</f>
        <v>23868</v>
      </c>
      <c r="Q60" s="411"/>
      <c r="T60" s="311"/>
    </row>
    <row r="61" spans="1:20" s="462" customFormat="1" ht="24.95" customHeight="1" x14ac:dyDescent="0.25">
      <c r="A61" s="547" t="s">
        <v>66</v>
      </c>
      <c r="B61" s="548"/>
      <c r="C61" s="449">
        <v>265</v>
      </c>
      <c r="D61" s="449">
        <v>249</v>
      </c>
      <c r="E61" s="449">
        <v>0</v>
      </c>
      <c r="F61" s="449">
        <v>248.5</v>
      </c>
      <c r="G61" s="449">
        <v>0</v>
      </c>
      <c r="H61" s="449">
        <v>248.5</v>
      </c>
      <c r="I61" s="449">
        <v>10.53</v>
      </c>
      <c r="J61" s="449">
        <v>8.0730000000000004</v>
      </c>
      <c r="K61" s="449">
        <v>0.7</v>
      </c>
      <c r="L61" s="449">
        <v>84702</v>
      </c>
      <c r="M61" s="449">
        <v>1569553.5</v>
      </c>
      <c r="N61" s="449">
        <v>168.65549999999999</v>
      </c>
      <c r="O61" s="449">
        <v>51</v>
      </c>
      <c r="P61" s="449">
        <v>2867143.5</v>
      </c>
      <c r="Q61" s="550"/>
      <c r="T61" s="463"/>
    </row>
    <row r="62" spans="1:20" s="65" customFormat="1" ht="24.95" customHeight="1" x14ac:dyDescent="0.25">
      <c r="A62" s="533" t="s">
        <v>230</v>
      </c>
      <c r="B62" s="534"/>
      <c r="C62" s="336">
        <v>200</v>
      </c>
      <c r="D62" s="334">
        <v>191</v>
      </c>
      <c r="E62" s="335" t="s">
        <v>130</v>
      </c>
      <c r="F62" s="334">
        <v>191</v>
      </c>
      <c r="G62" s="334"/>
      <c r="H62" s="333">
        <f>SUM(F62:G62)</f>
        <v>191</v>
      </c>
      <c r="I62" s="535">
        <v>3.51</v>
      </c>
      <c r="J62" s="331">
        <f>3.51*0.9</f>
        <v>3.1589999999999998</v>
      </c>
      <c r="K62" s="330">
        <f>(I62-J62)/I62</f>
        <v>0.1</v>
      </c>
      <c r="L62" s="329">
        <v>7470</v>
      </c>
      <c r="M62" s="328">
        <f>(H62*L62)*K62</f>
        <v>142677</v>
      </c>
      <c r="N62" s="384">
        <f>H62*I62*K62</f>
        <v>67.040999999999997</v>
      </c>
      <c r="O62" s="384">
        <v>17</v>
      </c>
      <c r="P62" s="385">
        <f>N62*1000*17</f>
        <v>1139697</v>
      </c>
      <c r="Q62" s="411"/>
      <c r="T62" s="311"/>
    </row>
    <row r="63" spans="1:20" s="65" customFormat="1" ht="24.95" customHeight="1" x14ac:dyDescent="0.25">
      <c r="A63" s="533" t="s">
        <v>67</v>
      </c>
      <c r="B63" s="534"/>
      <c r="C63" s="336">
        <v>58</v>
      </c>
      <c r="D63" s="334">
        <v>48</v>
      </c>
      <c r="E63" s="335" t="s">
        <v>130</v>
      </c>
      <c r="F63" s="334"/>
      <c r="G63" s="334">
        <v>48</v>
      </c>
      <c r="H63" s="333">
        <f>SUM(F63:G63)</f>
        <v>48</v>
      </c>
      <c r="I63" s="535">
        <v>3.51</v>
      </c>
      <c r="J63" s="331">
        <f>3.51*0.9</f>
        <v>3.1589999999999998</v>
      </c>
      <c r="K63" s="330">
        <f>(I63-J63)/I63</f>
        <v>0.1</v>
      </c>
      <c r="L63" s="329">
        <v>7470</v>
      </c>
      <c r="M63" s="328">
        <f>(H63*L63)*K63</f>
        <v>35856</v>
      </c>
      <c r="N63" s="384">
        <f>H63*I63*K63</f>
        <v>16.847999999999999</v>
      </c>
      <c r="O63" s="384">
        <v>17</v>
      </c>
      <c r="P63" s="385">
        <f>N63*1000*17</f>
        <v>286416</v>
      </c>
      <c r="Q63" s="411"/>
      <c r="T63" s="311"/>
    </row>
    <row r="64" spans="1:20" s="462" customFormat="1" ht="24.95" customHeight="1" x14ac:dyDescent="0.25">
      <c r="A64" s="547" t="s">
        <v>134</v>
      </c>
      <c r="B64" s="548"/>
      <c r="C64" s="449">
        <v>1131</v>
      </c>
      <c r="D64" s="449">
        <v>1245.0999999999999</v>
      </c>
      <c r="E64" s="449">
        <v>0</v>
      </c>
      <c r="F64" s="449">
        <v>944.30000000000007</v>
      </c>
      <c r="G64" s="449">
        <v>305</v>
      </c>
      <c r="H64" s="449">
        <v>1249.3</v>
      </c>
      <c r="I64" s="449">
        <v>28.079999999999991</v>
      </c>
      <c r="J64" s="449">
        <v>20.358000000000004</v>
      </c>
      <c r="K64" s="449">
        <v>2.2000000000000002</v>
      </c>
      <c r="L64" s="449">
        <v>256940</v>
      </c>
      <c r="M64" s="449">
        <v>9998751.0799999982</v>
      </c>
      <c r="N64" s="449">
        <v>1014.2671499999999</v>
      </c>
      <c r="O64" s="449">
        <v>136</v>
      </c>
      <c r="P64" s="449">
        <v>17242541.550000001</v>
      </c>
      <c r="Q64" s="550"/>
      <c r="T64" s="463"/>
    </row>
    <row r="65" spans="1:20" s="65" customFormat="1" ht="33.75" customHeight="1" x14ac:dyDescent="0.25">
      <c r="A65" s="533" t="s">
        <v>68</v>
      </c>
      <c r="B65" s="534"/>
      <c r="C65" s="336">
        <v>40</v>
      </c>
      <c r="D65" s="334">
        <v>32</v>
      </c>
      <c r="E65" s="335" t="s">
        <v>130</v>
      </c>
      <c r="F65" s="334">
        <v>32</v>
      </c>
      <c r="G65" s="334"/>
      <c r="H65" s="333">
        <f>SUM(F65:G65)</f>
        <v>32</v>
      </c>
      <c r="I65" s="535">
        <v>3.51</v>
      </c>
      <c r="J65" s="331">
        <f>3.51*0.9</f>
        <v>3.1589999999999998</v>
      </c>
      <c r="K65" s="330">
        <f>(I65-J65)/I65</f>
        <v>0.1</v>
      </c>
      <c r="L65" s="329">
        <v>7470</v>
      </c>
      <c r="M65" s="328">
        <f>(H65*L65)*K65</f>
        <v>23904</v>
      </c>
      <c r="N65" s="384">
        <f>H65*I65*K65</f>
        <v>11.231999999999999</v>
      </c>
      <c r="O65" s="384">
        <v>17</v>
      </c>
      <c r="P65" s="385">
        <f>N65*1000*17</f>
        <v>190944</v>
      </c>
      <c r="Q65" s="533"/>
      <c r="T65" s="311"/>
    </row>
    <row r="66" spans="1:20" s="65" customFormat="1" ht="24.95" customHeight="1" x14ac:dyDescent="0.25">
      <c r="A66" s="533" t="s">
        <v>136</v>
      </c>
      <c r="B66" s="534"/>
      <c r="C66" s="336">
        <v>70</v>
      </c>
      <c r="D66" s="334">
        <v>62</v>
      </c>
      <c r="E66" s="335" t="s">
        <v>130</v>
      </c>
      <c r="F66" s="334"/>
      <c r="G66" s="334">
        <v>62</v>
      </c>
      <c r="H66" s="333">
        <f>SUM(F66:G66)</f>
        <v>62</v>
      </c>
      <c r="I66" s="535">
        <v>3.51</v>
      </c>
      <c r="J66" s="331">
        <f>3.51*0.9</f>
        <v>3.1589999999999998</v>
      </c>
      <c r="K66" s="330">
        <f>(I66-J66)/I66</f>
        <v>0.1</v>
      </c>
      <c r="L66" s="329">
        <v>7470</v>
      </c>
      <c r="M66" s="328">
        <f>(H66*L66)*K66</f>
        <v>46314</v>
      </c>
      <c r="N66" s="384">
        <f>H66*I66*K66</f>
        <v>21.762</v>
      </c>
      <c r="O66" s="384">
        <v>17</v>
      </c>
      <c r="P66" s="385">
        <f>N66*1000*17</f>
        <v>369954</v>
      </c>
      <c r="Q66" s="533"/>
      <c r="T66" s="311"/>
    </row>
    <row r="67" spans="1:20" s="65" customFormat="1" ht="24.95" customHeight="1" x14ac:dyDescent="0.25">
      <c r="A67" s="533" t="s">
        <v>267</v>
      </c>
      <c r="B67" s="534"/>
      <c r="C67" s="336">
        <v>16</v>
      </c>
      <c r="D67" s="334">
        <v>14</v>
      </c>
      <c r="E67" s="335" t="s">
        <v>226</v>
      </c>
      <c r="F67" s="334"/>
      <c r="G67" s="334">
        <v>14</v>
      </c>
      <c r="H67" s="333">
        <f>SUM(F67:G67)</f>
        <v>14</v>
      </c>
      <c r="I67" s="535">
        <v>3.51</v>
      </c>
      <c r="J67" s="331">
        <f>3.51*0.7</f>
        <v>2.4569999999999999</v>
      </c>
      <c r="K67" s="330">
        <f>(I67-J67)/I67</f>
        <v>0.3</v>
      </c>
      <c r="L67" s="329">
        <v>33464</v>
      </c>
      <c r="M67" s="328">
        <f>(H67*L67)*K67</f>
        <v>140548.79999999999</v>
      </c>
      <c r="N67" s="384">
        <f>H67*I67*K67</f>
        <v>14.741999999999999</v>
      </c>
      <c r="O67" s="384">
        <v>17</v>
      </c>
      <c r="P67" s="385">
        <f>N67*1000*17</f>
        <v>250614</v>
      </c>
      <c r="Q67" s="533"/>
      <c r="T67" s="311"/>
    </row>
    <row r="68" spans="1:20" s="462" customFormat="1" ht="24.95" customHeight="1" x14ac:dyDescent="0.25">
      <c r="A68" s="547" t="s">
        <v>69</v>
      </c>
      <c r="B68" s="548"/>
      <c r="C68" s="449">
        <v>523</v>
      </c>
      <c r="D68" s="449">
        <v>541.25</v>
      </c>
      <c r="E68" s="449">
        <v>0</v>
      </c>
      <c r="F68" s="449">
        <v>195.5</v>
      </c>
      <c r="G68" s="449">
        <v>345.75</v>
      </c>
      <c r="H68" s="449">
        <v>541.25</v>
      </c>
      <c r="I68" s="449">
        <v>7.02</v>
      </c>
      <c r="J68" s="449">
        <v>5.6159999999999997</v>
      </c>
      <c r="K68" s="449">
        <v>0.4</v>
      </c>
      <c r="L68" s="449">
        <v>51238</v>
      </c>
      <c r="M68" s="449">
        <v>2264919.5999999996</v>
      </c>
      <c r="N68" s="449">
        <v>295.45425</v>
      </c>
      <c r="O68" s="449">
        <v>34</v>
      </c>
      <c r="P68" s="449">
        <v>5022722.25</v>
      </c>
      <c r="Q68" s="547"/>
      <c r="T68" s="463"/>
    </row>
    <row r="69" spans="1:20" s="462" customFormat="1" ht="24.95" customHeight="1" x14ac:dyDescent="0.25">
      <c r="A69" s="547" t="s">
        <v>70</v>
      </c>
      <c r="B69" s="548"/>
      <c r="C69" s="449">
        <v>495</v>
      </c>
      <c r="D69" s="449">
        <v>612</v>
      </c>
      <c r="E69" s="449">
        <v>0</v>
      </c>
      <c r="F69" s="449">
        <v>225</v>
      </c>
      <c r="G69" s="449">
        <v>387</v>
      </c>
      <c r="H69" s="449">
        <v>612</v>
      </c>
      <c r="I69" s="449">
        <v>7.02</v>
      </c>
      <c r="J69" s="449">
        <v>5.6159999999999997</v>
      </c>
      <c r="K69" s="449">
        <v>0.4</v>
      </c>
      <c r="L69" s="449">
        <v>51238</v>
      </c>
      <c r="M69" s="449">
        <v>6487879.7999999998</v>
      </c>
      <c r="N69" s="449">
        <v>556.68599999999992</v>
      </c>
      <c r="O69" s="449">
        <v>34</v>
      </c>
      <c r="P69" s="449">
        <v>9463661.9999999981</v>
      </c>
      <c r="Q69" s="547"/>
      <c r="T69" s="463"/>
    </row>
    <row r="70" spans="1:20" s="65" customFormat="1" ht="24.95" customHeight="1" x14ac:dyDescent="0.25">
      <c r="A70" s="533" t="s">
        <v>266</v>
      </c>
      <c r="B70" s="534"/>
      <c r="C70" s="336">
        <v>2</v>
      </c>
      <c r="D70" s="334">
        <v>2</v>
      </c>
      <c r="E70" s="335" t="s">
        <v>129</v>
      </c>
      <c r="F70" s="334"/>
      <c r="G70" s="334">
        <v>2</v>
      </c>
      <c r="H70" s="333">
        <f>SUM(F70:G70)</f>
        <v>2</v>
      </c>
      <c r="I70" s="535">
        <v>3.51</v>
      </c>
      <c r="J70" s="331">
        <f>3.51*0.7</f>
        <v>2.4569999999999999</v>
      </c>
      <c r="K70" s="330">
        <f>(I70-J70)/I70</f>
        <v>0.3</v>
      </c>
      <c r="L70" s="329">
        <v>7470</v>
      </c>
      <c r="M70" s="328">
        <f>(H70*L70)*K70</f>
        <v>4482</v>
      </c>
      <c r="N70" s="384">
        <f>H70*I70*K70</f>
        <v>2.1059999999999999</v>
      </c>
      <c r="O70" s="384">
        <v>17</v>
      </c>
      <c r="P70" s="385">
        <f>N70*1000*17</f>
        <v>35802</v>
      </c>
      <c r="Q70" s="533"/>
      <c r="T70" s="311"/>
    </row>
    <row r="71" spans="1:20" s="65" customFormat="1" ht="24.95" customHeight="1" x14ac:dyDescent="0.25">
      <c r="A71" s="533" t="s">
        <v>71</v>
      </c>
      <c r="B71" s="534"/>
      <c r="C71" s="336"/>
      <c r="D71" s="334">
        <v>62.2</v>
      </c>
      <c r="E71" s="335" t="s">
        <v>130</v>
      </c>
      <c r="F71" s="334">
        <v>62</v>
      </c>
      <c r="G71" s="334"/>
      <c r="H71" s="333">
        <f>SUM(F71:G71)</f>
        <v>62</v>
      </c>
      <c r="I71" s="535">
        <v>3.51</v>
      </c>
      <c r="J71" s="331">
        <f>3.51*0.9</f>
        <v>3.1589999999999998</v>
      </c>
      <c r="K71" s="330">
        <f>(I71-J71)/I71</f>
        <v>0.1</v>
      </c>
      <c r="L71" s="329">
        <v>7470</v>
      </c>
      <c r="M71" s="328">
        <f>(H71*L71)*K71</f>
        <v>46314</v>
      </c>
      <c r="N71" s="384">
        <f>H71*I71*K71</f>
        <v>21.762</v>
      </c>
      <c r="O71" s="384">
        <v>17</v>
      </c>
      <c r="P71" s="385">
        <f>N71*1000*17</f>
        <v>369954</v>
      </c>
      <c r="Q71" s="533"/>
      <c r="T71" s="311"/>
    </row>
    <row r="72" spans="1:20" s="65" customFormat="1" ht="24.95" customHeight="1" x14ac:dyDescent="0.25">
      <c r="A72" s="533" t="s">
        <v>72</v>
      </c>
      <c r="B72" s="534"/>
      <c r="C72" s="336">
        <v>50</v>
      </c>
      <c r="D72" s="334">
        <v>50</v>
      </c>
      <c r="E72" s="335" t="s">
        <v>129</v>
      </c>
      <c r="F72" s="334"/>
      <c r="G72" s="334">
        <v>50</v>
      </c>
      <c r="H72" s="333">
        <f>SUM(F72:G72)</f>
        <v>50</v>
      </c>
      <c r="I72" s="535">
        <v>3.51</v>
      </c>
      <c r="J72" s="331">
        <f>3.51*0.7</f>
        <v>2.4569999999999999</v>
      </c>
      <c r="K72" s="330">
        <f>(I72-J72)/I72</f>
        <v>0.3</v>
      </c>
      <c r="L72" s="329">
        <v>43768</v>
      </c>
      <c r="M72" s="328">
        <f>(H72*L72)*K72</f>
        <v>656520</v>
      </c>
      <c r="N72" s="384">
        <f>H72*I72*K72</f>
        <v>52.65</v>
      </c>
      <c r="O72" s="384">
        <v>17</v>
      </c>
      <c r="P72" s="385">
        <f>N72*1000*17</f>
        <v>895050</v>
      </c>
      <c r="Q72" s="533"/>
      <c r="T72" s="311"/>
    </row>
    <row r="73" spans="1:20" s="65" customFormat="1" ht="24.95" customHeight="1" x14ac:dyDescent="0.25">
      <c r="A73" s="533" t="s">
        <v>73</v>
      </c>
      <c r="B73" s="534"/>
      <c r="C73" s="336">
        <v>10</v>
      </c>
      <c r="D73" s="334">
        <v>10</v>
      </c>
      <c r="E73" s="335" t="s">
        <v>130</v>
      </c>
      <c r="F73" s="334">
        <v>10</v>
      </c>
      <c r="G73" s="334"/>
      <c r="H73" s="333">
        <f>SUM(F73:G73)</f>
        <v>10</v>
      </c>
      <c r="I73" s="535">
        <v>3.51</v>
      </c>
      <c r="J73" s="331">
        <f>3.51*0.9</f>
        <v>3.1589999999999998</v>
      </c>
      <c r="K73" s="330">
        <f>(I73-J73)/I73</f>
        <v>0.1</v>
      </c>
      <c r="L73" s="329">
        <v>7470</v>
      </c>
      <c r="M73" s="328">
        <f>(H73*L73)*K73</f>
        <v>7470</v>
      </c>
      <c r="N73" s="384">
        <f>H73*I73*K73</f>
        <v>3.51</v>
      </c>
      <c r="O73" s="384">
        <v>17</v>
      </c>
      <c r="P73" s="385">
        <f>N73*1000*17</f>
        <v>59670</v>
      </c>
      <c r="Q73" s="533"/>
      <c r="T73" s="311"/>
    </row>
    <row r="74" spans="1:20" s="65" customFormat="1" ht="19.5" customHeight="1" x14ac:dyDescent="0.25">
      <c r="A74" s="378"/>
      <c r="B74" s="534"/>
      <c r="C74" s="379"/>
      <c r="D74" s="379"/>
      <c r="E74" s="381"/>
      <c r="F74" s="379"/>
      <c r="G74" s="379"/>
      <c r="H74" s="379"/>
      <c r="I74" s="376"/>
      <c r="J74" s="331"/>
      <c r="K74" s="330"/>
      <c r="L74" s="379"/>
      <c r="M74" s="379"/>
      <c r="N74" s="379"/>
      <c r="O74" s="382"/>
      <c r="P74" s="379"/>
      <c r="Q74" s="338"/>
      <c r="T74" s="311"/>
    </row>
    <row r="75" spans="1:20" s="65" customFormat="1" ht="19.5" customHeight="1" x14ac:dyDescent="0.25">
      <c r="A75" s="386" t="s">
        <v>265</v>
      </c>
      <c r="B75" s="536"/>
      <c r="C75" s="372"/>
      <c r="D75" s="370"/>
      <c r="E75" s="371"/>
      <c r="F75" s="370"/>
      <c r="G75" s="369"/>
      <c r="H75" s="368"/>
      <c r="I75" s="367"/>
      <c r="J75" s="366"/>
      <c r="K75" s="365"/>
      <c r="L75" s="364"/>
      <c r="M75" s="363"/>
      <c r="N75" s="362"/>
      <c r="O75" s="362"/>
      <c r="P75" s="361"/>
      <c r="Q75" s="360"/>
      <c r="T75" s="311"/>
    </row>
    <row r="76" spans="1:20" s="65" customFormat="1" ht="24.95" customHeight="1" x14ac:dyDescent="0.25">
      <c r="A76" s="533" t="s">
        <v>264</v>
      </c>
      <c r="B76" s="534"/>
      <c r="C76" s="336">
        <v>45</v>
      </c>
      <c r="D76" s="334">
        <v>36</v>
      </c>
      <c r="E76" s="335" t="s">
        <v>129</v>
      </c>
      <c r="F76" s="334"/>
      <c r="G76" s="334">
        <v>36</v>
      </c>
      <c r="H76" s="333">
        <f>SUM(F76:G76)</f>
        <v>36</v>
      </c>
      <c r="I76" s="535">
        <v>3.51</v>
      </c>
      <c r="J76" s="331">
        <f>3.51*0.7</f>
        <v>2.4569999999999999</v>
      </c>
      <c r="K76" s="330">
        <f>(I76-J76)/I76</f>
        <v>0.3</v>
      </c>
      <c r="L76" s="329">
        <v>43768</v>
      </c>
      <c r="M76" s="328">
        <f>(H76*L76)*K76</f>
        <v>472694.39999999997</v>
      </c>
      <c r="N76" s="384">
        <f>H76*I76*K76</f>
        <v>37.907999999999994</v>
      </c>
      <c r="O76" s="384">
        <v>17</v>
      </c>
      <c r="P76" s="385">
        <f>N76*1000*17</f>
        <v>644435.99999999988</v>
      </c>
      <c r="Q76" s="533"/>
      <c r="T76" s="311"/>
    </row>
    <row r="77" spans="1:20" s="65" customFormat="1" ht="24.95" customHeight="1" x14ac:dyDescent="0.25">
      <c r="A77" s="533" t="s">
        <v>75</v>
      </c>
      <c r="B77" s="534"/>
      <c r="C77" s="336">
        <v>47</v>
      </c>
      <c r="D77" s="334">
        <v>52</v>
      </c>
      <c r="E77" s="335" t="s">
        <v>130</v>
      </c>
      <c r="F77" s="334">
        <v>42</v>
      </c>
      <c r="G77" s="334">
        <v>10</v>
      </c>
      <c r="H77" s="333">
        <f>SUM(F77:G77)</f>
        <v>52</v>
      </c>
      <c r="I77" s="535">
        <v>3.51</v>
      </c>
      <c r="J77" s="331">
        <f>3.51*0.9</f>
        <v>3.1589999999999998</v>
      </c>
      <c r="K77" s="330">
        <f>(I77-J77)/I77</f>
        <v>0.1</v>
      </c>
      <c r="L77" s="329">
        <v>7470</v>
      </c>
      <c r="M77" s="328">
        <f>(H77*L77)*K77</f>
        <v>38844</v>
      </c>
      <c r="N77" s="384">
        <f>H77*I77*K77</f>
        <v>18.251999999999999</v>
      </c>
      <c r="O77" s="384">
        <v>17</v>
      </c>
      <c r="P77" s="385">
        <f>N77*1000*17</f>
        <v>310284</v>
      </c>
      <c r="Q77" s="533"/>
      <c r="T77" s="311"/>
    </row>
    <row r="78" spans="1:20" s="65" customFormat="1" ht="24.95" customHeight="1" x14ac:dyDescent="0.25">
      <c r="A78" s="533" t="s">
        <v>76</v>
      </c>
      <c r="B78" s="534"/>
      <c r="C78" s="336">
        <v>1200</v>
      </c>
      <c r="D78" s="334">
        <v>1071</v>
      </c>
      <c r="E78" s="335" t="s">
        <v>130</v>
      </c>
      <c r="F78" s="334">
        <v>1071</v>
      </c>
      <c r="G78" s="334"/>
      <c r="H78" s="333">
        <f>SUM(F78:G78)</f>
        <v>1071</v>
      </c>
      <c r="I78" s="535">
        <v>3.51</v>
      </c>
      <c r="J78" s="331">
        <f>3.51*0.9</f>
        <v>3.1589999999999998</v>
      </c>
      <c r="K78" s="330">
        <f>(I78-J78)/I78</f>
        <v>0.1</v>
      </c>
      <c r="L78" s="329">
        <v>7470</v>
      </c>
      <c r="M78" s="328">
        <f>(H78*L78)*K78</f>
        <v>800037</v>
      </c>
      <c r="N78" s="384">
        <f>H78*I78*K78</f>
        <v>375.92099999999999</v>
      </c>
      <c r="O78" s="384">
        <v>17</v>
      </c>
      <c r="P78" s="385">
        <f>N78*1000*17</f>
        <v>6390657</v>
      </c>
      <c r="Q78" s="533"/>
      <c r="T78" s="311"/>
    </row>
    <row r="79" spans="1:20" s="462" customFormat="1" ht="24.95" customHeight="1" x14ac:dyDescent="0.25">
      <c r="A79" s="547" t="s">
        <v>109</v>
      </c>
      <c r="B79" s="548"/>
      <c r="C79" s="449">
        <v>295</v>
      </c>
      <c r="D79" s="449">
        <v>1030.0900000000001</v>
      </c>
      <c r="E79" s="449">
        <v>0</v>
      </c>
      <c r="F79" s="449">
        <v>824</v>
      </c>
      <c r="G79" s="449">
        <v>206</v>
      </c>
      <c r="H79" s="449">
        <v>1030</v>
      </c>
      <c r="I79" s="449">
        <v>7.02</v>
      </c>
      <c r="J79" s="449">
        <v>5.6159999999999997</v>
      </c>
      <c r="K79" s="449">
        <v>0.4</v>
      </c>
      <c r="L79" s="449">
        <v>51238</v>
      </c>
      <c r="M79" s="449">
        <v>4385362.8</v>
      </c>
      <c r="N79" s="449">
        <v>566.5139999999999</v>
      </c>
      <c r="O79" s="449">
        <v>34</v>
      </c>
      <c r="P79" s="449">
        <v>9630737.9999999981</v>
      </c>
      <c r="Q79" s="547"/>
      <c r="T79" s="463"/>
    </row>
    <row r="80" spans="1:20" s="65" customFormat="1" ht="24.95" customHeight="1" x14ac:dyDescent="0.25">
      <c r="A80" s="533" t="s">
        <v>77</v>
      </c>
      <c r="B80" s="534"/>
      <c r="C80" s="336">
        <v>2982</v>
      </c>
      <c r="D80" s="334">
        <v>6429</v>
      </c>
      <c r="E80" s="335" t="s">
        <v>130</v>
      </c>
      <c r="F80" s="334">
        <v>4628.25</v>
      </c>
      <c r="G80" s="334">
        <v>1800.75</v>
      </c>
      <c r="H80" s="333">
        <f t="shared" ref="H80:H87" si="6">SUM(F80:G80)</f>
        <v>6429</v>
      </c>
      <c r="I80" s="535">
        <v>3.51</v>
      </c>
      <c r="J80" s="331">
        <f>3.51*0.9</f>
        <v>3.1589999999999998</v>
      </c>
      <c r="K80" s="330">
        <f t="shared" ref="K80:K87" si="7">(I80-J80)/I80</f>
        <v>0.1</v>
      </c>
      <c r="L80" s="329">
        <v>7470</v>
      </c>
      <c r="M80" s="328">
        <f t="shared" ref="M80:M87" si="8">(H80*L80)*K80</f>
        <v>4802463</v>
      </c>
      <c r="N80" s="384">
        <f t="shared" ref="N80:N87" si="9">H80*I80*K80</f>
        <v>2256.5789999999997</v>
      </c>
      <c r="O80" s="384">
        <v>17</v>
      </c>
      <c r="P80" s="385">
        <f t="shared" ref="P80:P87" si="10">N80*1000*17</f>
        <v>38361842.999999993</v>
      </c>
      <c r="Q80" s="533"/>
      <c r="T80" s="311"/>
    </row>
    <row r="81" spans="1:20" s="65" customFormat="1" ht="24.95" customHeight="1" x14ac:dyDescent="0.25">
      <c r="A81" s="533" t="s">
        <v>263</v>
      </c>
      <c r="B81" s="534"/>
      <c r="C81" s="336">
        <v>2</v>
      </c>
      <c r="D81" s="334">
        <v>2</v>
      </c>
      <c r="E81" s="335" t="s">
        <v>130</v>
      </c>
      <c r="F81" s="334">
        <v>2</v>
      </c>
      <c r="G81" s="334"/>
      <c r="H81" s="333">
        <f t="shared" si="6"/>
        <v>2</v>
      </c>
      <c r="I81" s="535">
        <v>3.51</v>
      </c>
      <c r="J81" s="331">
        <f>3.51*0.9</f>
        <v>3.1589999999999998</v>
      </c>
      <c r="K81" s="330">
        <f t="shared" si="7"/>
        <v>0.1</v>
      </c>
      <c r="L81" s="329">
        <v>7470</v>
      </c>
      <c r="M81" s="328">
        <f t="shared" si="8"/>
        <v>1494</v>
      </c>
      <c r="N81" s="384">
        <f t="shared" si="9"/>
        <v>0.70199999999999996</v>
      </c>
      <c r="O81" s="384">
        <v>17</v>
      </c>
      <c r="P81" s="385">
        <f t="shared" si="10"/>
        <v>11934</v>
      </c>
      <c r="Q81" s="533"/>
      <c r="T81" s="311"/>
    </row>
    <row r="82" spans="1:20" s="65" customFormat="1" ht="24.95" customHeight="1" x14ac:dyDescent="0.25">
      <c r="A82" s="411" t="s">
        <v>78</v>
      </c>
      <c r="B82" s="534"/>
      <c r="C82" s="336">
        <v>3</v>
      </c>
      <c r="D82" s="334">
        <v>3</v>
      </c>
      <c r="E82" s="335" t="s">
        <v>226</v>
      </c>
      <c r="F82" s="334"/>
      <c r="G82" s="334">
        <v>2.5</v>
      </c>
      <c r="H82" s="333">
        <f t="shared" si="6"/>
        <v>2.5</v>
      </c>
      <c r="I82" s="535">
        <v>3.51</v>
      </c>
      <c r="J82" s="331">
        <f>3.51*0.7</f>
        <v>2.4569999999999999</v>
      </c>
      <c r="K82" s="330">
        <f t="shared" si="7"/>
        <v>0.3</v>
      </c>
      <c r="L82" s="329">
        <v>33464</v>
      </c>
      <c r="M82" s="328">
        <f t="shared" si="8"/>
        <v>25098</v>
      </c>
      <c r="N82" s="384">
        <f t="shared" si="9"/>
        <v>2.6324999999999994</v>
      </c>
      <c r="O82" s="384">
        <v>17</v>
      </c>
      <c r="P82" s="385">
        <f t="shared" si="10"/>
        <v>44752.499999999993</v>
      </c>
      <c r="Q82" s="533"/>
      <c r="T82" s="311"/>
    </row>
    <row r="83" spans="1:20" s="65" customFormat="1" ht="24.95" customHeight="1" x14ac:dyDescent="0.25">
      <c r="A83" s="533" t="s">
        <v>79</v>
      </c>
      <c r="B83" s="534"/>
      <c r="C83" s="336">
        <v>25</v>
      </c>
      <c r="D83" s="334">
        <v>15</v>
      </c>
      <c r="E83" s="335" t="s">
        <v>226</v>
      </c>
      <c r="F83" s="334"/>
      <c r="G83" s="334">
        <v>15</v>
      </c>
      <c r="H83" s="333">
        <f t="shared" si="6"/>
        <v>15</v>
      </c>
      <c r="I83" s="535">
        <v>3.51</v>
      </c>
      <c r="J83" s="331">
        <f>3.51*0.7</f>
        <v>2.4569999999999999</v>
      </c>
      <c r="K83" s="330">
        <f t="shared" si="7"/>
        <v>0.3</v>
      </c>
      <c r="L83" s="329">
        <v>43768</v>
      </c>
      <c r="M83" s="328">
        <f t="shared" si="8"/>
        <v>196956</v>
      </c>
      <c r="N83" s="384">
        <f t="shared" si="9"/>
        <v>15.794999999999998</v>
      </c>
      <c r="O83" s="384">
        <v>17</v>
      </c>
      <c r="P83" s="385">
        <f t="shared" si="10"/>
        <v>268514.99999999994</v>
      </c>
      <c r="Q83" s="533"/>
      <c r="T83" s="311"/>
    </row>
    <row r="84" spans="1:20" s="65" customFormat="1" ht="24.95" customHeight="1" x14ac:dyDescent="0.25">
      <c r="A84" s="533" t="s">
        <v>262</v>
      </c>
      <c r="B84" s="534"/>
      <c r="C84" s="336">
        <v>165</v>
      </c>
      <c r="D84" s="334">
        <v>188</v>
      </c>
      <c r="E84" s="335" t="s">
        <v>130</v>
      </c>
      <c r="F84" s="334">
        <v>188</v>
      </c>
      <c r="G84" s="334"/>
      <c r="H84" s="333">
        <f t="shared" si="6"/>
        <v>188</v>
      </c>
      <c r="I84" s="535">
        <v>3.51</v>
      </c>
      <c r="J84" s="331">
        <f>3.51*0.9</f>
        <v>3.1589999999999998</v>
      </c>
      <c r="K84" s="330">
        <f t="shared" si="7"/>
        <v>0.1</v>
      </c>
      <c r="L84" s="329">
        <v>7470</v>
      </c>
      <c r="M84" s="328">
        <f t="shared" si="8"/>
        <v>140436</v>
      </c>
      <c r="N84" s="384">
        <f t="shared" si="9"/>
        <v>65.988</v>
      </c>
      <c r="O84" s="384">
        <v>17</v>
      </c>
      <c r="P84" s="385">
        <f t="shared" si="10"/>
        <v>1121796</v>
      </c>
      <c r="Q84" s="533"/>
      <c r="T84" s="311"/>
    </row>
    <row r="85" spans="1:20" s="65" customFormat="1" ht="24.95" customHeight="1" x14ac:dyDescent="0.25">
      <c r="A85" s="533" t="s">
        <v>80</v>
      </c>
      <c r="B85" s="534"/>
      <c r="C85" s="336">
        <v>10</v>
      </c>
      <c r="D85" s="334">
        <v>8</v>
      </c>
      <c r="E85" s="335" t="s">
        <v>130</v>
      </c>
      <c r="F85" s="334">
        <v>4</v>
      </c>
      <c r="G85" s="334">
        <v>4</v>
      </c>
      <c r="H85" s="333">
        <f t="shared" si="6"/>
        <v>8</v>
      </c>
      <c r="I85" s="535">
        <v>3.51</v>
      </c>
      <c r="J85" s="331">
        <f>3.51*0.9</f>
        <v>3.1589999999999998</v>
      </c>
      <c r="K85" s="330">
        <f t="shared" si="7"/>
        <v>0.1</v>
      </c>
      <c r="L85" s="329">
        <v>7470</v>
      </c>
      <c r="M85" s="328">
        <f t="shared" si="8"/>
        <v>5976</v>
      </c>
      <c r="N85" s="384">
        <f t="shared" si="9"/>
        <v>2.8079999999999998</v>
      </c>
      <c r="O85" s="384">
        <v>17</v>
      </c>
      <c r="P85" s="385">
        <f t="shared" si="10"/>
        <v>47736</v>
      </c>
      <c r="Q85" s="533"/>
      <c r="T85" s="311"/>
    </row>
    <row r="86" spans="1:20" s="65" customFormat="1" ht="24.95" customHeight="1" x14ac:dyDescent="0.25">
      <c r="A86" s="533" t="s">
        <v>2</v>
      </c>
      <c r="B86" s="534"/>
      <c r="C86" s="336">
        <v>5</v>
      </c>
      <c r="D86" s="334">
        <v>5</v>
      </c>
      <c r="E86" s="335" t="s">
        <v>130</v>
      </c>
      <c r="F86" s="334">
        <v>5</v>
      </c>
      <c r="G86" s="334"/>
      <c r="H86" s="333">
        <f t="shared" si="6"/>
        <v>5</v>
      </c>
      <c r="I86" s="535">
        <v>3.51</v>
      </c>
      <c r="J86" s="331">
        <f>3.51*0.9</f>
        <v>3.1589999999999998</v>
      </c>
      <c r="K86" s="330">
        <f t="shared" si="7"/>
        <v>0.1</v>
      </c>
      <c r="L86" s="329">
        <v>7470</v>
      </c>
      <c r="M86" s="328">
        <f t="shared" si="8"/>
        <v>3735</v>
      </c>
      <c r="N86" s="384">
        <f t="shared" si="9"/>
        <v>1.7549999999999999</v>
      </c>
      <c r="O86" s="384">
        <v>17</v>
      </c>
      <c r="P86" s="385">
        <f t="shared" si="10"/>
        <v>29835</v>
      </c>
      <c r="Q86" s="533"/>
      <c r="T86" s="311"/>
    </row>
    <row r="87" spans="1:20" s="65" customFormat="1" ht="24.95" customHeight="1" x14ac:dyDescent="0.25">
      <c r="A87" s="533" t="s">
        <v>261</v>
      </c>
      <c r="B87" s="534"/>
      <c r="C87" s="336">
        <v>384</v>
      </c>
      <c r="D87" s="334">
        <v>199</v>
      </c>
      <c r="E87" s="335" t="s">
        <v>130</v>
      </c>
      <c r="F87" s="334">
        <v>199</v>
      </c>
      <c r="G87" s="334"/>
      <c r="H87" s="333">
        <f t="shared" si="6"/>
        <v>199</v>
      </c>
      <c r="I87" s="535">
        <v>3.51</v>
      </c>
      <c r="J87" s="331">
        <f>3.51*0.9</f>
        <v>3.1589999999999998</v>
      </c>
      <c r="K87" s="330">
        <f t="shared" si="7"/>
        <v>0.1</v>
      </c>
      <c r="L87" s="329">
        <v>33464</v>
      </c>
      <c r="M87" s="328">
        <f t="shared" si="8"/>
        <v>665933.60000000009</v>
      </c>
      <c r="N87" s="384">
        <f t="shared" si="9"/>
        <v>69.849000000000004</v>
      </c>
      <c r="O87" s="384">
        <v>17</v>
      </c>
      <c r="P87" s="385">
        <f t="shared" si="10"/>
        <v>1187433</v>
      </c>
      <c r="Q87" s="533"/>
      <c r="T87" s="311"/>
    </row>
    <row r="88" spans="1:20" s="462" customFormat="1" ht="24.95" customHeight="1" x14ac:dyDescent="0.25">
      <c r="A88" s="547" t="s">
        <v>82</v>
      </c>
      <c r="B88" s="548"/>
      <c r="C88" s="449">
        <v>275</v>
      </c>
      <c r="D88" s="449">
        <v>270</v>
      </c>
      <c r="E88" s="449">
        <v>0</v>
      </c>
      <c r="F88" s="449">
        <v>200</v>
      </c>
      <c r="G88" s="449">
        <v>70</v>
      </c>
      <c r="H88" s="449">
        <v>270</v>
      </c>
      <c r="I88" s="449">
        <v>7.02</v>
      </c>
      <c r="J88" s="449">
        <v>5.6159999999999997</v>
      </c>
      <c r="K88" s="449">
        <v>0.4</v>
      </c>
      <c r="L88" s="449">
        <v>77232</v>
      </c>
      <c r="M88" s="449">
        <v>2860328</v>
      </c>
      <c r="N88" s="449">
        <v>235.17</v>
      </c>
      <c r="O88" s="449">
        <v>34</v>
      </c>
      <c r="P88" s="449">
        <v>3997890</v>
      </c>
      <c r="Q88" s="547"/>
      <c r="T88" s="463"/>
    </row>
    <row r="89" spans="1:20" s="65" customFormat="1" ht="24.95" customHeight="1" x14ac:dyDescent="0.25">
      <c r="A89" s="533" t="s">
        <v>83</v>
      </c>
      <c r="B89" s="534"/>
      <c r="C89" s="336">
        <v>155</v>
      </c>
      <c r="D89" s="334">
        <v>152</v>
      </c>
      <c r="E89" s="335" t="s">
        <v>129</v>
      </c>
      <c r="F89" s="334">
        <v>152</v>
      </c>
      <c r="G89" s="334"/>
      <c r="H89" s="333">
        <f>SUM(F89:G89)</f>
        <v>152</v>
      </c>
      <c r="I89" s="535">
        <v>3.51</v>
      </c>
      <c r="J89" s="331">
        <f>3.51*0.7</f>
        <v>2.4569999999999999</v>
      </c>
      <c r="K89" s="330">
        <f>(I89-J89)/I89</f>
        <v>0.3</v>
      </c>
      <c r="L89" s="329">
        <v>43768</v>
      </c>
      <c r="M89" s="328">
        <f>(H89*L89)*K89</f>
        <v>1995820.7999999998</v>
      </c>
      <c r="N89" s="384">
        <f>H89*I89*K89</f>
        <v>160.05599999999998</v>
      </c>
      <c r="O89" s="384">
        <v>17</v>
      </c>
      <c r="P89" s="385">
        <f>N89*1000*17</f>
        <v>2720951.9999999995</v>
      </c>
      <c r="Q89" s="533"/>
      <c r="T89" s="311"/>
    </row>
    <row r="90" spans="1:20" s="65" customFormat="1" ht="24.95" customHeight="1" x14ac:dyDescent="0.25">
      <c r="A90" s="533" t="s">
        <v>260</v>
      </c>
      <c r="B90" s="534"/>
      <c r="C90" s="336">
        <v>34</v>
      </c>
      <c r="D90" s="334">
        <v>36</v>
      </c>
      <c r="E90" s="335" t="s">
        <v>130</v>
      </c>
      <c r="F90" s="334">
        <v>36</v>
      </c>
      <c r="G90" s="333"/>
      <c r="H90" s="333">
        <f>SUM(F90:G90)</f>
        <v>36</v>
      </c>
      <c r="I90" s="535">
        <v>3.51</v>
      </c>
      <c r="J90" s="331">
        <f>3.51*0.9</f>
        <v>3.1589999999999998</v>
      </c>
      <c r="K90" s="330">
        <f>(I90-J90)/I90</f>
        <v>0.1</v>
      </c>
      <c r="L90" s="329">
        <v>33464</v>
      </c>
      <c r="M90" s="328">
        <f>(H90*L90)*K90</f>
        <v>120470.40000000001</v>
      </c>
      <c r="N90" s="384">
        <f>H90*I90*K90</f>
        <v>12.635999999999999</v>
      </c>
      <c r="O90" s="384">
        <v>17</v>
      </c>
      <c r="P90" s="385">
        <f>N90*1000*17</f>
        <v>214812</v>
      </c>
      <c r="Q90" s="533"/>
      <c r="T90" s="311"/>
    </row>
    <row r="91" spans="1:20" s="462" customFormat="1" ht="24.95" customHeight="1" x14ac:dyDescent="0.25">
      <c r="A91" s="547" t="s">
        <v>259</v>
      </c>
      <c r="B91" s="548"/>
      <c r="C91" s="449">
        <v>428</v>
      </c>
      <c r="D91" s="449">
        <v>415.5</v>
      </c>
      <c r="E91" s="449">
        <v>0</v>
      </c>
      <c r="F91" s="449">
        <v>350</v>
      </c>
      <c r="G91" s="449">
        <v>65.5</v>
      </c>
      <c r="H91" s="449">
        <v>415.5</v>
      </c>
      <c r="I91" s="449">
        <v>7.02</v>
      </c>
      <c r="J91" s="449">
        <v>5.6159999999999997</v>
      </c>
      <c r="K91" s="449">
        <v>0.4</v>
      </c>
      <c r="L91" s="449">
        <v>77232</v>
      </c>
      <c r="M91" s="449">
        <v>2031281.2</v>
      </c>
      <c r="N91" s="449">
        <v>191.82150000000001</v>
      </c>
      <c r="O91" s="449">
        <v>34</v>
      </c>
      <c r="P91" s="449">
        <v>3260965.5</v>
      </c>
      <c r="Q91" s="547"/>
      <c r="T91" s="463"/>
    </row>
    <row r="92" spans="1:20" s="462" customFormat="1" ht="24.95" customHeight="1" x14ac:dyDescent="0.25">
      <c r="A92" s="547" t="s">
        <v>123</v>
      </c>
      <c r="B92" s="548"/>
      <c r="C92" s="449">
        <v>557</v>
      </c>
      <c r="D92" s="449">
        <v>542.5</v>
      </c>
      <c r="E92" s="449">
        <v>0</v>
      </c>
      <c r="F92" s="449">
        <v>490.5</v>
      </c>
      <c r="G92" s="449">
        <v>52</v>
      </c>
      <c r="H92" s="449">
        <v>542.5</v>
      </c>
      <c r="I92" s="449">
        <v>7.02</v>
      </c>
      <c r="J92" s="449">
        <v>5.6159999999999997</v>
      </c>
      <c r="K92" s="449">
        <v>0.4</v>
      </c>
      <c r="L92" s="449">
        <v>66928</v>
      </c>
      <c r="M92" s="449">
        <v>2163447.6</v>
      </c>
      <c r="N92" s="449">
        <v>226.92150000000001</v>
      </c>
      <c r="O92" s="449">
        <v>34</v>
      </c>
      <c r="P92" s="449">
        <v>3857665.5</v>
      </c>
      <c r="Q92" s="547"/>
      <c r="T92" s="463"/>
    </row>
    <row r="93" spans="1:20" s="65" customFormat="1" ht="24.95" customHeight="1" x14ac:dyDescent="0.25">
      <c r="A93" s="533" t="s">
        <v>85</v>
      </c>
      <c r="B93" s="534"/>
      <c r="C93" s="336">
        <v>1341</v>
      </c>
      <c r="D93" s="334">
        <v>1283</v>
      </c>
      <c r="E93" s="335" t="s">
        <v>130</v>
      </c>
      <c r="F93" s="334">
        <v>1283</v>
      </c>
      <c r="G93" s="334"/>
      <c r="H93" s="333">
        <f>SUM(F93:G93)</f>
        <v>1283</v>
      </c>
      <c r="I93" s="535">
        <v>3.51</v>
      </c>
      <c r="J93" s="331">
        <f>3.51*0.9</f>
        <v>3.1589999999999998</v>
      </c>
      <c r="K93" s="330">
        <f>(I93-J93)/I93</f>
        <v>0.1</v>
      </c>
      <c r="L93" s="329">
        <v>33464</v>
      </c>
      <c r="M93" s="328">
        <f>(H93*L93)*K93</f>
        <v>4293431.2</v>
      </c>
      <c r="N93" s="384">
        <f>H93*I93*K93</f>
        <v>450.33300000000003</v>
      </c>
      <c r="O93" s="384">
        <v>17</v>
      </c>
      <c r="P93" s="385">
        <f>N93*1000*17</f>
        <v>7655661</v>
      </c>
      <c r="Q93" s="533"/>
      <c r="T93" s="311"/>
    </row>
    <row r="94" spans="1:20" s="65" customFormat="1" ht="24.95" customHeight="1" x14ac:dyDescent="0.25">
      <c r="A94" s="378"/>
      <c r="B94" s="534"/>
      <c r="C94" s="379"/>
      <c r="D94" s="379"/>
      <c r="E94" s="381"/>
      <c r="F94" s="379"/>
      <c r="G94" s="379"/>
      <c r="H94" s="379"/>
      <c r="I94" s="376"/>
      <c r="J94" s="331"/>
      <c r="K94" s="330"/>
      <c r="L94" s="379"/>
      <c r="M94" s="379"/>
      <c r="N94" s="379"/>
      <c r="O94" s="382"/>
      <c r="P94" s="379"/>
      <c r="Q94" s="338"/>
      <c r="T94" s="311"/>
    </row>
    <row r="95" spans="1:20" s="65" customFormat="1" ht="19.5" customHeight="1" x14ac:dyDescent="0.25">
      <c r="A95" s="386" t="s">
        <v>258</v>
      </c>
      <c r="B95" s="536"/>
      <c r="C95" s="372"/>
      <c r="D95" s="370"/>
      <c r="E95" s="371"/>
      <c r="F95" s="370"/>
      <c r="G95" s="369"/>
      <c r="H95" s="368"/>
      <c r="I95" s="367"/>
      <c r="J95" s="366"/>
      <c r="K95" s="365"/>
      <c r="L95" s="364"/>
      <c r="M95" s="363"/>
      <c r="N95" s="362"/>
      <c r="O95" s="362"/>
      <c r="P95" s="361"/>
      <c r="Q95" s="360"/>
      <c r="T95" s="311"/>
    </row>
    <row r="96" spans="1:20" s="65" customFormat="1" ht="24.95" customHeight="1" x14ac:dyDescent="0.25">
      <c r="A96" s="533" t="s">
        <v>88</v>
      </c>
      <c r="B96" s="534"/>
      <c r="C96" s="336">
        <v>13</v>
      </c>
      <c r="D96" s="334">
        <v>13</v>
      </c>
      <c r="E96" s="335" t="s">
        <v>129</v>
      </c>
      <c r="F96" s="334">
        <v>13</v>
      </c>
      <c r="G96" s="334"/>
      <c r="H96" s="333">
        <f t="shared" ref="H96:H106" si="11">SUM(F96:G96)</f>
        <v>13</v>
      </c>
      <c r="I96" s="535">
        <v>3.51</v>
      </c>
      <c r="J96" s="331">
        <f>3.51*0.8</f>
        <v>2.8079999999999998</v>
      </c>
      <c r="K96" s="330">
        <f t="shared" ref="K96:K106" si="12">(I96-J96)/I96</f>
        <v>0.2</v>
      </c>
      <c r="L96" s="329">
        <v>43768</v>
      </c>
      <c r="M96" s="328">
        <f t="shared" ref="M96:M106" si="13">(H96*L96)*K96</f>
        <v>113796.8</v>
      </c>
      <c r="N96" s="384">
        <f t="shared" ref="N96:N106" si="14">H96*I96*K96</f>
        <v>9.1259999999999994</v>
      </c>
      <c r="O96" s="384">
        <v>17</v>
      </c>
      <c r="P96" s="385">
        <f t="shared" ref="P96:P106" si="15">N96*1000*17</f>
        <v>155142</v>
      </c>
      <c r="Q96" s="533"/>
      <c r="T96" s="311"/>
    </row>
    <row r="97" spans="1:20" s="65" customFormat="1" ht="24.95" customHeight="1" x14ac:dyDescent="0.25">
      <c r="A97" s="533" t="s">
        <v>195</v>
      </c>
      <c r="B97" s="534"/>
      <c r="C97" s="336">
        <v>314</v>
      </c>
      <c r="D97" s="334">
        <v>515</v>
      </c>
      <c r="E97" s="335" t="s">
        <v>130</v>
      </c>
      <c r="F97" s="334">
        <v>252.35</v>
      </c>
      <c r="G97" s="334">
        <v>262.64999999999998</v>
      </c>
      <c r="H97" s="333">
        <f t="shared" si="11"/>
        <v>515</v>
      </c>
      <c r="I97" s="535">
        <v>3.51</v>
      </c>
      <c r="J97" s="331">
        <f t="shared" ref="J97:J106" si="16">3.51*0.9</f>
        <v>3.1589999999999998</v>
      </c>
      <c r="K97" s="330">
        <f t="shared" si="12"/>
        <v>0.1</v>
      </c>
      <c r="L97" s="329">
        <v>7470</v>
      </c>
      <c r="M97" s="328">
        <f t="shared" si="13"/>
        <v>384705</v>
      </c>
      <c r="N97" s="384">
        <f t="shared" si="14"/>
        <v>180.76499999999999</v>
      </c>
      <c r="O97" s="384">
        <v>17</v>
      </c>
      <c r="P97" s="385">
        <f t="shared" si="15"/>
        <v>3073005</v>
      </c>
      <c r="Q97" s="533"/>
      <c r="T97" s="311"/>
    </row>
    <row r="98" spans="1:20" s="65" customFormat="1" ht="24.95" customHeight="1" x14ac:dyDescent="0.25">
      <c r="A98" s="533" t="s">
        <v>90</v>
      </c>
      <c r="B98" s="534"/>
      <c r="C98" s="336">
        <v>123</v>
      </c>
      <c r="D98" s="334">
        <v>100</v>
      </c>
      <c r="E98" s="335" t="s">
        <v>130</v>
      </c>
      <c r="F98" s="334">
        <v>100</v>
      </c>
      <c r="G98" s="334"/>
      <c r="H98" s="333">
        <f t="shared" si="11"/>
        <v>100</v>
      </c>
      <c r="I98" s="535">
        <v>3.51</v>
      </c>
      <c r="J98" s="331">
        <f t="shared" si="16"/>
        <v>3.1589999999999998</v>
      </c>
      <c r="K98" s="330">
        <f t="shared" si="12"/>
        <v>0.1</v>
      </c>
      <c r="L98" s="329">
        <v>7470</v>
      </c>
      <c r="M98" s="328">
        <f t="shared" si="13"/>
        <v>74700</v>
      </c>
      <c r="N98" s="384">
        <f t="shared" si="14"/>
        <v>35.1</v>
      </c>
      <c r="O98" s="384">
        <v>17</v>
      </c>
      <c r="P98" s="385">
        <f t="shared" si="15"/>
        <v>596700</v>
      </c>
      <c r="Q98" s="533"/>
      <c r="T98" s="311"/>
    </row>
    <row r="99" spans="1:20" s="65" customFormat="1" ht="24.95" customHeight="1" x14ac:dyDescent="0.25">
      <c r="A99" s="533" t="s">
        <v>89</v>
      </c>
      <c r="B99" s="534"/>
      <c r="C99" s="336">
        <v>58</v>
      </c>
      <c r="D99" s="334">
        <v>55</v>
      </c>
      <c r="E99" s="335" t="s">
        <v>130</v>
      </c>
      <c r="F99" s="334">
        <v>55</v>
      </c>
      <c r="G99" s="334"/>
      <c r="H99" s="333">
        <f t="shared" si="11"/>
        <v>55</v>
      </c>
      <c r="I99" s="535">
        <v>3.51</v>
      </c>
      <c r="J99" s="331">
        <f t="shared" si="16"/>
        <v>3.1589999999999998</v>
      </c>
      <c r="K99" s="330">
        <f t="shared" si="12"/>
        <v>0.1</v>
      </c>
      <c r="L99" s="329">
        <v>7470</v>
      </c>
      <c r="M99" s="328">
        <f t="shared" si="13"/>
        <v>41085</v>
      </c>
      <c r="N99" s="384">
        <f t="shared" si="14"/>
        <v>19.305</v>
      </c>
      <c r="O99" s="384">
        <v>17</v>
      </c>
      <c r="P99" s="385">
        <f t="shared" si="15"/>
        <v>328185</v>
      </c>
      <c r="Q99" s="533"/>
      <c r="T99" s="311"/>
    </row>
    <row r="100" spans="1:20" s="65" customFormat="1" ht="24.95" customHeight="1" x14ac:dyDescent="0.25">
      <c r="A100" s="533" t="s">
        <v>106</v>
      </c>
      <c r="B100" s="534"/>
      <c r="C100" s="336">
        <v>104</v>
      </c>
      <c r="D100" s="334">
        <v>134</v>
      </c>
      <c r="E100" s="335" t="s">
        <v>130</v>
      </c>
      <c r="F100" s="334">
        <v>97</v>
      </c>
      <c r="G100" s="334">
        <v>37</v>
      </c>
      <c r="H100" s="333">
        <f t="shared" si="11"/>
        <v>134</v>
      </c>
      <c r="I100" s="535">
        <v>3.51</v>
      </c>
      <c r="J100" s="331">
        <f t="shared" si="16"/>
        <v>3.1589999999999998</v>
      </c>
      <c r="K100" s="330">
        <f t="shared" si="12"/>
        <v>0.1</v>
      </c>
      <c r="L100" s="329">
        <v>7470</v>
      </c>
      <c r="M100" s="328">
        <f t="shared" si="13"/>
        <v>100098</v>
      </c>
      <c r="N100" s="384">
        <f t="shared" si="14"/>
        <v>47.033999999999999</v>
      </c>
      <c r="O100" s="384">
        <v>17</v>
      </c>
      <c r="P100" s="385">
        <f t="shared" si="15"/>
        <v>799578</v>
      </c>
      <c r="Q100" s="533"/>
      <c r="T100" s="311"/>
    </row>
    <row r="101" spans="1:20" s="65" customFormat="1" ht="24.95" customHeight="1" x14ac:dyDescent="0.25">
      <c r="A101" s="533" t="s">
        <v>119</v>
      </c>
      <c r="B101" s="534"/>
      <c r="C101" s="336">
        <v>298</v>
      </c>
      <c r="D101" s="334">
        <v>310</v>
      </c>
      <c r="E101" s="335" t="s">
        <v>130</v>
      </c>
      <c r="F101" s="334">
        <v>270</v>
      </c>
      <c r="G101" s="334">
        <v>40</v>
      </c>
      <c r="H101" s="333">
        <f t="shared" si="11"/>
        <v>310</v>
      </c>
      <c r="I101" s="535">
        <v>3.51</v>
      </c>
      <c r="J101" s="331">
        <f t="shared" si="16"/>
        <v>3.1589999999999998</v>
      </c>
      <c r="K101" s="330">
        <f t="shared" si="12"/>
        <v>0.1</v>
      </c>
      <c r="L101" s="329">
        <v>7470</v>
      </c>
      <c r="M101" s="328">
        <f t="shared" si="13"/>
        <v>231570</v>
      </c>
      <c r="N101" s="384">
        <f t="shared" si="14"/>
        <v>108.81</v>
      </c>
      <c r="O101" s="384">
        <v>17</v>
      </c>
      <c r="P101" s="385">
        <f t="shared" si="15"/>
        <v>1849770</v>
      </c>
      <c r="Q101" s="533"/>
      <c r="T101" s="311"/>
    </row>
    <row r="102" spans="1:20" s="65" customFormat="1" ht="24.95" customHeight="1" x14ac:dyDescent="0.25">
      <c r="A102" s="533" t="s">
        <v>257</v>
      </c>
      <c r="B102" s="534"/>
      <c r="C102" s="336">
        <v>69</v>
      </c>
      <c r="D102" s="334">
        <v>83</v>
      </c>
      <c r="E102" s="335" t="s">
        <v>130</v>
      </c>
      <c r="F102" s="334">
        <v>83</v>
      </c>
      <c r="G102" s="334"/>
      <c r="H102" s="333">
        <f t="shared" si="11"/>
        <v>83</v>
      </c>
      <c r="I102" s="535">
        <v>3.51</v>
      </c>
      <c r="J102" s="331">
        <f t="shared" si="16"/>
        <v>3.1589999999999998</v>
      </c>
      <c r="K102" s="330">
        <f t="shared" si="12"/>
        <v>0.1</v>
      </c>
      <c r="L102" s="329">
        <v>7470</v>
      </c>
      <c r="M102" s="328">
        <f t="shared" si="13"/>
        <v>62001</v>
      </c>
      <c r="N102" s="384">
        <f t="shared" si="14"/>
        <v>29.132999999999999</v>
      </c>
      <c r="O102" s="384">
        <v>17</v>
      </c>
      <c r="P102" s="385">
        <f t="shared" si="15"/>
        <v>495261</v>
      </c>
      <c r="Q102" s="533"/>
      <c r="T102" s="311"/>
    </row>
    <row r="103" spans="1:20" s="65" customFormat="1" ht="24.95" customHeight="1" x14ac:dyDescent="0.25">
      <c r="A103" s="533" t="s">
        <v>112</v>
      </c>
      <c r="B103" s="534"/>
      <c r="C103" s="336">
        <v>90</v>
      </c>
      <c r="D103" s="334">
        <v>75</v>
      </c>
      <c r="E103" s="335" t="s">
        <v>130</v>
      </c>
      <c r="F103" s="334">
        <v>75</v>
      </c>
      <c r="G103" s="334"/>
      <c r="H103" s="333">
        <f t="shared" si="11"/>
        <v>75</v>
      </c>
      <c r="I103" s="535">
        <v>3.51</v>
      </c>
      <c r="J103" s="331">
        <f t="shared" si="16"/>
        <v>3.1589999999999998</v>
      </c>
      <c r="K103" s="330">
        <f t="shared" si="12"/>
        <v>0.1</v>
      </c>
      <c r="L103" s="329">
        <v>7470</v>
      </c>
      <c r="M103" s="328">
        <f t="shared" si="13"/>
        <v>56025</v>
      </c>
      <c r="N103" s="384">
        <f t="shared" si="14"/>
        <v>26.325000000000003</v>
      </c>
      <c r="O103" s="384">
        <v>17</v>
      </c>
      <c r="P103" s="385">
        <f t="shared" si="15"/>
        <v>447525.00000000006</v>
      </c>
      <c r="Q103" s="533"/>
      <c r="T103" s="311"/>
    </row>
    <row r="104" spans="1:20" s="65" customFormat="1" ht="24.95" customHeight="1" x14ac:dyDescent="0.25">
      <c r="A104" s="533" t="s">
        <v>249</v>
      </c>
      <c r="B104" s="534"/>
      <c r="C104" s="336"/>
      <c r="D104" s="334">
        <v>693.5</v>
      </c>
      <c r="E104" s="335" t="s">
        <v>130</v>
      </c>
      <c r="F104" s="334">
        <v>104.02500000000001</v>
      </c>
      <c r="G104" s="334">
        <v>589.47500000000002</v>
      </c>
      <c r="H104" s="333">
        <f t="shared" si="11"/>
        <v>693.5</v>
      </c>
      <c r="I104" s="535">
        <v>3.51</v>
      </c>
      <c r="J104" s="331">
        <f t="shared" si="16"/>
        <v>3.1589999999999998</v>
      </c>
      <c r="K104" s="330">
        <f t="shared" si="12"/>
        <v>0.1</v>
      </c>
      <c r="L104" s="329">
        <v>7470</v>
      </c>
      <c r="M104" s="328">
        <f t="shared" si="13"/>
        <v>518044.5</v>
      </c>
      <c r="N104" s="384">
        <f t="shared" si="14"/>
        <v>243.41849999999999</v>
      </c>
      <c r="O104" s="384">
        <v>17</v>
      </c>
      <c r="P104" s="385">
        <f t="shared" si="15"/>
        <v>4138114.5</v>
      </c>
      <c r="Q104" s="533"/>
      <c r="T104" s="311"/>
    </row>
    <row r="105" spans="1:20" s="65" customFormat="1" ht="24.95" customHeight="1" x14ac:dyDescent="0.25">
      <c r="A105" s="533" t="s">
        <v>94</v>
      </c>
      <c r="B105" s="534"/>
      <c r="C105" s="336">
        <v>70</v>
      </c>
      <c r="D105" s="334">
        <v>480</v>
      </c>
      <c r="E105" s="335" t="s">
        <v>130</v>
      </c>
      <c r="F105" s="334">
        <v>360</v>
      </c>
      <c r="G105" s="334">
        <v>120</v>
      </c>
      <c r="H105" s="333">
        <f t="shared" si="11"/>
        <v>480</v>
      </c>
      <c r="I105" s="535">
        <v>3.51</v>
      </c>
      <c r="J105" s="331">
        <f t="shared" si="16"/>
        <v>3.1589999999999998</v>
      </c>
      <c r="K105" s="330">
        <f t="shared" si="12"/>
        <v>0.1</v>
      </c>
      <c r="L105" s="329">
        <v>7470</v>
      </c>
      <c r="M105" s="328">
        <f t="shared" si="13"/>
        <v>358560</v>
      </c>
      <c r="N105" s="384">
        <f t="shared" si="14"/>
        <v>168.48000000000002</v>
      </c>
      <c r="O105" s="384">
        <v>17</v>
      </c>
      <c r="P105" s="385">
        <f t="shared" si="15"/>
        <v>2864160.0000000005</v>
      </c>
      <c r="Q105" s="533"/>
      <c r="T105" s="311"/>
    </row>
    <row r="106" spans="1:20" s="65" customFormat="1" ht="24.95" customHeight="1" x14ac:dyDescent="0.25">
      <c r="A106" s="533" t="s">
        <v>117</v>
      </c>
      <c r="B106" s="534"/>
      <c r="C106" s="336">
        <v>190</v>
      </c>
      <c r="D106" s="334">
        <v>198</v>
      </c>
      <c r="E106" s="335" t="s">
        <v>130</v>
      </c>
      <c r="F106" s="334">
        <v>34</v>
      </c>
      <c r="G106" s="334">
        <v>42</v>
      </c>
      <c r="H106" s="333">
        <f t="shared" si="11"/>
        <v>76</v>
      </c>
      <c r="I106" s="535">
        <v>3.51</v>
      </c>
      <c r="J106" s="331">
        <f t="shared" si="16"/>
        <v>3.1589999999999998</v>
      </c>
      <c r="K106" s="330">
        <f t="shared" si="12"/>
        <v>0.1</v>
      </c>
      <c r="L106" s="329">
        <v>7470</v>
      </c>
      <c r="M106" s="328">
        <f t="shared" si="13"/>
        <v>56772</v>
      </c>
      <c r="N106" s="384">
        <f t="shared" si="14"/>
        <v>26.676000000000002</v>
      </c>
      <c r="O106" s="384">
        <v>17</v>
      </c>
      <c r="P106" s="385">
        <f t="shared" si="15"/>
        <v>453492.00000000006</v>
      </c>
      <c r="Q106" s="533"/>
      <c r="T106" s="311"/>
    </row>
    <row r="107" spans="1:20" s="462" customFormat="1" ht="24.95" customHeight="1" x14ac:dyDescent="0.25">
      <c r="A107" s="547" t="s">
        <v>227</v>
      </c>
      <c r="B107" s="548"/>
      <c r="C107" s="449">
        <v>105</v>
      </c>
      <c r="D107" s="449">
        <v>100</v>
      </c>
      <c r="E107" s="449">
        <v>0</v>
      </c>
      <c r="F107" s="449">
        <v>0</v>
      </c>
      <c r="G107" s="449">
        <v>100</v>
      </c>
      <c r="H107" s="449">
        <v>100</v>
      </c>
      <c r="I107" s="449">
        <v>7.02</v>
      </c>
      <c r="J107" s="449">
        <v>5.9669999999999996</v>
      </c>
      <c r="K107" s="449">
        <v>0.30000000000000004</v>
      </c>
      <c r="L107" s="449">
        <v>51238</v>
      </c>
      <c r="M107" s="449">
        <v>226825.40000000002</v>
      </c>
      <c r="N107" s="449">
        <v>41.769000000000005</v>
      </c>
      <c r="O107" s="449">
        <v>34</v>
      </c>
      <c r="P107" s="449">
        <v>710073</v>
      </c>
      <c r="Q107" s="547"/>
      <c r="T107" s="463"/>
    </row>
    <row r="108" spans="1:20" s="65" customFormat="1" ht="24.95" customHeight="1" x14ac:dyDescent="0.25">
      <c r="A108" s="533" t="s">
        <v>95</v>
      </c>
      <c r="B108" s="534"/>
      <c r="C108" s="336">
        <v>4</v>
      </c>
      <c r="D108" s="334">
        <v>6</v>
      </c>
      <c r="E108" s="335" t="s">
        <v>226</v>
      </c>
      <c r="F108" s="334">
        <v>3</v>
      </c>
      <c r="G108" s="333">
        <v>2.5</v>
      </c>
      <c r="H108" s="333">
        <f>G108+F108</f>
        <v>5.5</v>
      </c>
      <c r="I108" s="535">
        <v>3.51</v>
      </c>
      <c r="J108" s="331">
        <f>3.51*0.8</f>
        <v>2.8079999999999998</v>
      </c>
      <c r="K108" s="330">
        <f>(I108-J108)/I108</f>
        <v>0.2</v>
      </c>
      <c r="L108" s="329">
        <v>33464</v>
      </c>
      <c r="M108" s="328">
        <f>(H108*L108)*K108</f>
        <v>36810.400000000001</v>
      </c>
      <c r="N108" s="384">
        <f>H108*I108*K108</f>
        <v>3.8610000000000002</v>
      </c>
      <c r="O108" s="384">
        <v>17</v>
      </c>
      <c r="P108" s="385">
        <f>N108*1000*17</f>
        <v>65637</v>
      </c>
      <c r="Q108" s="533"/>
      <c r="T108" s="311"/>
    </row>
    <row r="109" spans="1:20" s="65" customFormat="1" ht="24.95" customHeight="1" x14ac:dyDescent="0.25">
      <c r="A109" s="533" t="s">
        <v>3</v>
      </c>
      <c r="B109" s="534"/>
      <c r="C109" s="336">
        <v>51</v>
      </c>
      <c r="D109" s="334">
        <v>35</v>
      </c>
      <c r="E109" s="335" t="s">
        <v>130</v>
      </c>
      <c r="F109" s="334">
        <v>26</v>
      </c>
      <c r="G109" s="333">
        <v>9</v>
      </c>
      <c r="H109" s="333">
        <f>SUM(F109:G109)</f>
        <v>35</v>
      </c>
      <c r="I109" s="535">
        <v>3.51</v>
      </c>
      <c r="J109" s="331">
        <f>3.51*0.9</f>
        <v>3.1589999999999998</v>
      </c>
      <c r="K109" s="330">
        <f>(I109-J109)/I109</f>
        <v>0.1</v>
      </c>
      <c r="L109" s="329">
        <v>7470</v>
      </c>
      <c r="M109" s="328">
        <f>(H109*L109)*K109</f>
        <v>26145</v>
      </c>
      <c r="N109" s="384">
        <f>H109*I109*K109</f>
        <v>12.285</v>
      </c>
      <c r="O109" s="384">
        <v>17</v>
      </c>
      <c r="P109" s="385">
        <f>N109*1000*17</f>
        <v>208845</v>
      </c>
      <c r="Q109" s="533"/>
      <c r="T109" s="311"/>
    </row>
    <row r="110" spans="1:20" s="65" customFormat="1" ht="24.95" customHeight="1" x14ac:dyDescent="0.25">
      <c r="A110" s="533" t="s">
        <v>116</v>
      </c>
      <c r="B110" s="534"/>
      <c r="C110" s="336">
        <v>591</v>
      </c>
      <c r="D110" s="334">
        <v>482.28</v>
      </c>
      <c r="E110" s="335" t="s">
        <v>130</v>
      </c>
      <c r="F110" s="334">
        <v>225</v>
      </c>
      <c r="G110" s="333">
        <f>482-225</f>
        <v>257</v>
      </c>
      <c r="H110" s="333">
        <f>SUM(F110:G110)</f>
        <v>482</v>
      </c>
      <c r="I110" s="535">
        <v>3.51</v>
      </c>
      <c r="J110" s="331">
        <f>3.51*0.9</f>
        <v>3.1589999999999998</v>
      </c>
      <c r="K110" s="330">
        <f>(I110-J110)/I110</f>
        <v>0.1</v>
      </c>
      <c r="L110" s="329">
        <v>7470</v>
      </c>
      <c r="M110" s="328">
        <f>(H110*L110)*K110</f>
        <v>360054</v>
      </c>
      <c r="N110" s="384">
        <f>H110*I110*K110</f>
        <v>169.18200000000002</v>
      </c>
      <c r="O110" s="384">
        <v>17</v>
      </c>
      <c r="P110" s="385">
        <f>N110*1000*17</f>
        <v>2876094.0000000005</v>
      </c>
      <c r="Q110" s="533"/>
      <c r="T110" s="311"/>
    </row>
    <row r="111" spans="1:20" s="65" customFormat="1" ht="24.95" customHeight="1" x14ac:dyDescent="0.25">
      <c r="A111" s="533" t="s">
        <v>97</v>
      </c>
      <c r="B111" s="534"/>
      <c r="C111" s="336">
        <v>17</v>
      </c>
      <c r="D111" s="334">
        <v>14.375</v>
      </c>
      <c r="E111" s="335" t="s">
        <v>130</v>
      </c>
      <c r="F111" s="334">
        <v>14.375</v>
      </c>
      <c r="G111" s="334"/>
      <c r="H111" s="333">
        <f>SUM(F111:G111)</f>
        <v>14.375</v>
      </c>
      <c r="I111" s="535">
        <v>3.51</v>
      </c>
      <c r="J111" s="331">
        <v>2.81</v>
      </c>
      <c r="K111" s="330">
        <f>(I111-J111)/I111</f>
        <v>0.19943019943019938</v>
      </c>
      <c r="L111" s="329">
        <v>7470</v>
      </c>
      <c r="M111" s="328">
        <f>(H111*L111)*K111</f>
        <v>21415.064102564098</v>
      </c>
      <c r="N111" s="384">
        <f>H111*I111*K111</f>
        <v>10.062499999999996</v>
      </c>
      <c r="O111" s="384">
        <v>17</v>
      </c>
      <c r="P111" s="385">
        <f>N111*1000*17</f>
        <v>171062.49999999994</v>
      </c>
      <c r="Q111" s="533"/>
      <c r="T111" s="311"/>
    </row>
    <row r="112" spans="1:20" s="462" customFormat="1" ht="24.95" customHeight="1" x14ac:dyDescent="0.25">
      <c r="A112" s="547" t="s">
        <v>91</v>
      </c>
      <c r="B112" s="548"/>
      <c r="C112" s="449">
        <v>287</v>
      </c>
      <c r="D112" s="449">
        <v>564.25</v>
      </c>
      <c r="E112" s="449">
        <v>0</v>
      </c>
      <c r="F112" s="449">
        <v>557.25</v>
      </c>
      <c r="G112" s="449">
        <v>7</v>
      </c>
      <c r="H112" s="449">
        <v>564.25</v>
      </c>
      <c r="I112" s="449">
        <v>7.02</v>
      </c>
      <c r="J112" s="449">
        <v>5.6180000000000003</v>
      </c>
      <c r="K112" s="449">
        <v>0.39943019943019942</v>
      </c>
      <c r="L112" s="449">
        <v>51238</v>
      </c>
      <c r="M112" s="449">
        <v>891434.8153846151</v>
      </c>
      <c r="N112" s="449">
        <v>394.98899999999986</v>
      </c>
      <c r="O112" s="449">
        <v>34</v>
      </c>
      <c r="P112" s="449">
        <v>6714812.9999999981</v>
      </c>
      <c r="Q112" s="547"/>
      <c r="T112" s="463"/>
    </row>
    <row r="113" spans="1:20" s="65" customFormat="1" ht="24.95" customHeight="1" x14ac:dyDescent="0.25">
      <c r="A113" s="533" t="s">
        <v>120</v>
      </c>
      <c r="B113" s="534"/>
      <c r="C113" s="336">
        <v>372</v>
      </c>
      <c r="D113" s="334">
        <v>238.5</v>
      </c>
      <c r="E113" s="335" t="s">
        <v>130</v>
      </c>
      <c r="F113" s="334">
        <v>35.25</v>
      </c>
      <c r="G113" s="334">
        <v>203.25</v>
      </c>
      <c r="H113" s="333">
        <f>SUM(F113:G113)</f>
        <v>238.5</v>
      </c>
      <c r="I113" s="535">
        <v>3.51</v>
      </c>
      <c r="J113" s="331">
        <f>3.51*0.9</f>
        <v>3.1589999999999998</v>
      </c>
      <c r="K113" s="330">
        <f>(I113-J113)/I113</f>
        <v>0.1</v>
      </c>
      <c r="L113" s="329">
        <v>7470</v>
      </c>
      <c r="M113" s="328">
        <f>(H113*L113)*K113</f>
        <v>178159.5</v>
      </c>
      <c r="N113" s="384">
        <f>H113*I113*K113</f>
        <v>83.71350000000001</v>
      </c>
      <c r="O113" s="384">
        <v>17</v>
      </c>
      <c r="P113" s="385">
        <f>N113*1000*17</f>
        <v>1423129.5000000002</v>
      </c>
      <c r="Q113" s="533"/>
      <c r="T113" s="311"/>
    </row>
    <row r="114" spans="1:20" s="65" customFormat="1" ht="24.95" customHeight="1" x14ac:dyDescent="0.25">
      <c r="A114" s="276"/>
      <c r="B114" s="527"/>
      <c r="C114" s="528"/>
      <c r="D114" s="528"/>
      <c r="E114" s="532"/>
      <c r="F114" s="530"/>
      <c r="G114" s="530"/>
      <c r="H114" s="528"/>
      <c r="I114" s="531"/>
      <c r="J114" s="270"/>
      <c r="K114" s="314"/>
      <c r="L114" s="530"/>
      <c r="M114" s="530"/>
      <c r="N114" s="530"/>
      <c r="O114" s="529"/>
      <c r="P114" s="528"/>
      <c r="Q114" s="265"/>
      <c r="T114" s="311"/>
    </row>
    <row r="115" spans="1:20" s="65" customFormat="1" ht="24.95" customHeight="1" x14ac:dyDescent="0.25">
      <c r="A115" s="276"/>
      <c r="B115" s="527"/>
      <c r="C115" s="528"/>
      <c r="D115" s="528"/>
      <c r="E115" s="532"/>
      <c r="F115" s="530"/>
      <c r="G115" s="530"/>
      <c r="H115" s="528"/>
      <c r="I115" s="531"/>
      <c r="J115" s="270"/>
      <c r="K115" s="314"/>
      <c r="L115" s="530"/>
      <c r="M115" s="530"/>
      <c r="N115" s="530"/>
      <c r="O115" s="529"/>
      <c r="P115" s="528"/>
      <c r="Q115" s="265"/>
      <c r="T115" s="311"/>
    </row>
    <row r="116" spans="1:20" s="65" customFormat="1" ht="19.5" customHeight="1" x14ac:dyDescent="0.25">
      <c r="A116" s="276"/>
      <c r="B116" s="527"/>
      <c r="C116" s="313"/>
      <c r="D116" s="313"/>
      <c r="E116" s="316"/>
      <c r="F116" s="313"/>
      <c r="G116" s="313"/>
      <c r="H116" s="313"/>
      <c r="I116" s="315"/>
      <c r="J116" s="270"/>
      <c r="K116" s="314"/>
      <c r="L116" s="313"/>
      <c r="M116" s="313"/>
      <c r="N116" s="313"/>
      <c r="O116" s="267"/>
      <c r="P116" s="313"/>
      <c r="Q116" s="312"/>
      <c r="T116" s="311"/>
    </row>
    <row r="117" spans="1:20" s="65" customFormat="1" ht="19.5" customHeight="1" x14ac:dyDescent="0.25">
      <c r="A117" s="807" t="s">
        <v>200</v>
      </c>
      <c r="B117" s="807"/>
      <c r="C117" s="807"/>
      <c r="D117" s="807"/>
      <c r="E117" s="279"/>
      <c r="F117" s="808" t="s">
        <v>199</v>
      </c>
      <c r="G117" s="808"/>
      <c r="H117" s="808"/>
      <c r="I117" s="808"/>
      <c r="J117" s="808"/>
      <c r="K117" s="279"/>
      <c r="L117" s="278"/>
      <c r="M117" s="808" t="s">
        <v>198</v>
      </c>
      <c r="N117" s="808"/>
      <c r="O117" s="808"/>
      <c r="P117" s="808"/>
      <c r="Q117" s="277"/>
    </row>
    <row r="118" spans="1:20" s="65" customFormat="1" ht="19.5" customHeight="1" x14ac:dyDescent="0.25">
      <c r="A118" s="809"/>
      <c r="B118" s="809"/>
      <c r="C118" s="809"/>
      <c r="D118" s="809"/>
      <c r="E118" s="279"/>
      <c r="F118" s="809" t="s">
        <v>197</v>
      </c>
      <c r="G118" s="809"/>
      <c r="H118" s="809"/>
      <c r="I118" s="809"/>
      <c r="J118" s="809"/>
      <c r="K118" s="279"/>
      <c r="L118" s="278"/>
      <c r="M118" s="809" t="s">
        <v>196</v>
      </c>
      <c r="N118" s="809"/>
      <c r="O118" s="809"/>
      <c r="P118" s="809"/>
      <c r="Q118" s="277"/>
    </row>
    <row r="119" spans="1:20" s="65" customFormat="1" ht="19.5" customHeight="1" x14ac:dyDescent="0.2">
      <c r="A119" s="276"/>
      <c r="B119" s="526"/>
      <c r="C119" s="274"/>
      <c r="D119" s="274"/>
      <c r="E119" s="275"/>
      <c r="F119" s="274"/>
      <c r="G119" s="273"/>
      <c r="H119" s="272"/>
      <c r="I119" s="271"/>
      <c r="J119" s="270"/>
      <c r="K119" s="267"/>
      <c r="L119" s="269"/>
      <c r="M119" s="268"/>
      <c r="N119" s="267"/>
      <c r="O119" s="267"/>
      <c r="P119" s="266"/>
      <c r="Q119" s="265"/>
    </row>
  </sheetData>
  <mergeCells count="24">
    <mergeCell ref="A117:D117"/>
    <mergeCell ref="F117:J117"/>
    <mergeCell ref="M117:P117"/>
    <mergeCell ref="A118:D118"/>
    <mergeCell ref="F118:J118"/>
    <mergeCell ref="M118:P118"/>
    <mergeCell ref="Q12:Q14"/>
    <mergeCell ref="L13:M13"/>
    <mergeCell ref="N13:P13"/>
    <mergeCell ref="Q41:Q42"/>
    <mergeCell ref="A1:Q1"/>
    <mergeCell ref="A2:Q2"/>
    <mergeCell ref="A3:Q3"/>
    <mergeCell ref="A4:Q4"/>
    <mergeCell ref="A11:Q11"/>
    <mergeCell ref="A12:A14"/>
    <mergeCell ref="B12:B14"/>
    <mergeCell ref="C12:C14"/>
    <mergeCell ref="D12:D14"/>
    <mergeCell ref="E12:E14"/>
    <mergeCell ref="F12:H13"/>
    <mergeCell ref="I12:J13"/>
    <mergeCell ref="K12:K14"/>
    <mergeCell ref="L12:P12"/>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D68C-2F2C-E94B-968A-49A4C1CD6067}">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68" customWidth="1"/>
    <col min="2" max="2" width="19.42578125" style="468" customWidth="1"/>
    <col min="3" max="3" width="16.42578125" style="469" customWidth="1"/>
    <col min="4" max="4" width="15.85546875" style="469" customWidth="1"/>
    <col min="5" max="5" width="25.140625" style="469" customWidth="1"/>
    <col min="6" max="6" width="15.28515625" style="468" customWidth="1"/>
    <col min="7" max="7" width="16.85546875" style="468" customWidth="1"/>
    <col min="8" max="8" width="19.140625" style="468" customWidth="1"/>
    <col min="9" max="9" width="15" style="468" customWidth="1"/>
    <col min="10" max="10" width="13.42578125" style="468" customWidth="1"/>
    <col min="11" max="11" width="11.140625" style="468" customWidth="1"/>
    <col min="12" max="12" width="25.140625" style="468" customWidth="1"/>
    <col min="13" max="13" width="26.42578125" style="468" customWidth="1"/>
    <col min="14" max="14" width="16.28515625" style="468" customWidth="1"/>
    <col min="15" max="15" width="12.140625" style="468" customWidth="1"/>
    <col min="16" max="16" width="29.42578125" style="468" customWidth="1"/>
    <col min="17" max="17" width="21.85546875" style="468" customWidth="1"/>
    <col min="18" max="18" width="9.140625" style="253"/>
    <col min="19" max="19" width="22.7109375" style="253" customWidth="1"/>
    <col min="20" max="20" width="29.28515625" style="253" customWidth="1"/>
    <col min="21" max="16384" width="9.140625" style="253"/>
  </cols>
  <sheetData>
    <row r="1" spans="1:20" ht="26.25" customHeight="1" x14ac:dyDescent="0.25">
      <c r="A1" s="822" t="s">
        <v>256</v>
      </c>
      <c r="B1" s="822"/>
      <c r="C1" s="822"/>
      <c r="D1" s="822"/>
      <c r="E1" s="822"/>
      <c r="F1" s="822"/>
      <c r="G1" s="822"/>
      <c r="H1" s="822"/>
      <c r="I1" s="822"/>
      <c r="J1" s="822"/>
      <c r="K1" s="822"/>
      <c r="L1" s="822"/>
      <c r="M1" s="822"/>
      <c r="N1" s="822"/>
      <c r="O1" s="822"/>
      <c r="P1" s="822"/>
      <c r="Q1" s="822"/>
    </row>
    <row r="2" spans="1:20" ht="18.95" customHeight="1" x14ac:dyDescent="0.25">
      <c r="A2" s="822" t="s">
        <v>255</v>
      </c>
      <c r="B2" s="822"/>
      <c r="C2" s="822"/>
      <c r="D2" s="822"/>
      <c r="E2" s="822"/>
      <c r="F2" s="822"/>
      <c r="G2" s="822"/>
      <c r="H2" s="822"/>
      <c r="I2" s="822"/>
      <c r="J2" s="822"/>
      <c r="K2" s="822"/>
      <c r="L2" s="822"/>
      <c r="M2" s="822"/>
      <c r="N2" s="822"/>
      <c r="O2" s="822"/>
      <c r="P2" s="822"/>
      <c r="Q2" s="822"/>
    </row>
    <row r="3" spans="1:20" ht="18.95" customHeight="1" x14ac:dyDescent="0.25">
      <c r="A3" s="822" t="s">
        <v>254</v>
      </c>
      <c r="B3" s="822"/>
      <c r="C3" s="822"/>
      <c r="D3" s="822"/>
      <c r="E3" s="822"/>
      <c r="F3" s="822"/>
      <c r="G3" s="822"/>
      <c r="H3" s="822"/>
      <c r="I3" s="822"/>
      <c r="J3" s="822"/>
      <c r="K3" s="822"/>
      <c r="L3" s="822"/>
      <c r="M3" s="822"/>
      <c r="N3" s="822"/>
      <c r="O3" s="822"/>
      <c r="P3" s="822"/>
      <c r="Q3" s="822"/>
    </row>
    <row r="4" spans="1:20" ht="18.75" customHeight="1" x14ac:dyDescent="0.25">
      <c r="A4" s="823" t="s">
        <v>253</v>
      </c>
      <c r="B4" s="823"/>
      <c r="C4" s="823"/>
      <c r="D4" s="823"/>
      <c r="E4" s="823"/>
      <c r="F4" s="823"/>
      <c r="G4" s="823"/>
      <c r="H4" s="823"/>
      <c r="I4" s="823"/>
      <c r="J4" s="823"/>
      <c r="K4" s="823"/>
      <c r="L4" s="823"/>
      <c r="M4" s="823"/>
      <c r="N4" s="823"/>
      <c r="O4" s="823"/>
      <c r="P4" s="823"/>
      <c r="Q4" s="823"/>
    </row>
    <row r="5" spans="1:20" ht="6" customHeight="1" thickBot="1" x14ac:dyDescent="0.3">
      <c r="A5" s="485"/>
      <c r="B5" s="485"/>
      <c r="C5" s="485"/>
      <c r="D5" s="485"/>
      <c r="E5" s="485"/>
      <c r="F5" s="485"/>
      <c r="G5" s="485"/>
      <c r="H5" s="485"/>
      <c r="I5" s="485"/>
      <c r="J5" s="485"/>
      <c r="K5" s="485"/>
      <c r="L5" s="485"/>
      <c r="M5" s="485"/>
      <c r="N5" s="485"/>
      <c r="O5" s="485"/>
      <c r="P5" s="485"/>
      <c r="Q5" s="485"/>
    </row>
    <row r="6" spans="1:20" ht="18.95" customHeight="1" x14ac:dyDescent="0.25">
      <c r="A6" s="517" t="s">
        <v>239</v>
      </c>
      <c r="B6" s="516"/>
      <c r="C6" s="513"/>
      <c r="D6" s="513"/>
      <c r="E6" s="513"/>
      <c r="F6" s="513"/>
      <c r="G6" s="513"/>
      <c r="H6" s="513"/>
      <c r="I6" s="513"/>
      <c r="J6" s="513"/>
      <c r="K6" s="513"/>
      <c r="L6" s="515"/>
      <c r="M6" s="514" t="s">
        <v>190</v>
      </c>
      <c r="N6" s="513"/>
      <c r="O6" s="513"/>
      <c r="P6" s="513"/>
      <c r="Q6" s="512"/>
    </row>
    <row r="7" spans="1:20" ht="18.95" customHeight="1" x14ac:dyDescent="0.25">
      <c r="A7" s="508"/>
      <c r="B7" s="511"/>
      <c r="C7" s="503"/>
      <c r="D7" s="503"/>
      <c r="E7" s="503"/>
      <c r="F7" s="503"/>
      <c r="G7" s="503"/>
      <c r="H7" s="503"/>
      <c r="I7" s="503"/>
      <c r="J7" s="503"/>
      <c r="K7" s="503"/>
      <c r="L7" s="506"/>
      <c r="M7" s="510" t="s">
        <v>189</v>
      </c>
      <c r="N7" s="509"/>
      <c r="O7" s="509" t="s">
        <v>188</v>
      </c>
      <c r="P7" s="503"/>
      <c r="Q7" s="502"/>
    </row>
    <row r="8" spans="1:20" ht="18.95" customHeight="1" x14ac:dyDescent="0.25">
      <c r="A8" s="508"/>
      <c r="B8" s="507"/>
      <c r="C8" s="503"/>
      <c r="D8" s="503"/>
      <c r="E8" s="503"/>
      <c r="F8" s="503"/>
      <c r="G8" s="503"/>
      <c r="H8" s="503"/>
      <c r="I8" s="503"/>
      <c r="J8" s="503"/>
      <c r="K8" s="503"/>
      <c r="L8" s="506"/>
      <c r="M8" s="505" t="s">
        <v>187</v>
      </c>
      <c r="N8" s="504"/>
      <c r="O8" s="503"/>
      <c r="P8" s="503" t="s">
        <v>186</v>
      </c>
      <c r="Q8" s="502"/>
    </row>
    <row r="9" spans="1:20" ht="18.95" customHeight="1" x14ac:dyDescent="0.25">
      <c r="A9" s="508"/>
      <c r="B9" s="507"/>
      <c r="C9" s="503"/>
      <c r="D9" s="503"/>
      <c r="E9" s="503"/>
      <c r="F9" s="503"/>
      <c r="G9" s="503"/>
      <c r="H9" s="503"/>
      <c r="I9" s="503"/>
      <c r="J9" s="503"/>
      <c r="K9" s="503"/>
      <c r="L9" s="506"/>
      <c r="M9" s="505" t="s">
        <v>185</v>
      </c>
      <c r="N9" s="504"/>
      <c r="O9" s="503"/>
      <c r="P9" s="503" t="s">
        <v>184</v>
      </c>
      <c r="Q9" s="502"/>
    </row>
    <row r="10" spans="1:20" ht="18.95" customHeight="1" thickBot="1" x14ac:dyDescent="0.3">
      <c r="A10" s="508"/>
      <c r="B10" s="507"/>
      <c r="C10" s="503"/>
      <c r="D10" s="503"/>
      <c r="E10" s="503"/>
      <c r="F10" s="503"/>
      <c r="G10" s="503"/>
      <c r="H10" s="503"/>
      <c r="I10" s="503"/>
      <c r="J10" s="503"/>
      <c r="K10" s="503"/>
      <c r="L10" s="506"/>
      <c r="M10" s="505" t="s">
        <v>183</v>
      </c>
      <c r="N10" s="504"/>
      <c r="O10" s="503"/>
      <c r="P10" s="503" t="s">
        <v>182</v>
      </c>
      <c r="Q10" s="502"/>
    </row>
    <row r="11" spans="1:20" s="498" customFormat="1" ht="18.95" customHeight="1" thickBot="1" x14ac:dyDescent="0.3">
      <c r="A11" s="824" t="s">
        <v>181</v>
      </c>
      <c r="B11" s="825"/>
      <c r="C11" s="825"/>
      <c r="D11" s="825"/>
      <c r="E11" s="825"/>
      <c r="F11" s="825"/>
      <c r="G11" s="825"/>
      <c r="H11" s="825"/>
      <c r="I11" s="825"/>
      <c r="J11" s="825"/>
      <c r="K11" s="825"/>
      <c r="L11" s="825"/>
      <c r="M11" s="825"/>
      <c r="N11" s="825"/>
      <c r="O11" s="825"/>
      <c r="P11" s="825"/>
      <c r="Q11" s="826"/>
    </row>
    <row r="12" spans="1:20" s="498" customFormat="1" ht="18.95" customHeight="1" x14ac:dyDescent="0.25">
      <c r="A12" s="827" t="s">
        <v>180</v>
      </c>
      <c r="B12" s="816" t="s">
        <v>179</v>
      </c>
      <c r="C12" s="816" t="s">
        <v>178</v>
      </c>
      <c r="D12" s="816" t="s">
        <v>177</v>
      </c>
      <c r="E12" s="816" t="s">
        <v>176</v>
      </c>
      <c r="F12" s="810" t="s">
        <v>175</v>
      </c>
      <c r="G12" s="811"/>
      <c r="H12" s="812"/>
      <c r="I12" s="810" t="s">
        <v>174</v>
      </c>
      <c r="J12" s="812"/>
      <c r="K12" s="816" t="s">
        <v>173</v>
      </c>
      <c r="L12" s="816" t="s">
        <v>172</v>
      </c>
      <c r="M12" s="816"/>
      <c r="N12" s="816"/>
      <c r="O12" s="816"/>
      <c r="P12" s="816"/>
      <c r="Q12" s="819" t="s">
        <v>171</v>
      </c>
    </row>
    <row r="13" spans="1:20" s="498" customFormat="1" ht="30" customHeight="1" x14ac:dyDescent="0.25">
      <c r="A13" s="828"/>
      <c r="B13" s="817"/>
      <c r="C13" s="817"/>
      <c r="D13" s="817"/>
      <c r="E13" s="817"/>
      <c r="F13" s="813"/>
      <c r="G13" s="814"/>
      <c r="H13" s="815"/>
      <c r="I13" s="813"/>
      <c r="J13" s="815"/>
      <c r="K13" s="817"/>
      <c r="L13" s="817" t="s">
        <v>170</v>
      </c>
      <c r="M13" s="817"/>
      <c r="N13" s="817" t="s">
        <v>238</v>
      </c>
      <c r="O13" s="817"/>
      <c r="P13" s="817"/>
      <c r="Q13" s="820"/>
    </row>
    <row r="14" spans="1:20" s="498" customFormat="1" ht="45.75" customHeight="1" thickBot="1" x14ac:dyDescent="0.3">
      <c r="A14" s="829"/>
      <c r="B14" s="818"/>
      <c r="C14" s="818"/>
      <c r="D14" s="818"/>
      <c r="E14" s="818"/>
      <c r="F14" s="501" t="s">
        <v>168</v>
      </c>
      <c r="G14" s="501" t="s">
        <v>167</v>
      </c>
      <c r="H14" s="501" t="s">
        <v>166</v>
      </c>
      <c r="I14" s="501" t="s">
        <v>165</v>
      </c>
      <c r="J14" s="501" t="s">
        <v>164</v>
      </c>
      <c r="K14" s="818"/>
      <c r="L14" s="499" t="s">
        <v>163</v>
      </c>
      <c r="M14" s="499" t="s">
        <v>162</v>
      </c>
      <c r="N14" s="500" t="s">
        <v>161</v>
      </c>
      <c r="O14" s="500" t="s">
        <v>160</v>
      </c>
      <c r="P14" s="499" t="s">
        <v>159</v>
      </c>
      <c r="Q14" s="821"/>
    </row>
    <row r="15" spans="1:20" s="476" customFormat="1" ht="19.5" customHeight="1" x14ac:dyDescent="0.25">
      <c r="A15" s="497" t="s">
        <v>158</v>
      </c>
      <c r="B15" s="497" t="s">
        <v>252</v>
      </c>
      <c r="C15" s="497" t="s">
        <v>157</v>
      </c>
      <c r="D15" s="497" t="s">
        <v>237</v>
      </c>
      <c r="E15" s="497" t="s">
        <v>156</v>
      </c>
      <c r="F15" s="497" t="s">
        <v>155</v>
      </c>
      <c r="G15" s="497" t="s">
        <v>154</v>
      </c>
      <c r="H15" s="497" t="s">
        <v>153</v>
      </c>
      <c r="I15" s="497" t="s">
        <v>152</v>
      </c>
      <c r="J15" s="497" t="s">
        <v>151</v>
      </c>
      <c r="K15" s="497" t="s">
        <v>150</v>
      </c>
      <c r="L15" s="497" t="s">
        <v>149</v>
      </c>
      <c r="M15" s="497" t="s">
        <v>148</v>
      </c>
      <c r="N15" s="497" t="s">
        <v>147</v>
      </c>
      <c r="O15" s="497" t="s">
        <v>146</v>
      </c>
      <c r="P15" s="497" t="s">
        <v>145</v>
      </c>
      <c r="Q15" s="496" t="s">
        <v>236</v>
      </c>
      <c r="T15" s="477"/>
    </row>
    <row r="16" spans="1:20" s="491" customFormat="1" ht="25.5" customHeight="1" x14ac:dyDescent="0.25">
      <c r="A16" s="494" t="s">
        <v>142</v>
      </c>
      <c r="B16" s="495"/>
      <c r="C16" s="494">
        <f>C20+C24+C17+C27</f>
        <v>8250</v>
      </c>
      <c r="D16" s="494">
        <f>D20+D24+D17+D27</f>
        <v>10815.69</v>
      </c>
      <c r="E16" s="494"/>
      <c r="F16" s="494">
        <f>F20+F24+F17+F27</f>
        <v>7309.25</v>
      </c>
      <c r="G16" s="494">
        <f>G20+G24+G17+G27</f>
        <v>3418.5</v>
      </c>
      <c r="H16" s="494">
        <f>H20+H24+H17+H27</f>
        <v>10727.75</v>
      </c>
      <c r="I16" s="494"/>
      <c r="J16" s="494"/>
      <c r="K16" s="494"/>
      <c r="L16" s="494"/>
      <c r="M16" s="494">
        <f>M20+M24+M17+M27</f>
        <v>52375795.628496438</v>
      </c>
      <c r="N16" s="494">
        <f>N20+N24+N17+N27</f>
        <v>21282.391755000001</v>
      </c>
      <c r="O16" s="494"/>
      <c r="P16" s="494">
        <f>P20+P24+P17+P27</f>
        <v>361800659.83499998</v>
      </c>
      <c r="Q16" s="493"/>
      <c r="T16" s="492"/>
    </row>
    <row r="17" spans="1:20" s="484" customFormat="1" ht="19.5" customHeight="1" x14ac:dyDescent="0.25">
      <c r="A17" s="488" t="s">
        <v>51</v>
      </c>
      <c r="B17" s="488"/>
      <c r="C17" s="487">
        <f>SUM(C18:C19)</f>
        <v>63</v>
      </c>
      <c r="D17" s="487">
        <f>SUM(D18:D19)</f>
        <v>144.5</v>
      </c>
      <c r="E17" s="488"/>
      <c r="F17" s="487">
        <f>SUM(F18:F19)</f>
        <v>55</v>
      </c>
      <c r="G17" s="487">
        <f>SUM(G18:G19)</f>
        <v>12</v>
      </c>
      <c r="H17" s="487">
        <f>SUM(H18:H19)</f>
        <v>67</v>
      </c>
      <c r="I17" s="490"/>
      <c r="J17" s="490"/>
      <c r="K17" s="488"/>
      <c r="L17" s="486"/>
      <c r="M17" s="487">
        <f>SUM(M18:M19)</f>
        <v>2005741.7555205049</v>
      </c>
      <c r="N17" s="487">
        <f>SUM(N18:N19)</f>
        <v>210.33750000000001</v>
      </c>
      <c r="O17" s="488"/>
      <c r="P17" s="487">
        <f>SUM(P18:P19)</f>
        <v>3575737.5</v>
      </c>
      <c r="Q17" s="486"/>
      <c r="T17" s="485"/>
    </row>
    <row r="18" spans="1:20" s="476" customFormat="1" ht="18.75" customHeight="1" x14ac:dyDescent="0.25">
      <c r="A18" s="478" t="s">
        <v>55</v>
      </c>
      <c r="B18" s="478"/>
      <c r="C18" s="483">
        <v>40</v>
      </c>
      <c r="D18" s="478">
        <v>119.5</v>
      </c>
      <c r="E18" s="478" t="s">
        <v>250</v>
      </c>
      <c r="F18" s="478">
        <v>30</v>
      </c>
      <c r="G18" s="478">
        <v>12</v>
      </c>
      <c r="H18" s="479">
        <f>SUM(F18:G18)</f>
        <v>42</v>
      </c>
      <c r="I18" s="482">
        <v>3.17</v>
      </c>
      <c r="J18" s="481">
        <v>0.03</v>
      </c>
      <c r="K18" s="480">
        <f>(I18-J18)/I18</f>
        <v>0.99053627760252372</v>
      </c>
      <c r="L18" s="479">
        <v>43768</v>
      </c>
      <c r="M18" s="479">
        <f>(H18*L18)*K18</f>
        <v>1820859.2555205049</v>
      </c>
      <c r="N18" s="478">
        <f>H18*I18*K18</f>
        <v>131.88</v>
      </c>
      <c r="O18" s="478">
        <v>17</v>
      </c>
      <c r="P18" s="479">
        <f>N18*1000*17</f>
        <v>2241960</v>
      </c>
      <c r="Q18" s="478"/>
      <c r="T18" s="477"/>
    </row>
    <row r="19" spans="1:20" s="476" customFormat="1" ht="18.75" customHeight="1" x14ac:dyDescent="0.25">
      <c r="A19" s="478" t="s">
        <v>54</v>
      </c>
      <c r="B19" s="478"/>
      <c r="C19" s="483">
        <v>23</v>
      </c>
      <c r="D19" s="478">
        <v>25</v>
      </c>
      <c r="E19" s="478" t="s">
        <v>124</v>
      </c>
      <c r="F19" s="478">
        <v>25</v>
      </c>
      <c r="G19" s="478"/>
      <c r="H19" s="479">
        <f>SUM(F19:G19)</f>
        <v>25</v>
      </c>
      <c r="I19" s="482">
        <v>3.17</v>
      </c>
      <c r="J19" s="481">
        <f>3.17*0.01</f>
        <v>3.1699999999999999E-2</v>
      </c>
      <c r="K19" s="480">
        <f>(I19-J19)/I19</f>
        <v>0.9900000000000001</v>
      </c>
      <c r="L19" s="479">
        <v>7470</v>
      </c>
      <c r="M19" s="479">
        <f>(H19*L19)*K19</f>
        <v>184882.50000000003</v>
      </c>
      <c r="N19" s="478">
        <f>H19*I19*K19</f>
        <v>78.45750000000001</v>
      </c>
      <c r="O19" s="478">
        <v>17</v>
      </c>
      <c r="P19" s="479">
        <f>N19*1000*17</f>
        <v>1333777.5000000002</v>
      </c>
      <c r="Q19" s="478"/>
      <c r="T19" s="477"/>
    </row>
    <row r="20" spans="1:20" s="484" customFormat="1" ht="19.5" customHeight="1" x14ac:dyDescent="0.25">
      <c r="A20" s="488" t="s">
        <v>251</v>
      </c>
      <c r="B20" s="488"/>
      <c r="C20" s="487">
        <f>SUM(C21:C23)</f>
        <v>855</v>
      </c>
      <c r="D20" s="487">
        <f>SUM(D21:D23)</f>
        <v>869</v>
      </c>
      <c r="E20" s="488"/>
      <c r="F20" s="487">
        <f>SUM(F21:F23)</f>
        <v>0</v>
      </c>
      <c r="G20" s="487">
        <f>SUM(G21:G23)</f>
        <v>869</v>
      </c>
      <c r="H20" s="487">
        <f>SUM(H21:H23)</f>
        <v>869</v>
      </c>
      <c r="I20" s="490"/>
      <c r="J20" s="490"/>
      <c r="K20" s="489"/>
      <c r="L20" s="486"/>
      <c r="M20" s="487">
        <f>SUM(M21:M23)</f>
        <v>2208090.8000000003</v>
      </c>
      <c r="N20" s="487">
        <f>SUM(N21:N23)</f>
        <v>160.56050000000005</v>
      </c>
      <c r="O20" s="488"/>
      <c r="P20" s="487">
        <f>SUM(P21:P23)</f>
        <v>2729528.5000000009</v>
      </c>
      <c r="Q20" s="486"/>
      <c r="T20" s="485"/>
    </row>
    <row r="21" spans="1:20" s="476" customFormat="1" ht="18.75" customHeight="1" x14ac:dyDescent="0.25">
      <c r="A21" s="478" t="s">
        <v>136</v>
      </c>
      <c r="B21" s="478"/>
      <c r="C21" s="483">
        <v>150</v>
      </c>
      <c r="D21" s="478">
        <v>144</v>
      </c>
      <c r="E21" s="478" t="s">
        <v>250</v>
      </c>
      <c r="F21" s="478"/>
      <c r="G21" s="478">
        <v>144</v>
      </c>
      <c r="H21" s="479">
        <f>SUM(F21:G21)</f>
        <v>144</v>
      </c>
      <c r="I21" s="482">
        <v>3.17</v>
      </c>
      <c r="J21" s="481">
        <f>3.17*0.9</f>
        <v>2.8530000000000002</v>
      </c>
      <c r="K21" s="480">
        <f>(I21-J21)/I21</f>
        <v>9.9999999999999922E-2</v>
      </c>
      <c r="L21" s="479">
        <v>43768</v>
      </c>
      <c r="M21" s="479">
        <f>(H21*L21)*K21</f>
        <v>630259.19999999949</v>
      </c>
      <c r="N21" s="478">
        <f>H21*I21*K21</f>
        <v>45.647999999999968</v>
      </c>
      <c r="O21" s="478">
        <v>17</v>
      </c>
      <c r="P21" s="479">
        <f>N21*1000*17</f>
        <v>776015.99999999953</v>
      </c>
      <c r="Q21" s="478"/>
      <c r="T21" s="477"/>
    </row>
    <row r="22" spans="1:20" s="476" customFormat="1" ht="18.75" customHeight="1" x14ac:dyDescent="0.25">
      <c r="A22" s="478" t="s">
        <v>62</v>
      </c>
      <c r="B22" s="478"/>
      <c r="C22" s="483">
        <v>688</v>
      </c>
      <c r="D22" s="478">
        <v>708</v>
      </c>
      <c r="E22" s="478" t="s">
        <v>250</v>
      </c>
      <c r="F22" s="478"/>
      <c r="G22" s="478">
        <v>708</v>
      </c>
      <c r="H22" s="479">
        <f>SUM(F22:G22)</f>
        <v>708</v>
      </c>
      <c r="I22" s="482">
        <v>3.17</v>
      </c>
      <c r="J22" s="481">
        <f>3.17*0.95</f>
        <v>3.0114999999999998</v>
      </c>
      <c r="K22" s="480">
        <f>(I22-J22)/I22</f>
        <v>5.0000000000000031E-2</v>
      </c>
      <c r="L22" s="479">
        <v>43768</v>
      </c>
      <c r="M22" s="479">
        <f>(H22*L22)*K22</f>
        <v>1549387.2000000009</v>
      </c>
      <c r="N22" s="478">
        <f>H22*I22*K22</f>
        <v>112.21800000000007</v>
      </c>
      <c r="O22" s="478">
        <v>17</v>
      </c>
      <c r="P22" s="479">
        <f>N22*1000*17</f>
        <v>1907706.0000000012</v>
      </c>
      <c r="Q22" s="478"/>
      <c r="T22" s="477"/>
    </row>
    <row r="23" spans="1:20" s="476" customFormat="1" ht="18.75" customHeight="1" x14ac:dyDescent="0.25">
      <c r="A23" s="478" t="s">
        <v>134</v>
      </c>
      <c r="B23" s="478"/>
      <c r="C23" s="483">
        <v>17</v>
      </c>
      <c r="D23" s="478">
        <v>17</v>
      </c>
      <c r="E23" s="478" t="s">
        <v>250</v>
      </c>
      <c r="F23" s="478"/>
      <c r="G23" s="478">
        <v>17</v>
      </c>
      <c r="H23" s="479">
        <f>SUM(F23:G23)</f>
        <v>17</v>
      </c>
      <c r="I23" s="482">
        <v>3.17</v>
      </c>
      <c r="J23" s="481">
        <f>3.17*0.95</f>
        <v>3.0114999999999998</v>
      </c>
      <c r="K23" s="480">
        <f>(I23-J23)/I23</f>
        <v>5.0000000000000031E-2</v>
      </c>
      <c r="L23" s="479">
        <v>33464</v>
      </c>
      <c r="M23" s="479">
        <f>(H23*L23)*K23</f>
        <v>28444.400000000016</v>
      </c>
      <c r="N23" s="478">
        <f>H23*I23*K23</f>
        <v>2.6945000000000019</v>
      </c>
      <c r="O23" s="478">
        <v>17</v>
      </c>
      <c r="P23" s="479">
        <f>N23*1000*17</f>
        <v>45806.500000000029</v>
      </c>
      <c r="Q23" s="478"/>
      <c r="T23" s="477"/>
    </row>
    <row r="24" spans="1:20" s="484" customFormat="1" ht="19.5" customHeight="1" x14ac:dyDescent="0.25">
      <c r="A24" s="486" t="s">
        <v>128</v>
      </c>
      <c r="B24" s="488"/>
      <c r="C24" s="487">
        <f>SUM(C25:C26)</f>
        <v>322</v>
      </c>
      <c r="D24" s="487">
        <f>SUM(D25:D26)</f>
        <v>348</v>
      </c>
      <c r="E24" s="488"/>
      <c r="F24" s="487">
        <f>SUM(F25:F26)</f>
        <v>348</v>
      </c>
      <c r="G24" s="487">
        <f>G25</f>
        <v>0</v>
      </c>
      <c r="H24" s="487">
        <f>SUM(H25:H26)</f>
        <v>348</v>
      </c>
      <c r="I24" s="490"/>
      <c r="J24" s="490"/>
      <c r="K24" s="489"/>
      <c r="L24" s="487"/>
      <c r="M24" s="487">
        <f>SUM(M25:M26)</f>
        <v>2536214.4000000004</v>
      </c>
      <c r="N24" s="487">
        <f>SUM(N25:N26)</f>
        <v>1076.2784000000001</v>
      </c>
      <c r="O24" s="488"/>
      <c r="P24" s="487">
        <f>SUM(P25:P26)</f>
        <v>18296732.800000001</v>
      </c>
      <c r="Q24" s="486"/>
      <c r="T24" s="485"/>
    </row>
    <row r="25" spans="1:20" s="476" customFormat="1" ht="18.75" customHeight="1" x14ac:dyDescent="0.25">
      <c r="A25" s="478" t="s">
        <v>110</v>
      </c>
      <c r="B25" s="478"/>
      <c r="C25" s="483">
        <v>122</v>
      </c>
      <c r="D25" s="478">
        <v>125</v>
      </c>
      <c r="E25" s="478" t="s">
        <v>124</v>
      </c>
      <c r="F25" s="478">
        <v>125</v>
      </c>
      <c r="G25" s="478"/>
      <c r="H25" s="479">
        <f>SUM(F25:G25)</f>
        <v>125</v>
      </c>
      <c r="I25" s="482">
        <v>3.17</v>
      </c>
      <c r="J25" s="481">
        <f>3.17*0.05</f>
        <v>0.1585</v>
      </c>
      <c r="K25" s="480">
        <f>(I25-J25)/I25</f>
        <v>0.95</v>
      </c>
      <c r="L25" s="479">
        <v>7470</v>
      </c>
      <c r="M25" s="479">
        <f>(H25*L25)*K25</f>
        <v>887062.5</v>
      </c>
      <c r="N25" s="478">
        <f>H25*I25*K25</f>
        <v>376.4375</v>
      </c>
      <c r="O25" s="478">
        <v>17</v>
      </c>
      <c r="P25" s="479">
        <f>N25*1000*17</f>
        <v>6399437.5</v>
      </c>
      <c r="Q25" s="478"/>
      <c r="T25" s="477"/>
    </row>
    <row r="26" spans="1:20" s="476" customFormat="1" ht="18.75" customHeight="1" x14ac:dyDescent="0.25">
      <c r="A26" s="478" t="s">
        <v>111</v>
      </c>
      <c r="B26" s="478"/>
      <c r="C26" s="483">
        <v>200</v>
      </c>
      <c r="D26" s="478">
        <v>223</v>
      </c>
      <c r="E26" s="478" t="s">
        <v>124</v>
      </c>
      <c r="F26" s="478">
        <v>223</v>
      </c>
      <c r="G26" s="478"/>
      <c r="H26" s="479">
        <f>SUM(F26:G26)</f>
        <v>223</v>
      </c>
      <c r="I26" s="482">
        <v>3.17</v>
      </c>
      <c r="J26" s="481">
        <f>3.17*0.01</f>
        <v>3.1699999999999999E-2</v>
      </c>
      <c r="K26" s="480">
        <f>(I26-J26)/I26</f>
        <v>0.9900000000000001</v>
      </c>
      <c r="L26" s="479">
        <v>7470</v>
      </c>
      <c r="M26" s="479">
        <f>(H26*L26)*K26</f>
        <v>1649151.9000000001</v>
      </c>
      <c r="N26" s="478">
        <f>H26*I26*K26</f>
        <v>699.84090000000003</v>
      </c>
      <c r="O26" s="478">
        <v>17</v>
      </c>
      <c r="P26" s="479">
        <f>N26*1000*17</f>
        <v>11897295.300000001</v>
      </c>
      <c r="Q26" s="478"/>
      <c r="T26" s="477"/>
    </row>
    <row r="27" spans="1:20" s="484" customFormat="1" ht="19.5" customHeight="1" x14ac:dyDescent="0.25">
      <c r="A27" s="486" t="s">
        <v>122</v>
      </c>
      <c r="B27" s="488"/>
      <c r="C27" s="487">
        <f>SUM(C30:C46)</f>
        <v>7010</v>
      </c>
      <c r="D27" s="487">
        <f>SUM(D30:D46)</f>
        <v>9454.19</v>
      </c>
      <c r="E27" s="488"/>
      <c r="F27" s="487">
        <f>SUM(F28:F46)</f>
        <v>6906.25</v>
      </c>
      <c r="G27" s="487">
        <f>SUM(G28:G46)</f>
        <v>2537.5</v>
      </c>
      <c r="H27" s="487">
        <f>SUM(H28:H46)</f>
        <v>9443.75</v>
      </c>
      <c r="I27" s="490"/>
      <c r="J27" s="490"/>
      <c r="K27" s="489"/>
      <c r="L27" s="487"/>
      <c r="M27" s="487">
        <f>SUM(M30:M46)</f>
        <v>45625748.672975935</v>
      </c>
      <c r="N27" s="487">
        <f>SUM(N30:N46)</f>
        <v>19835.215355</v>
      </c>
      <c r="O27" s="488"/>
      <c r="P27" s="487">
        <f>SUM(P30:P46)</f>
        <v>337198661.03499997</v>
      </c>
      <c r="Q27" s="486"/>
      <c r="T27" s="485"/>
    </row>
    <row r="28" spans="1:20" s="476" customFormat="1" ht="19.5" customHeight="1" x14ac:dyDescent="0.25">
      <c r="A28" s="478" t="s">
        <v>90</v>
      </c>
      <c r="B28" s="478"/>
      <c r="C28" s="483">
        <v>600</v>
      </c>
      <c r="D28" s="483">
        <v>635</v>
      </c>
      <c r="E28" s="483" t="s">
        <v>124</v>
      </c>
      <c r="F28" s="483">
        <v>630</v>
      </c>
      <c r="G28" s="483">
        <v>35</v>
      </c>
      <c r="H28" s="479">
        <f>SUM(F28:G28)</f>
        <v>665</v>
      </c>
      <c r="I28" s="482">
        <v>3.17</v>
      </c>
      <c r="J28" s="481">
        <v>0.03</v>
      </c>
      <c r="K28" s="480">
        <f>(I28-J28)/I28</f>
        <v>0.99053627760252372</v>
      </c>
      <c r="L28" s="479">
        <v>7470</v>
      </c>
      <c r="M28" s="479">
        <f>(H28*L28)*K28</f>
        <v>4920538.4858044162</v>
      </c>
      <c r="N28" s="478">
        <f>H28*I28*K28</f>
        <v>2088.1</v>
      </c>
      <c r="O28" s="478">
        <v>17</v>
      </c>
      <c r="P28" s="479">
        <f>N28*1000*17</f>
        <v>35497700</v>
      </c>
      <c r="Q28" s="479"/>
      <c r="T28" s="477"/>
    </row>
    <row r="29" spans="1:20" s="524" customFormat="1" ht="19.5" customHeight="1" x14ac:dyDescent="0.25">
      <c r="A29" s="518" t="s">
        <v>95</v>
      </c>
      <c r="B29" s="518"/>
      <c r="C29" s="519">
        <v>13</v>
      </c>
      <c r="D29" s="519">
        <v>21</v>
      </c>
      <c r="E29" s="519">
        <v>0</v>
      </c>
      <c r="F29" s="519">
        <v>0</v>
      </c>
      <c r="G29" s="519">
        <v>14.9</v>
      </c>
      <c r="H29" s="520">
        <v>14.9</v>
      </c>
      <c r="I29" s="521">
        <v>6.34</v>
      </c>
      <c r="J29" s="522">
        <v>2.883</v>
      </c>
      <c r="K29" s="523">
        <v>1.0905362776025236</v>
      </c>
      <c r="L29" s="520">
        <v>14940</v>
      </c>
      <c r="M29" s="520">
        <v>76988.129337539431</v>
      </c>
      <c r="N29" s="518">
        <v>32.670999999999999</v>
      </c>
      <c r="O29" s="518">
        <v>34</v>
      </c>
      <c r="P29" s="520">
        <v>555407.00000000012</v>
      </c>
      <c r="Q29" s="520"/>
      <c r="T29" s="525"/>
    </row>
    <row r="30" spans="1:20" s="476" customFormat="1" ht="19.5" customHeight="1" x14ac:dyDescent="0.25">
      <c r="A30" s="478" t="s">
        <v>195</v>
      </c>
      <c r="B30" s="478"/>
      <c r="C30" s="483">
        <v>170</v>
      </c>
      <c r="D30" s="483">
        <v>50</v>
      </c>
      <c r="E30" s="483" t="s">
        <v>124</v>
      </c>
      <c r="F30" s="483">
        <v>49.9</v>
      </c>
      <c r="G30" s="483"/>
      <c r="H30" s="479">
        <f>SUM(F30:G30)</f>
        <v>49.9</v>
      </c>
      <c r="I30" s="482">
        <v>3.17</v>
      </c>
      <c r="J30" s="481">
        <v>0.03</v>
      </c>
      <c r="K30" s="480">
        <f>(I30-J30)/I30</f>
        <v>0.99053627760252372</v>
      </c>
      <c r="L30" s="479">
        <v>7470</v>
      </c>
      <c r="M30" s="479">
        <f>(H30*L30)*K30</f>
        <v>369225.36908517353</v>
      </c>
      <c r="N30" s="478">
        <f>H30*I30*K30</f>
        <v>156.68600000000001</v>
      </c>
      <c r="O30" s="478">
        <v>17</v>
      </c>
      <c r="P30" s="479">
        <f>N30*1000*17</f>
        <v>2663662</v>
      </c>
      <c r="Q30" s="479"/>
      <c r="T30" s="477"/>
    </row>
    <row r="31" spans="1:20" s="524" customFormat="1" ht="19.5" customHeight="1" x14ac:dyDescent="0.25">
      <c r="A31" s="518" t="s">
        <v>87</v>
      </c>
      <c r="B31" s="518"/>
      <c r="C31" s="519">
        <v>617</v>
      </c>
      <c r="D31" s="519">
        <v>403</v>
      </c>
      <c r="E31" s="519">
        <v>0</v>
      </c>
      <c r="F31" s="519">
        <v>202.8</v>
      </c>
      <c r="G31" s="519">
        <v>153.80000000000001</v>
      </c>
      <c r="H31" s="519">
        <v>356.6</v>
      </c>
      <c r="I31" s="519">
        <v>9.51</v>
      </c>
      <c r="J31" s="519">
        <v>9.1700000000000004E-2</v>
      </c>
      <c r="K31" s="519">
        <v>2.9710725552050476</v>
      </c>
      <c r="L31" s="519">
        <v>58708</v>
      </c>
      <c r="M31" s="519">
        <v>2832619.9929842278</v>
      </c>
      <c r="N31" s="519">
        <v>1119.7148200000001</v>
      </c>
      <c r="O31" s="519">
        <v>51</v>
      </c>
      <c r="P31" s="519">
        <v>19035151.940000005</v>
      </c>
      <c r="Q31" s="520"/>
      <c r="T31" s="525"/>
    </row>
    <row r="32" spans="1:20" s="476" customFormat="1" ht="19.5" customHeight="1" x14ac:dyDescent="0.25">
      <c r="A32" s="478" t="s">
        <v>227</v>
      </c>
      <c r="B32" s="478"/>
      <c r="C32" s="483"/>
      <c r="D32" s="483">
        <v>30</v>
      </c>
      <c r="E32" s="483" t="s">
        <v>124</v>
      </c>
      <c r="F32" s="483">
        <v>29.8</v>
      </c>
      <c r="G32" s="483"/>
      <c r="H32" s="479">
        <f>SUM(F32:G32)</f>
        <v>29.8</v>
      </c>
      <c r="I32" s="482">
        <v>3.17</v>
      </c>
      <c r="J32" s="481">
        <v>0.03</v>
      </c>
      <c r="K32" s="480">
        <f>(I32-J32)/I32</f>
        <v>0.99053627760252372</v>
      </c>
      <c r="L32" s="479">
        <v>7470</v>
      </c>
      <c r="M32" s="479">
        <f>(H32*L32)*K32</f>
        <v>220499.3186119874</v>
      </c>
      <c r="N32" s="478">
        <f>H32*I32*K32</f>
        <v>93.572000000000003</v>
      </c>
      <c r="O32" s="478">
        <v>17</v>
      </c>
      <c r="P32" s="479">
        <f>N32*1000*17</f>
        <v>1590724</v>
      </c>
      <c r="Q32" s="479"/>
      <c r="T32" s="477"/>
    </row>
    <row r="33" spans="1:20" s="476" customFormat="1" ht="19.5" customHeight="1" x14ac:dyDescent="0.25">
      <c r="A33" s="478" t="s">
        <v>3</v>
      </c>
      <c r="B33" s="478"/>
      <c r="C33" s="483">
        <v>250</v>
      </c>
      <c r="D33" s="483">
        <v>238</v>
      </c>
      <c r="E33" s="483" t="s">
        <v>124</v>
      </c>
      <c r="F33" s="483"/>
      <c r="G33" s="483">
        <v>237.9</v>
      </c>
      <c r="H33" s="479">
        <f>SUM(F33:G33)</f>
        <v>237.9</v>
      </c>
      <c r="I33" s="482">
        <v>3.17</v>
      </c>
      <c r="J33" s="481">
        <v>0.03</v>
      </c>
      <c r="K33" s="480">
        <f>(I33-J33)/I33</f>
        <v>0.99053627760252372</v>
      </c>
      <c r="L33" s="479">
        <v>7470</v>
      </c>
      <c r="M33" s="479">
        <f>(H33*L33)*K33</f>
        <v>1760294.8958990537</v>
      </c>
      <c r="N33" s="478">
        <f>H33*I33*K33</f>
        <v>747.00600000000009</v>
      </c>
      <c r="O33" s="478">
        <v>17</v>
      </c>
      <c r="P33" s="479">
        <f>N33*1000*17</f>
        <v>12699102.000000002</v>
      </c>
      <c r="Q33" s="479"/>
      <c r="T33" s="477"/>
    </row>
    <row r="34" spans="1:20" s="476" customFormat="1" ht="19.5" customHeight="1" x14ac:dyDescent="0.25">
      <c r="A34" s="478" t="s">
        <v>118</v>
      </c>
      <c r="B34" s="478"/>
      <c r="C34" s="483">
        <v>260</v>
      </c>
      <c r="D34" s="483">
        <v>243.6</v>
      </c>
      <c r="E34" s="483" t="s">
        <v>124</v>
      </c>
      <c r="F34" s="483">
        <v>224.4</v>
      </c>
      <c r="G34" s="483"/>
      <c r="H34" s="479">
        <f>SUM(F34:G34)</f>
        <v>224.4</v>
      </c>
      <c r="I34" s="482">
        <v>3.17</v>
      </c>
      <c r="J34" s="481">
        <v>0.03</v>
      </c>
      <c r="K34" s="480">
        <f>(I34-J34)/I34</f>
        <v>0.99053627760252372</v>
      </c>
      <c r="L34" s="479">
        <v>7470</v>
      </c>
      <c r="M34" s="479">
        <f>(H34*L34)*K34</f>
        <v>1660404.2649842273</v>
      </c>
      <c r="N34" s="478">
        <f>H34*I34*K34</f>
        <v>704.61599999999999</v>
      </c>
      <c r="O34" s="478">
        <v>17</v>
      </c>
      <c r="P34" s="479">
        <f>N34*1000*17</f>
        <v>11978472</v>
      </c>
      <c r="Q34" s="479"/>
      <c r="T34" s="477"/>
    </row>
    <row r="35" spans="1:20" s="524" customFormat="1" ht="19.5" customHeight="1" x14ac:dyDescent="0.25">
      <c r="A35" s="518" t="s">
        <v>97</v>
      </c>
      <c r="B35" s="518"/>
      <c r="C35" s="519">
        <v>62</v>
      </c>
      <c r="D35" s="519">
        <v>93.75</v>
      </c>
      <c r="E35" s="519">
        <v>0</v>
      </c>
      <c r="F35" s="519">
        <v>92.75</v>
      </c>
      <c r="G35" s="519">
        <v>1</v>
      </c>
      <c r="H35" s="519">
        <v>93.75</v>
      </c>
      <c r="I35" s="519">
        <v>9.51</v>
      </c>
      <c r="J35" s="519">
        <v>9.1700000000000004E-2</v>
      </c>
      <c r="K35" s="519">
        <v>2.9710725552050476</v>
      </c>
      <c r="L35" s="519">
        <v>58708</v>
      </c>
      <c r="M35" s="519">
        <v>729271.87279179809</v>
      </c>
      <c r="N35" s="519">
        <v>294.21902499999999</v>
      </c>
      <c r="O35" s="519">
        <v>52</v>
      </c>
      <c r="P35" s="519">
        <v>5001723.4250000007</v>
      </c>
      <c r="Q35" s="520"/>
      <c r="T35" s="525"/>
    </row>
    <row r="36" spans="1:20" s="476" customFormat="1" ht="19.5" customHeight="1" x14ac:dyDescent="0.25">
      <c r="A36" s="478" t="s">
        <v>112</v>
      </c>
      <c r="B36" s="478"/>
      <c r="C36" s="483"/>
      <c r="D36" s="483">
        <v>500</v>
      </c>
      <c r="E36" s="483" t="s">
        <v>124</v>
      </c>
      <c r="F36" s="483">
        <v>500</v>
      </c>
      <c r="G36" s="483"/>
      <c r="H36" s="479">
        <f>SUM(F36:G36)</f>
        <v>500</v>
      </c>
      <c r="I36" s="482">
        <v>3.17</v>
      </c>
      <c r="J36" s="481">
        <v>0.03</v>
      </c>
      <c r="K36" s="480">
        <f>(I36-J36)/I36</f>
        <v>0.99053627760252372</v>
      </c>
      <c r="L36" s="479">
        <v>7470</v>
      </c>
      <c r="M36" s="479">
        <f>(H36*L36)*K36</f>
        <v>3699652.996845426</v>
      </c>
      <c r="N36" s="478">
        <f>H36*I36*K36</f>
        <v>1570</v>
      </c>
      <c r="O36" s="478">
        <v>17</v>
      </c>
      <c r="P36" s="479">
        <f>N36*1000*17</f>
        <v>26690000</v>
      </c>
      <c r="Q36" s="479"/>
      <c r="T36" s="477"/>
    </row>
    <row r="37" spans="1:20" s="476" customFormat="1" ht="19.5" customHeight="1" x14ac:dyDescent="0.25">
      <c r="A37" s="478" t="s">
        <v>117</v>
      </c>
      <c r="B37" s="478"/>
      <c r="C37" s="483">
        <v>266</v>
      </c>
      <c r="D37" s="483">
        <v>143</v>
      </c>
      <c r="E37" s="483" t="s">
        <v>124</v>
      </c>
      <c r="F37" s="483">
        <v>128.69999999999999</v>
      </c>
      <c r="G37" s="483"/>
      <c r="H37" s="479">
        <f>SUM(F37:G37)</f>
        <v>128.69999999999999</v>
      </c>
      <c r="I37" s="482">
        <v>3.17</v>
      </c>
      <c r="J37" s="481">
        <f>3.17*0.01</f>
        <v>3.1699999999999999E-2</v>
      </c>
      <c r="K37" s="480">
        <f>(I37-J37)/I37</f>
        <v>0.9900000000000001</v>
      </c>
      <c r="L37" s="479">
        <v>7470</v>
      </c>
      <c r="M37" s="479">
        <f>(H37*L37)*K37</f>
        <v>951775.11</v>
      </c>
      <c r="N37" s="478">
        <f>H37*I37*K37</f>
        <v>403.89920999999998</v>
      </c>
      <c r="O37" s="478">
        <v>17</v>
      </c>
      <c r="P37" s="479">
        <f>N37*1000*17</f>
        <v>6866286.5699999994</v>
      </c>
      <c r="Q37" s="479"/>
      <c r="T37" s="477"/>
    </row>
    <row r="38" spans="1:20" s="476" customFormat="1" ht="24.95" customHeight="1" x14ac:dyDescent="0.25">
      <c r="A38" s="478" t="s">
        <v>91</v>
      </c>
      <c r="B38" s="478"/>
      <c r="C38" s="483">
        <v>1305</v>
      </c>
      <c r="D38" s="478">
        <v>1593</v>
      </c>
      <c r="E38" s="478" t="s">
        <v>130</v>
      </c>
      <c r="F38" s="478">
        <v>1592.8</v>
      </c>
      <c r="G38" s="478"/>
      <c r="H38" s="479">
        <f>SUM(F38:G38)</f>
        <v>1592.8</v>
      </c>
      <c r="I38" s="482">
        <v>4.17</v>
      </c>
      <c r="J38" s="481">
        <f>3.17*0.9</f>
        <v>2.8530000000000002</v>
      </c>
      <c r="K38" s="480">
        <f>(I38-J38)/I38</f>
        <v>0.31582733812949632</v>
      </c>
      <c r="L38" s="479">
        <v>7471</v>
      </c>
      <c r="M38" s="479">
        <f>(H38*L38)*K38</f>
        <v>3758284.9375539552</v>
      </c>
      <c r="N38" s="478">
        <f>H38*I38*K38</f>
        <v>2097.7175999999995</v>
      </c>
      <c r="O38" s="478">
        <v>18</v>
      </c>
      <c r="P38" s="479">
        <f>N38*1000*17</f>
        <v>35661199.199999996</v>
      </c>
      <c r="Q38" s="478"/>
      <c r="T38" s="477"/>
    </row>
    <row r="39" spans="1:20" s="524" customFormat="1" ht="24.95" customHeight="1" x14ac:dyDescent="0.25">
      <c r="A39" s="518" t="s">
        <v>116</v>
      </c>
      <c r="B39" s="518"/>
      <c r="C39" s="519">
        <v>184</v>
      </c>
      <c r="D39" s="519">
        <v>1450</v>
      </c>
      <c r="E39" s="519">
        <v>0</v>
      </c>
      <c r="F39" s="519">
        <v>202.2</v>
      </c>
      <c r="G39" s="519">
        <v>806.4</v>
      </c>
      <c r="H39" s="519">
        <v>1008.5999999999999</v>
      </c>
      <c r="I39" s="519">
        <v>7.34</v>
      </c>
      <c r="J39" s="519">
        <v>5.7060000000000004</v>
      </c>
      <c r="K39" s="519">
        <v>0.41582733812949624</v>
      </c>
      <c r="L39" s="519">
        <v>14941</v>
      </c>
      <c r="M39" s="519">
        <v>882427.88345323666</v>
      </c>
      <c r="N39" s="519">
        <v>399.72619999999972</v>
      </c>
      <c r="O39" s="519">
        <v>35</v>
      </c>
      <c r="P39" s="519">
        <v>6795345.3999999966</v>
      </c>
      <c r="Q39" s="518"/>
      <c r="T39" s="525"/>
    </row>
    <row r="40" spans="1:20" s="476" customFormat="1" ht="24.95" customHeight="1" x14ac:dyDescent="0.25">
      <c r="A40" s="478" t="s">
        <v>249</v>
      </c>
      <c r="B40" s="478"/>
      <c r="C40" s="483">
        <v>1097</v>
      </c>
      <c r="D40" s="478">
        <v>1235.3399999999999</v>
      </c>
      <c r="E40" s="478" t="s">
        <v>130</v>
      </c>
      <c r="F40" s="478">
        <v>636.79999999999995</v>
      </c>
      <c r="G40" s="478">
        <v>599</v>
      </c>
      <c r="H40" s="479">
        <f t="shared" ref="H40:H46" si="0">SUM(F40:G40)</f>
        <v>1235.8</v>
      </c>
      <c r="I40" s="482">
        <v>3.17</v>
      </c>
      <c r="J40" s="481">
        <v>0.03</v>
      </c>
      <c r="K40" s="480">
        <f t="shared" ref="K40:K46" si="1">(I40-J40)/I40</f>
        <v>0.99053627760252372</v>
      </c>
      <c r="L40" s="479">
        <v>7471</v>
      </c>
      <c r="M40" s="479">
        <f t="shared" ref="M40:M46" si="2">(H40*L40)*K40</f>
        <v>9145286.451735016</v>
      </c>
      <c r="N40" s="478">
        <f t="shared" ref="N40:N46" si="3">H40*I40*K40</f>
        <v>3880.4120000000003</v>
      </c>
      <c r="O40" s="478">
        <v>17</v>
      </c>
      <c r="P40" s="479">
        <f t="shared" ref="P40:P46" si="4">N40*1000*17</f>
        <v>65967004.000000007</v>
      </c>
      <c r="Q40" s="478"/>
      <c r="T40" s="477"/>
    </row>
    <row r="41" spans="1:20" s="476" customFormat="1" ht="24.95" customHeight="1" x14ac:dyDescent="0.25">
      <c r="A41" s="478" t="s">
        <v>93</v>
      </c>
      <c r="B41" s="478"/>
      <c r="C41" s="483">
        <v>194</v>
      </c>
      <c r="D41" s="478">
        <v>274</v>
      </c>
      <c r="E41" s="478" t="s">
        <v>130</v>
      </c>
      <c r="F41" s="478">
        <v>244.6</v>
      </c>
      <c r="G41" s="478"/>
      <c r="H41" s="479">
        <f t="shared" si="0"/>
        <v>244.6</v>
      </c>
      <c r="I41" s="482">
        <v>3.17</v>
      </c>
      <c r="J41" s="481">
        <v>0.03</v>
      </c>
      <c r="K41" s="480">
        <f t="shared" si="1"/>
        <v>0.99053627760252372</v>
      </c>
      <c r="L41" s="479">
        <v>7471</v>
      </c>
      <c r="M41" s="479">
        <f t="shared" si="2"/>
        <v>1810112.5312302839</v>
      </c>
      <c r="N41" s="478">
        <f t="shared" si="3"/>
        <v>768.04399999999998</v>
      </c>
      <c r="O41" s="478">
        <v>17</v>
      </c>
      <c r="P41" s="479">
        <f t="shared" si="4"/>
        <v>13056748</v>
      </c>
      <c r="Q41" s="478"/>
      <c r="T41" s="477"/>
    </row>
    <row r="42" spans="1:20" s="476" customFormat="1" ht="24.95" customHeight="1" x14ac:dyDescent="0.25">
      <c r="A42" s="478" t="s">
        <v>119</v>
      </c>
      <c r="B42" s="478"/>
      <c r="C42" s="483">
        <v>1195</v>
      </c>
      <c r="D42" s="478">
        <v>1350</v>
      </c>
      <c r="E42" s="478" t="s">
        <v>130</v>
      </c>
      <c r="F42" s="478">
        <v>1210</v>
      </c>
      <c r="G42" s="478"/>
      <c r="H42" s="479">
        <f t="shared" si="0"/>
        <v>1210</v>
      </c>
      <c r="I42" s="482">
        <v>3.17</v>
      </c>
      <c r="J42" s="481">
        <v>0.03</v>
      </c>
      <c r="K42" s="480">
        <f t="shared" si="1"/>
        <v>0.99053627760252372</v>
      </c>
      <c r="L42" s="479">
        <v>7471</v>
      </c>
      <c r="M42" s="479">
        <f t="shared" si="2"/>
        <v>8954358.8012618311</v>
      </c>
      <c r="N42" s="478">
        <f t="shared" si="3"/>
        <v>3799.4</v>
      </c>
      <c r="O42" s="478">
        <v>17</v>
      </c>
      <c r="P42" s="479">
        <f t="shared" si="4"/>
        <v>64589800</v>
      </c>
      <c r="Q42" s="478"/>
      <c r="T42" s="477"/>
    </row>
    <row r="43" spans="1:20" s="476" customFormat="1" ht="24.95" customHeight="1" x14ac:dyDescent="0.25">
      <c r="A43" s="478" t="s">
        <v>228</v>
      </c>
      <c r="B43" s="478"/>
      <c r="C43" s="483">
        <v>798</v>
      </c>
      <c r="D43" s="478">
        <v>1088.5</v>
      </c>
      <c r="E43" s="478" t="s">
        <v>130</v>
      </c>
      <c r="F43" s="478">
        <v>533</v>
      </c>
      <c r="G43" s="478">
        <v>555.5</v>
      </c>
      <c r="H43" s="479">
        <f t="shared" si="0"/>
        <v>1088.5</v>
      </c>
      <c r="I43" s="482">
        <v>3.17</v>
      </c>
      <c r="J43" s="481">
        <v>0.03</v>
      </c>
      <c r="K43" s="480">
        <f t="shared" si="1"/>
        <v>0.99053627760252372</v>
      </c>
      <c r="L43" s="479">
        <v>7471</v>
      </c>
      <c r="M43" s="479">
        <f t="shared" si="2"/>
        <v>8055222.7728706626</v>
      </c>
      <c r="N43" s="478">
        <f t="shared" si="3"/>
        <v>3417.8900000000003</v>
      </c>
      <c r="O43" s="478">
        <v>17</v>
      </c>
      <c r="P43" s="479">
        <f t="shared" si="4"/>
        <v>58104130.000000007</v>
      </c>
      <c r="Q43" s="478"/>
      <c r="T43" s="477"/>
    </row>
    <row r="44" spans="1:20" s="476" customFormat="1" ht="24.95" customHeight="1" x14ac:dyDescent="0.25">
      <c r="A44" s="478" t="s">
        <v>121</v>
      </c>
      <c r="B44" s="478"/>
      <c r="C44" s="483"/>
      <c r="D44" s="483">
        <v>40</v>
      </c>
      <c r="E44" s="478" t="s">
        <v>226</v>
      </c>
      <c r="F44" s="478">
        <v>12.6</v>
      </c>
      <c r="G44" s="478">
        <v>28</v>
      </c>
      <c r="H44" s="479">
        <f t="shared" si="0"/>
        <v>40.6</v>
      </c>
      <c r="I44" s="482">
        <v>4.17</v>
      </c>
      <c r="J44" s="481">
        <f>3.17*0.9</f>
        <v>2.8530000000000002</v>
      </c>
      <c r="K44" s="480">
        <f t="shared" si="1"/>
        <v>0.31582733812949632</v>
      </c>
      <c r="L44" s="479">
        <v>7471</v>
      </c>
      <c r="M44" s="479">
        <f t="shared" si="2"/>
        <v>95797.569352517967</v>
      </c>
      <c r="N44" s="478">
        <f t="shared" si="3"/>
        <v>53.470199999999984</v>
      </c>
      <c r="O44" s="478">
        <v>17</v>
      </c>
      <c r="P44" s="479">
        <f t="shared" si="4"/>
        <v>908993.39999999967</v>
      </c>
      <c r="Q44" s="478"/>
      <c r="T44" s="477"/>
    </row>
    <row r="45" spans="1:20" s="476" customFormat="1" ht="24.95" customHeight="1" x14ac:dyDescent="0.25">
      <c r="A45" s="478" t="s">
        <v>120</v>
      </c>
      <c r="B45" s="478"/>
      <c r="C45" s="483"/>
      <c r="D45" s="478">
        <v>100</v>
      </c>
      <c r="E45" s="478" t="s">
        <v>226</v>
      </c>
      <c r="F45" s="478">
        <v>100</v>
      </c>
      <c r="G45" s="478"/>
      <c r="H45" s="479">
        <f t="shared" si="0"/>
        <v>100</v>
      </c>
      <c r="I45" s="482">
        <v>4.17</v>
      </c>
      <c r="J45" s="481">
        <f>3.17*0.9</f>
        <v>2.8530000000000002</v>
      </c>
      <c r="K45" s="480">
        <f t="shared" si="1"/>
        <v>0.31582733812949632</v>
      </c>
      <c r="L45" s="479">
        <v>7471</v>
      </c>
      <c r="M45" s="479">
        <f t="shared" si="2"/>
        <v>235954.6043165467</v>
      </c>
      <c r="N45" s="478">
        <f t="shared" si="3"/>
        <v>131.69999999999996</v>
      </c>
      <c r="O45" s="478">
        <v>18</v>
      </c>
      <c r="P45" s="479">
        <f t="shared" si="4"/>
        <v>2238899.9999999995</v>
      </c>
      <c r="Q45" s="478"/>
      <c r="T45" s="477"/>
    </row>
    <row r="46" spans="1:20" s="476" customFormat="1" ht="24.95" customHeight="1" x14ac:dyDescent="0.25">
      <c r="A46" s="478" t="s">
        <v>94</v>
      </c>
      <c r="B46" s="478"/>
      <c r="C46" s="483">
        <v>612</v>
      </c>
      <c r="D46" s="478">
        <v>622</v>
      </c>
      <c r="E46" s="478" t="s">
        <v>130</v>
      </c>
      <c r="F46" s="478">
        <v>515.9</v>
      </c>
      <c r="G46" s="478">
        <v>106</v>
      </c>
      <c r="H46" s="479">
        <f t="shared" si="0"/>
        <v>621.9</v>
      </c>
      <c r="I46" s="482">
        <v>3.17</v>
      </c>
      <c r="J46" s="481">
        <f>3.17*0.9</f>
        <v>2.8530000000000002</v>
      </c>
      <c r="K46" s="480">
        <f t="shared" si="1"/>
        <v>9.9999999999999922E-2</v>
      </c>
      <c r="L46" s="479">
        <v>7470</v>
      </c>
      <c r="M46" s="479">
        <f t="shared" si="2"/>
        <v>464559.29999999964</v>
      </c>
      <c r="N46" s="478">
        <f t="shared" si="3"/>
        <v>197.14229999999984</v>
      </c>
      <c r="O46" s="478">
        <v>17</v>
      </c>
      <c r="P46" s="479">
        <f t="shared" si="4"/>
        <v>3351419.0999999973</v>
      </c>
      <c r="Q46" s="478"/>
      <c r="T46" s="477"/>
    </row>
    <row r="48" spans="1:20" s="470" customFormat="1" ht="18.95" customHeight="1" x14ac:dyDescent="0.25">
      <c r="A48" s="471" t="s">
        <v>202</v>
      </c>
      <c r="B48" s="471"/>
      <c r="C48" s="472"/>
      <c r="D48" s="472"/>
      <c r="E48" s="472"/>
      <c r="F48" s="471"/>
      <c r="G48" s="471" t="s">
        <v>248</v>
      </c>
      <c r="H48" s="471"/>
      <c r="I48" s="471"/>
      <c r="J48" s="471"/>
      <c r="K48" s="471"/>
      <c r="L48" s="471"/>
      <c r="M48" s="471"/>
      <c r="N48" s="471"/>
      <c r="O48" s="471"/>
      <c r="P48" s="471"/>
      <c r="Q48" s="471"/>
    </row>
    <row r="49" spans="1:17" s="470" customFormat="1" ht="18.95" customHeight="1" x14ac:dyDescent="0.25">
      <c r="A49" s="471"/>
      <c r="B49" s="471"/>
      <c r="C49" s="472"/>
      <c r="D49" s="472"/>
      <c r="E49" s="472"/>
      <c r="F49" s="471"/>
      <c r="G49" s="471"/>
      <c r="H49" s="471"/>
      <c r="I49" s="471"/>
      <c r="J49" s="471"/>
      <c r="K49" s="471"/>
      <c r="L49" s="471"/>
      <c r="M49" s="471"/>
      <c r="N49" s="471"/>
      <c r="O49" s="471"/>
      <c r="P49" s="471"/>
      <c r="Q49" s="471"/>
    </row>
    <row r="50" spans="1:17" s="470" customFormat="1" ht="18.95" customHeight="1" x14ac:dyDescent="0.25">
      <c r="A50" s="471"/>
      <c r="B50" s="471"/>
      <c r="C50" s="472"/>
      <c r="D50" s="472"/>
      <c r="E50" s="472"/>
      <c r="F50" s="471"/>
      <c r="G50" s="471"/>
      <c r="H50" s="471"/>
      <c r="I50" s="471"/>
      <c r="J50" s="471"/>
      <c r="K50" s="471"/>
      <c r="L50" s="471"/>
      <c r="M50" s="471"/>
      <c r="N50" s="471"/>
      <c r="O50" s="471"/>
      <c r="P50" s="471"/>
      <c r="Q50" s="471"/>
    </row>
    <row r="51" spans="1:17" s="470" customFormat="1" ht="18.95" customHeight="1" x14ac:dyDescent="0.25">
      <c r="A51" s="471"/>
      <c r="B51" s="471"/>
      <c r="C51" s="472"/>
      <c r="D51" s="472"/>
      <c r="E51" s="472"/>
      <c r="F51" s="471"/>
      <c r="G51" s="471"/>
      <c r="H51" s="471"/>
      <c r="I51" s="471"/>
      <c r="J51" s="471"/>
      <c r="K51" s="471"/>
      <c r="L51" s="471"/>
      <c r="M51" s="471"/>
      <c r="N51" s="471"/>
      <c r="O51" s="471"/>
      <c r="P51" s="471"/>
      <c r="Q51" s="471"/>
    </row>
    <row r="52" spans="1:17" s="473" customFormat="1" ht="18.95" customHeight="1" x14ac:dyDescent="0.25">
      <c r="A52" s="474"/>
      <c r="B52" s="474"/>
      <c r="C52" s="475" t="s">
        <v>247</v>
      </c>
      <c r="D52" s="475"/>
      <c r="E52" s="475"/>
      <c r="F52" s="474"/>
      <c r="G52" s="474" t="s">
        <v>246</v>
      </c>
      <c r="H52" s="474"/>
      <c r="I52" s="474"/>
      <c r="J52" s="474"/>
      <c r="K52" s="474"/>
      <c r="L52" s="474"/>
      <c r="M52" s="474"/>
      <c r="N52" s="474"/>
      <c r="O52" s="474"/>
      <c r="P52" s="474"/>
      <c r="Q52" s="474"/>
    </row>
    <row r="53" spans="1:17" s="470" customFormat="1" ht="18.95" customHeight="1" x14ac:dyDescent="0.25">
      <c r="A53" s="471"/>
      <c r="B53" s="471"/>
      <c r="C53" s="472"/>
      <c r="D53" s="472"/>
      <c r="E53" s="472"/>
      <c r="F53" s="471"/>
      <c r="G53" s="471" t="s">
        <v>196</v>
      </c>
      <c r="H53" s="471"/>
      <c r="I53" s="471"/>
      <c r="J53" s="471"/>
      <c r="K53" s="471"/>
      <c r="L53" s="471"/>
      <c r="M53" s="471"/>
      <c r="N53" s="471"/>
      <c r="O53" s="471"/>
      <c r="P53" s="471"/>
      <c r="Q53" s="471"/>
    </row>
  </sheetData>
  <mergeCells count="17">
    <mergeCell ref="A12:A14"/>
    <mergeCell ref="B12:B14"/>
    <mergeCell ref="C12:C14"/>
    <mergeCell ref="D12:D14"/>
    <mergeCell ref="E12:E14"/>
    <mergeCell ref="A1:Q1"/>
    <mergeCell ref="A2:Q2"/>
    <mergeCell ref="A3:Q3"/>
    <mergeCell ref="A4:Q4"/>
    <mergeCell ref="A11:Q11"/>
    <mergeCell ref="F12:H13"/>
    <mergeCell ref="I12:J13"/>
    <mergeCell ref="K12:K14"/>
    <mergeCell ref="L12:P12"/>
    <mergeCell ref="Q12:Q14"/>
    <mergeCell ref="L13:M13"/>
    <mergeCell ref="N13:P13"/>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4711F-EACA-E746-8976-86D995E06DE2}">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5" customWidth="1"/>
    <col min="2" max="2" width="16.42578125" style="15" hidden="1" customWidth="1"/>
    <col min="3" max="3" width="15.28515625" style="23" customWidth="1"/>
    <col min="4" max="4" width="14.85546875" style="23" customWidth="1"/>
    <col min="5" max="5" width="28.7109375" style="16" customWidth="1"/>
    <col min="6" max="6" width="11.85546875" style="19" customWidth="1"/>
    <col min="7" max="7" width="12" style="19" customWidth="1"/>
    <col min="8" max="8" width="11" style="19" customWidth="1"/>
    <col min="9" max="9" width="11" style="15" bestFit="1" customWidth="1"/>
    <col min="10" max="10" width="12" style="22" customWidth="1"/>
    <col min="11" max="11" width="9.28515625" style="21" customWidth="1"/>
    <col min="12" max="12" width="14.85546875" style="20" customWidth="1"/>
    <col min="13" max="13" width="19.28515625" style="17" customWidth="1"/>
    <col min="14" max="14" width="11.42578125" style="19" customWidth="1"/>
    <col min="15" max="15" width="7.85546875" style="18" customWidth="1"/>
    <col min="16" max="16" width="18.140625" style="17" customWidth="1"/>
    <col min="17" max="17" width="15.42578125" style="17" hidden="1" customWidth="1"/>
    <col min="18" max="18" width="34.42578125" style="15" customWidth="1"/>
    <col min="19" max="19" width="18" style="15" customWidth="1"/>
    <col min="20" max="20" width="22.7109375" style="16" customWidth="1"/>
    <col min="21" max="21" width="29.28515625" style="15" customWidth="1"/>
    <col min="22" max="16384" width="11.42578125" style="15"/>
  </cols>
  <sheetData>
    <row r="1" spans="1:21" ht="36" customHeight="1" x14ac:dyDescent="0.25">
      <c r="A1" s="832" t="s">
        <v>194</v>
      </c>
      <c r="B1" s="832"/>
      <c r="C1" s="832"/>
      <c r="D1" s="832"/>
      <c r="E1" s="832"/>
      <c r="F1" s="832"/>
      <c r="G1" s="832"/>
      <c r="H1" s="832"/>
      <c r="I1" s="832"/>
      <c r="J1" s="832"/>
      <c r="K1" s="832"/>
      <c r="L1" s="832"/>
      <c r="M1" s="832"/>
      <c r="N1" s="832"/>
      <c r="O1" s="832"/>
      <c r="P1" s="832"/>
      <c r="Q1" s="832"/>
      <c r="R1" s="832"/>
    </row>
    <row r="2" spans="1:21" ht="18.75" customHeight="1" x14ac:dyDescent="0.25">
      <c r="A2" s="782" t="s">
        <v>193</v>
      </c>
      <c r="B2" s="782"/>
      <c r="C2" s="782"/>
      <c r="D2" s="782"/>
      <c r="E2" s="782"/>
      <c r="F2" s="782"/>
      <c r="G2" s="782"/>
      <c r="H2" s="782"/>
      <c r="I2" s="782"/>
      <c r="J2" s="782"/>
      <c r="K2" s="782"/>
      <c r="L2" s="782"/>
      <c r="M2" s="782"/>
      <c r="N2" s="782"/>
      <c r="O2" s="782"/>
      <c r="P2" s="782"/>
      <c r="Q2" s="782"/>
      <c r="R2" s="782"/>
    </row>
    <row r="3" spans="1:21" ht="18.75" customHeight="1" x14ac:dyDescent="0.25">
      <c r="A3" s="782" t="s">
        <v>192</v>
      </c>
      <c r="B3" s="782"/>
      <c r="C3" s="782"/>
      <c r="D3" s="782"/>
      <c r="E3" s="782"/>
      <c r="F3" s="782"/>
      <c r="G3" s="782"/>
      <c r="H3" s="782"/>
      <c r="I3" s="782"/>
      <c r="J3" s="782"/>
      <c r="K3" s="782"/>
      <c r="L3" s="782"/>
      <c r="M3" s="782"/>
      <c r="N3" s="782"/>
      <c r="O3" s="782"/>
      <c r="P3" s="782"/>
      <c r="Q3" s="782"/>
      <c r="R3" s="782"/>
    </row>
    <row r="4" spans="1:21" ht="18.75" customHeight="1" thickBot="1" x14ac:dyDescent="0.3">
      <c r="A4" s="187"/>
      <c r="B4" s="187"/>
      <c r="C4" s="223"/>
      <c r="D4" s="223"/>
      <c r="E4" s="195"/>
      <c r="F4" s="220"/>
      <c r="G4" s="220"/>
      <c r="H4" s="220"/>
      <c r="I4" s="222"/>
      <c r="J4" s="221"/>
      <c r="K4" s="187"/>
      <c r="L4" s="187"/>
      <c r="M4" s="220"/>
      <c r="N4" s="220"/>
      <c r="O4" s="187"/>
      <c r="P4" s="219"/>
      <c r="Q4" s="219"/>
      <c r="R4" s="187"/>
    </row>
    <row r="5" spans="1:21" ht="21" customHeight="1" x14ac:dyDescent="0.25">
      <c r="A5" s="218" t="s">
        <v>191</v>
      </c>
      <c r="B5" s="217"/>
      <c r="C5" s="216"/>
      <c r="D5" s="216"/>
      <c r="E5" s="215"/>
      <c r="F5" s="209"/>
      <c r="G5" s="209"/>
      <c r="H5" s="214" t="s">
        <v>190</v>
      </c>
      <c r="I5" s="213"/>
      <c r="J5" s="212"/>
      <c r="K5" s="208"/>
      <c r="L5" s="211"/>
      <c r="M5" s="210"/>
      <c r="N5" s="209"/>
      <c r="O5" s="208"/>
      <c r="P5" s="207"/>
      <c r="Q5" s="207"/>
      <c r="R5" s="206"/>
      <c r="T5" s="205"/>
    </row>
    <row r="6" spans="1:21" ht="18.75" customHeight="1" x14ac:dyDescent="0.25">
      <c r="A6" s="198"/>
      <c r="B6" s="197"/>
      <c r="C6" s="196"/>
      <c r="D6" s="196"/>
      <c r="E6" s="195"/>
      <c r="F6" s="194"/>
      <c r="G6" s="194"/>
      <c r="H6" s="204" t="s">
        <v>189</v>
      </c>
      <c r="I6" s="203"/>
      <c r="J6" s="202" t="s">
        <v>188</v>
      </c>
      <c r="K6" s="187"/>
      <c r="L6" s="187"/>
      <c r="M6" s="201"/>
      <c r="N6" s="200"/>
      <c r="O6" s="199"/>
      <c r="P6" s="186"/>
      <c r="Q6" s="186"/>
      <c r="R6" s="185"/>
    </row>
    <row r="7" spans="1:21" ht="18.75" customHeight="1" x14ac:dyDescent="0.25">
      <c r="A7" s="198"/>
      <c r="B7" s="197"/>
      <c r="C7" s="196"/>
      <c r="D7" s="196"/>
      <c r="E7" s="195"/>
      <c r="F7" s="194"/>
      <c r="G7" s="194"/>
      <c r="H7" s="192" t="s">
        <v>187</v>
      </c>
      <c r="I7" s="191"/>
      <c r="J7" s="190"/>
      <c r="K7" s="187" t="s">
        <v>186</v>
      </c>
      <c r="L7" s="187"/>
      <c r="M7" s="189"/>
      <c r="N7" s="188"/>
      <c r="O7" s="187"/>
      <c r="P7" s="186"/>
      <c r="Q7" s="186"/>
      <c r="R7" s="185"/>
    </row>
    <row r="8" spans="1:21" ht="18.75" customHeight="1" x14ac:dyDescent="0.25">
      <c r="A8" s="198"/>
      <c r="B8" s="197"/>
      <c r="C8" s="196"/>
      <c r="D8" s="196"/>
      <c r="E8" s="195"/>
      <c r="F8" s="194"/>
      <c r="G8" s="193"/>
      <c r="H8" s="192" t="s">
        <v>185</v>
      </c>
      <c r="I8" s="191"/>
      <c r="J8" s="190"/>
      <c r="K8" s="187" t="s">
        <v>184</v>
      </c>
      <c r="L8" s="187"/>
      <c r="M8" s="189"/>
      <c r="N8" s="188"/>
      <c r="O8" s="187"/>
      <c r="P8" s="186"/>
      <c r="Q8" s="186"/>
      <c r="R8" s="185"/>
    </row>
    <row r="9" spans="1:21" ht="18.75" customHeight="1" thickBot="1" x14ac:dyDescent="0.3">
      <c r="A9" s="184"/>
      <c r="B9" s="183"/>
      <c r="C9" s="182"/>
      <c r="D9" s="182"/>
      <c r="E9" s="181"/>
      <c r="F9" s="180"/>
      <c r="G9" s="180"/>
      <c r="H9" s="179" t="s">
        <v>183</v>
      </c>
      <c r="I9" s="178"/>
      <c r="J9" s="177"/>
      <c r="K9" s="174" t="s">
        <v>182</v>
      </c>
      <c r="L9" s="174"/>
      <c r="M9" s="176"/>
      <c r="N9" s="175"/>
      <c r="O9" s="174"/>
      <c r="P9" s="173"/>
      <c r="Q9" s="173"/>
      <c r="R9" s="172"/>
    </row>
    <row r="10" spans="1:21" ht="18.600000000000001" customHeight="1" thickBot="1" x14ac:dyDescent="0.3">
      <c r="A10" s="756" t="s">
        <v>181</v>
      </c>
      <c r="B10" s="757"/>
      <c r="C10" s="757"/>
      <c r="D10" s="757"/>
      <c r="E10" s="757"/>
      <c r="F10" s="757"/>
      <c r="G10" s="757"/>
      <c r="H10" s="757"/>
      <c r="I10" s="757"/>
      <c r="J10" s="757"/>
      <c r="K10" s="757"/>
      <c r="L10" s="757"/>
      <c r="M10" s="757"/>
      <c r="N10" s="757"/>
      <c r="O10" s="757"/>
      <c r="P10" s="757"/>
      <c r="Q10" s="757"/>
      <c r="R10" s="758"/>
      <c r="T10" s="171"/>
    </row>
    <row r="11" spans="1:21" ht="18.75" customHeight="1" x14ac:dyDescent="0.25">
      <c r="A11" s="759" t="s">
        <v>180</v>
      </c>
      <c r="B11" s="765" t="s">
        <v>179</v>
      </c>
      <c r="C11" s="762" t="s">
        <v>178</v>
      </c>
      <c r="D11" s="763" t="s">
        <v>177</v>
      </c>
      <c r="E11" s="771" t="s">
        <v>176</v>
      </c>
      <c r="F11" s="773" t="s">
        <v>175</v>
      </c>
      <c r="G11" s="774"/>
      <c r="H11" s="775"/>
      <c r="I11" s="744" t="s">
        <v>174</v>
      </c>
      <c r="J11" s="745"/>
      <c r="K11" s="748" t="s">
        <v>173</v>
      </c>
      <c r="L11" s="766" t="s">
        <v>172</v>
      </c>
      <c r="M11" s="767"/>
      <c r="N11" s="767"/>
      <c r="O11" s="767"/>
      <c r="P11" s="767"/>
      <c r="Q11" s="170"/>
      <c r="R11" s="768" t="s">
        <v>171</v>
      </c>
      <c r="T11" s="169"/>
    </row>
    <row r="12" spans="1:21" ht="15.75" customHeight="1" x14ac:dyDescent="0.25">
      <c r="A12" s="760"/>
      <c r="B12" s="765"/>
      <c r="C12" s="763"/>
      <c r="D12" s="763"/>
      <c r="E12" s="765"/>
      <c r="F12" s="776"/>
      <c r="G12" s="777"/>
      <c r="H12" s="778"/>
      <c r="I12" s="746"/>
      <c r="J12" s="747"/>
      <c r="K12" s="749"/>
      <c r="L12" s="751" t="s">
        <v>170</v>
      </c>
      <c r="M12" s="752"/>
      <c r="N12" s="751" t="s">
        <v>169</v>
      </c>
      <c r="O12" s="752"/>
      <c r="P12" s="753"/>
      <c r="Q12" s="754" t="s">
        <v>159</v>
      </c>
      <c r="R12" s="769"/>
    </row>
    <row r="13" spans="1:21" s="21" customFormat="1" ht="78.599999999999994" customHeight="1" thickBot="1" x14ac:dyDescent="0.3">
      <c r="A13" s="761"/>
      <c r="B13" s="765"/>
      <c r="C13" s="764"/>
      <c r="D13" s="763"/>
      <c r="E13" s="772"/>
      <c r="F13" s="168" t="s">
        <v>168</v>
      </c>
      <c r="G13" s="168" t="s">
        <v>167</v>
      </c>
      <c r="H13" s="168" t="s">
        <v>166</v>
      </c>
      <c r="I13" s="167" t="s">
        <v>165</v>
      </c>
      <c r="J13" s="166" t="s">
        <v>164</v>
      </c>
      <c r="K13" s="750"/>
      <c r="L13" s="165" t="s">
        <v>163</v>
      </c>
      <c r="M13" s="164" t="s">
        <v>162</v>
      </c>
      <c r="N13" s="164" t="s">
        <v>161</v>
      </c>
      <c r="O13" s="165" t="s">
        <v>160</v>
      </c>
      <c r="P13" s="164" t="s">
        <v>159</v>
      </c>
      <c r="Q13" s="755"/>
      <c r="R13" s="770"/>
    </row>
    <row r="14" spans="1:21" s="65" customFormat="1" ht="19.350000000000001" customHeight="1" x14ac:dyDescent="0.25">
      <c r="A14" s="163" t="s">
        <v>158</v>
      </c>
      <c r="B14" s="162"/>
      <c r="C14" s="161" t="s">
        <v>157</v>
      </c>
      <c r="D14" s="161"/>
      <c r="E14" s="160" t="s">
        <v>156</v>
      </c>
      <c r="F14" s="157" t="s">
        <v>155</v>
      </c>
      <c r="G14" s="157" t="s">
        <v>154</v>
      </c>
      <c r="H14" s="157" t="s">
        <v>153</v>
      </c>
      <c r="I14" s="158" t="s">
        <v>152</v>
      </c>
      <c r="J14" s="159" t="s">
        <v>151</v>
      </c>
      <c r="K14" s="158" t="s">
        <v>150</v>
      </c>
      <c r="L14" s="158" t="s">
        <v>149</v>
      </c>
      <c r="M14" s="157" t="s">
        <v>148</v>
      </c>
      <c r="N14" s="157" t="s">
        <v>147</v>
      </c>
      <c r="O14" s="158" t="s">
        <v>146</v>
      </c>
      <c r="P14" s="157" t="s">
        <v>145</v>
      </c>
      <c r="Q14" s="157" t="s">
        <v>144</v>
      </c>
      <c r="R14" s="156" t="s">
        <v>143</v>
      </c>
      <c r="S14" s="21"/>
      <c r="U14" s="66"/>
    </row>
    <row r="15" spans="1:21" s="145" customFormat="1" ht="20.45" customHeight="1" x14ac:dyDescent="0.25">
      <c r="A15" s="225" t="s">
        <v>142</v>
      </c>
      <c r="B15" s="226"/>
      <c r="C15" s="227">
        <f>C27+C60+C69+C19+C16</f>
        <v>3441</v>
      </c>
      <c r="D15" s="227">
        <f>D27+D60+D69+D19+D16</f>
        <v>4551</v>
      </c>
      <c r="E15" s="225"/>
      <c r="F15" s="228">
        <f>F27+F60+F69+F19+F16</f>
        <v>1495.25</v>
      </c>
      <c r="G15" s="228">
        <f>G27+G60+G69+G19+G16</f>
        <v>1175.51</v>
      </c>
      <c r="H15" s="228">
        <f>H27+H60+H69+H19+H16</f>
        <v>2670.76</v>
      </c>
      <c r="I15" s="229"/>
      <c r="J15" s="228"/>
      <c r="K15" s="228"/>
      <c r="L15" s="230"/>
      <c r="M15" s="228">
        <f>M27+M60+M69+M19+M16</f>
        <v>10883407.833709756</v>
      </c>
      <c r="N15" s="228">
        <f>N27+N60+N69+N19+N16</f>
        <v>2512.8225000000002</v>
      </c>
      <c r="O15" s="228"/>
      <c r="P15" s="228">
        <f>P27+P60+P69+P19+P16</f>
        <v>42717982.5</v>
      </c>
      <c r="Q15" s="149"/>
      <c r="R15" s="148"/>
      <c r="S15" s="147"/>
      <c r="U15" s="146"/>
    </row>
    <row r="16" spans="1:21" s="65" customFormat="1" ht="20.45" hidden="1" customHeight="1" x14ac:dyDescent="0.25">
      <c r="A16" s="231" t="s">
        <v>141</v>
      </c>
      <c r="B16" s="232"/>
      <c r="C16" s="233"/>
      <c r="D16" s="233"/>
      <c r="E16" s="231"/>
      <c r="F16" s="234"/>
      <c r="G16" s="234"/>
      <c r="H16" s="234"/>
      <c r="I16" s="235"/>
      <c r="J16" s="234"/>
      <c r="K16" s="234"/>
      <c r="L16" s="236"/>
      <c r="M16" s="234"/>
      <c r="N16" s="234"/>
      <c r="O16" s="234"/>
      <c r="P16" s="234"/>
      <c r="Q16" s="130"/>
      <c r="R16" s="129"/>
      <c r="S16" s="21"/>
      <c r="U16" s="66"/>
    </row>
    <row r="17" spans="1:21" s="137" customFormat="1" ht="20.45" hidden="1" customHeight="1" x14ac:dyDescent="0.25">
      <c r="A17" s="34"/>
      <c r="B17" s="237"/>
      <c r="C17" s="97"/>
      <c r="D17" s="97"/>
      <c r="E17" s="34"/>
      <c r="F17" s="14"/>
      <c r="G17" s="14"/>
      <c r="H17" s="14"/>
      <c r="I17" s="115"/>
      <c r="J17" s="14"/>
      <c r="K17" s="14"/>
      <c r="L17" s="26"/>
      <c r="M17" s="14"/>
      <c r="N17" s="14"/>
      <c r="O17" s="14"/>
      <c r="P17" s="14"/>
      <c r="Q17" s="122"/>
      <c r="R17" s="121"/>
      <c r="S17" s="139"/>
      <c r="U17" s="138"/>
    </row>
    <row r="18" spans="1:21" s="137" customFormat="1" ht="20.45" hidden="1" customHeight="1" x14ac:dyDescent="0.25">
      <c r="A18" s="34"/>
      <c r="B18" s="237"/>
      <c r="C18" s="97"/>
      <c r="D18" s="97"/>
      <c r="E18" s="34"/>
      <c r="F18" s="14"/>
      <c r="G18" s="14"/>
      <c r="H18" s="14"/>
      <c r="I18" s="115"/>
      <c r="J18" s="14"/>
      <c r="K18" s="14"/>
      <c r="L18" s="26"/>
      <c r="M18" s="14"/>
      <c r="N18" s="14"/>
      <c r="O18" s="14"/>
      <c r="P18" s="14"/>
      <c r="Q18" s="122"/>
      <c r="R18" s="121"/>
      <c r="S18" s="139"/>
      <c r="U18" s="138"/>
    </row>
    <row r="19" spans="1:21" s="65" customFormat="1" ht="20.45" customHeight="1" x14ac:dyDescent="0.25">
      <c r="A19" s="231" t="s">
        <v>51</v>
      </c>
      <c r="B19" s="232"/>
      <c r="C19" s="233">
        <f>SUM(C20:C25)</f>
        <v>852</v>
      </c>
      <c r="D19" s="233">
        <f>SUM(D20:D25)</f>
        <v>1007</v>
      </c>
      <c r="E19" s="231"/>
      <c r="F19" s="234">
        <f>SUM(F20:F25)</f>
        <v>262.83</v>
      </c>
      <c r="G19" s="234">
        <f>SUM(G20:G25)</f>
        <v>360.51</v>
      </c>
      <c r="H19" s="234">
        <f>SUM(H20:H25)</f>
        <v>623.34</v>
      </c>
      <c r="I19" s="235"/>
      <c r="J19" s="234"/>
      <c r="K19" s="234"/>
      <c r="L19" s="236"/>
      <c r="M19" s="234"/>
      <c r="N19" s="234">
        <f>SUM(N20:N25)</f>
        <v>1662.6375</v>
      </c>
      <c r="O19" s="234"/>
      <c r="P19" s="234">
        <f>SUM(P20:P25)</f>
        <v>28264837.5</v>
      </c>
      <c r="Q19" s="130"/>
      <c r="R19" s="129"/>
      <c r="S19" s="21"/>
      <c r="U19" s="66"/>
    </row>
    <row r="20" spans="1:21" s="137" customFormat="1" ht="20.45" customHeight="1" x14ac:dyDescent="0.25">
      <c r="A20" s="88" t="s">
        <v>50</v>
      </c>
      <c r="B20" s="87"/>
      <c r="C20" s="86">
        <v>35</v>
      </c>
      <c r="D20" s="86">
        <v>23</v>
      </c>
      <c r="E20" s="141" t="s">
        <v>139</v>
      </c>
      <c r="F20" s="140">
        <v>23</v>
      </c>
      <c r="G20" s="140">
        <v>0</v>
      </c>
      <c r="H20" s="31">
        <f t="shared" ref="H20:H25" si="0">F20+G20</f>
        <v>23</v>
      </c>
      <c r="I20" s="115">
        <v>4.5</v>
      </c>
      <c r="J20" s="29"/>
      <c r="K20" s="28">
        <f t="shared" ref="K20:K25" si="1">(I20-J20)/I20</f>
        <v>1</v>
      </c>
      <c r="L20" s="27"/>
      <c r="M20" s="26"/>
      <c r="N20" s="238">
        <f t="shared" ref="N20:N25" si="2">(F20*I20)+(G20*K20*I20)</f>
        <v>103.5</v>
      </c>
      <c r="O20" s="25">
        <v>17</v>
      </c>
      <c r="P20" s="10">
        <f t="shared" ref="P20:P25" si="3">N20*1000*O20</f>
        <v>1759500</v>
      </c>
      <c r="Q20" s="122"/>
      <c r="R20" s="121"/>
      <c r="S20" s="139"/>
      <c r="U20" s="138"/>
    </row>
    <row r="21" spans="1:21" s="137" customFormat="1" ht="20.45" customHeight="1" x14ac:dyDescent="0.25">
      <c r="A21" s="88" t="s">
        <v>51</v>
      </c>
      <c r="B21" s="87"/>
      <c r="C21" s="86">
        <v>383</v>
      </c>
      <c r="D21" s="144">
        <v>367.2</v>
      </c>
      <c r="E21" s="141" t="s">
        <v>129</v>
      </c>
      <c r="F21" s="140">
        <v>13.04</v>
      </c>
      <c r="G21" s="140">
        <v>0</v>
      </c>
      <c r="H21" s="31">
        <f t="shared" si="0"/>
        <v>13.04</v>
      </c>
      <c r="I21" s="115">
        <v>4.5</v>
      </c>
      <c r="J21" s="29"/>
      <c r="K21" s="28">
        <f t="shared" si="1"/>
        <v>1</v>
      </c>
      <c r="L21" s="27"/>
      <c r="M21" s="26"/>
      <c r="N21" s="238">
        <f t="shared" si="2"/>
        <v>58.679999999999993</v>
      </c>
      <c r="O21" s="25">
        <v>17</v>
      </c>
      <c r="P21" s="10">
        <f t="shared" si="3"/>
        <v>997559.99999999988</v>
      </c>
      <c r="Q21" s="122"/>
      <c r="R21" s="121"/>
      <c r="S21" s="139"/>
      <c r="U21" s="138"/>
    </row>
    <row r="22" spans="1:21" s="137" customFormat="1" ht="20.45" customHeight="1" x14ac:dyDescent="0.25">
      <c r="A22" s="88" t="s">
        <v>53</v>
      </c>
      <c r="B22" s="87"/>
      <c r="C22" s="86">
        <v>71</v>
      </c>
      <c r="D22" s="143">
        <v>54</v>
      </c>
      <c r="E22" s="141" t="s">
        <v>139</v>
      </c>
      <c r="F22" s="140">
        <v>54</v>
      </c>
      <c r="G22" s="140">
        <v>0</v>
      </c>
      <c r="H22" s="31">
        <f t="shared" si="0"/>
        <v>54</v>
      </c>
      <c r="I22" s="115">
        <v>4.5</v>
      </c>
      <c r="J22" s="29"/>
      <c r="K22" s="28">
        <f t="shared" si="1"/>
        <v>1</v>
      </c>
      <c r="L22" s="27"/>
      <c r="M22" s="26"/>
      <c r="N22" s="238">
        <f t="shared" si="2"/>
        <v>243</v>
      </c>
      <c r="O22" s="25">
        <v>17</v>
      </c>
      <c r="P22" s="10">
        <f t="shared" si="3"/>
        <v>4131000</v>
      </c>
      <c r="Q22" s="122"/>
      <c r="R22" s="121"/>
      <c r="S22" s="139"/>
      <c r="U22" s="138"/>
    </row>
    <row r="23" spans="1:21" s="137" customFormat="1" ht="20.45" customHeight="1" x14ac:dyDescent="0.25">
      <c r="A23" s="88" t="s">
        <v>54</v>
      </c>
      <c r="B23" s="87"/>
      <c r="C23" s="86">
        <v>52</v>
      </c>
      <c r="D23" s="142">
        <v>51.5</v>
      </c>
      <c r="E23" s="141" t="s">
        <v>139</v>
      </c>
      <c r="F23" s="140">
        <v>22</v>
      </c>
      <c r="G23" s="140">
        <v>0</v>
      </c>
      <c r="H23" s="31">
        <f t="shared" si="0"/>
        <v>22</v>
      </c>
      <c r="I23" s="115">
        <v>4.5</v>
      </c>
      <c r="J23" s="29"/>
      <c r="K23" s="28">
        <f t="shared" si="1"/>
        <v>1</v>
      </c>
      <c r="L23" s="27"/>
      <c r="M23" s="26"/>
      <c r="N23" s="238">
        <f t="shared" si="2"/>
        <v>99</v>
      </c>
      <c r="O23" s="25">
        <v>17</v>
      </c>
      <c r="P23" s="10">
        <f t="shared" si="3"/>
        <v>1683000</v>
      </c>
      <c r="Q23" s="122"/>
      <c r="R23" s="121"/>
      <c r="S23" s="139"/>
      <c r="U23" s="138"/>
    </row>
    <row r="24" spans="1:21" s="137" customFormat="1" ht="20.45" customHeight="1" x14ac:dyDescent="0.25">
      <c r="A24" s="88" t="s">
        <v>55</v>
      </c>
      <c r="B24" s="87"/>
      <c r="C24" s="86">
        <v>26</v>
      </c>
      <c r="D24" s="143">
        <v>13</v>
      </c>
      <c r="E24" s="88" t="s">
        <v>140</v>
      </c>
      <c r="F24" s="140">
        <v>1.3</v>
      </c>
      <c r="G24" s="140">
        <v>11.7</v>
      </c>
      <c r="H24" s="31">
        <f t="shared" si="0"/>
        <v>13</v>
      </c>
      <c r="I24" s="115">
        <v>4.5</v>
      </c>
      <c r="J24" s="29">
        <v>3.73</v>
      </c>
      <c r="K24" s="28">
        <f t="shared" si="1"/>
        <v>0.1711111111111111</v>
      </c>
      <c r="L24" s="27"/>
      <c r="M24" s="26"/>
      <c r="N24" s="238">
        <f t="shared" si="2"/>
        <v>14.858999999999998</v>
      </c>
      <c r="O24" s="25">
        <v>17</v>
      </c>
      <c r="P24" s="10">
        <f t="shared" si="3"/>
        <v>252602.99999999997</v>
      </c>
      <c r="Q24" s="122"/>
      <c r="R24" s="121"/>
      <c r="S24" s="139"/>
      <c r="U24" s="138"/>
    </row>
    <row r="25" spans="1:21" s="137" customFormat="1" ht="20.45" customHeight="1" x14ac:dyDescent="0.25">
      <c r="A25" s="88" t="s">
        <v>56</v>
      </c>
      <c r="B25" s="87"/>
      <c r="C25" s="86">
        <v>285</v>
      </c>
      <c r="D25" s="142">
        <v>498.3</v>
      </c>
      <c r="E25" s="141" t="s">
        <v>139</v>
      </c>
      <c r="F25" s="140">
        <v>149.49</v>
      </c>
      <c r="G25" s="140">
        <v>348.81</v>
      </c>
      <c r="H25" s="31">
        <f t="shared" si="0"/>
        <v>498.3</v>
      </c>
      <c r="I25" s="115">
        <v>4.5</v>
      </c>
      <c r="J25" s="29">
        <v>3.15</v>
      </c>
      <c r="K25" s="28">
        <f t="shared" si="1"/>
        <v>0.30000000000000004</v>
      </c>
      <c r="L25" s="27"/>
      <c r="M25" s="26"/>
      <c r="N25" s="238">
        <f t="shared" si="2"/>
        <v>1143.5985000000001</v>
      </c>
      <c r="O25" s="25">
        <v>17</v>
      </c>
      <c r="P25" s="10">
        <f t="shared" si="3"/>
        <v>19441174.5</v>
      </c>
      <c r="Q25" s="122"/>
      <c r="R25" s="121"/>
      <c r="S25" s="139"/>
      <c r="U25" s="138"/>
    </row>
    <row r="26" spans="1:21" s="137" customFormat="1" ht="20.45" customHeight="1" x14ac:dyDescent="0.25">
      <c r="A26" s="34"/>
      <c r="B26" s="237"/>
      <c r="C26" s="97"/>
      <c r="D26" s="97"/>
      <c r="E26" s="34"/>
      <c r="F26" s="14"/>
      <c r="G26" s="14"/>
      <c r="H26" s="14"/>
      <c r="I26" s="115"/>
      <c r="J26" s="14"/>
      <c r="K26" s="14"/>
      <c r="L26" s="26"/>
      <c r="M26" s="14"/>
      <c r="N26" s="14"/>
      <c r="O26" s="14"/>
      <c r="P26" s="14"/>
      <c r="Q26" s="122"/>
      <c r="R26" s="121"/>
      <c r="S26" s="139"/>
      <c r="U26" s="138"/>
    </row>
    <row r="27" spans="1:21" s="65" customFormat="1" ht="20.45" customHeight="1" x14ac:dyDescent="0.25">
      <c r="A27" s="231" t="s">
        <v>138</v>
      </c>
      <c r="B27" s="232"/>
      <c r="C27" s="233">
        <f>SUM(C39:C58)</f>
        <v>1302</v>
      </c>
      <c r="D27" s="233">
        <f>SUM(D39:D58)</f>
        <v>1919.5</v>
      </c>
      <c r="E27" s="231"/>
      <c r="F27" s="234">
        <f>SUM(F39:F58)</f>
        <v>45.5</v>
      </c>
      <c r="G27" s="234">
        <f>SUM(G39:G58)</f>
        <v>701</v>
      </c>
      <c r="H27" s="234">
        <f>SUM(H39:H58)</f>
        <v>746.5</v>
      </c>
      <c r="I27" s="235"/>
      <c r="J27" s="234"/>
      <c r="K27" s="234"/>
      <c r="L27" s="236"/>
      <c r="M27" s="234">
        <f>SUM(M39:M58)</f>
        <v>102469.51672862453</v>
      </c>
      <c r="N27" s="234">
        <f>SUM(N39:N58)</f>
        <v>850.18499999999995</v>
      </c>
      <c r="O27" s="234"/>
      <c r="P27" s="234">
        <f>SUM(P39:P58)</f>
        <v>14453145</v>
      </c>
      <c r="Q27" s="130"/>
      <c r="R27" s="129"/>
      <c r="S27" s="21"/>
      <c r="U27" s="66"/>
    </row>
    <row r="28" spans="1:21" s="118" customFormat="1" ht="20.45" customHeight="1" x14ac:dyDescent="0.25">
      <c r="A28" s="34" t="s">
        <v>107</v>
      </c>
      <c r="B28" s="237"/>
      <c r="C28" s="97">
        <v>129</v>
      </c>
      <c r="D28" s="97"/>
      <c r="E28" s="34"/>
      <c r="F28" s="14">
        <v>33</v>
      </c>
      <c r="G28" s="14">
        <v>82</v>
      </c>
      <c r="H28" s="14">
        <v>115</v>
      </c>
      <c r="I28" s="115"/>
      <c r="J28" s="14"/>
      <c r="K28" s="14"/>
      <c r="L28" s="26"/>
      <c r="M28" s="14"/>
      <c r="N28" s="14">
        <v>150.79000000000002</v>
      </c>
      <c r="O28" s="14">
        <v>34</v>
      </c>
      <c r="P28" s="14">
        <v>2563430</v>
      </c>
      <c r="Q28" s="122"/>
      <c r="R28" s="121"/>
      <c r="S28" s="120"/>
      <c r="U28" s="119"/>
    </row>
    <row r="29" spans="1:21" s="118" customFormat="1" ht="20.45" customHeight="1" x14ac:dyDescent="0.25">
      <c r="A29" s="34" t="s">
        <v>131</v>
      </c>
      <c r="B29" s="237"/>
      <c r="C29" s="97">
        <v>141</v>
      </c>
      <c r="D29" s="97"/>
      <c r="E29" s="34"/>
      <c r="F29" s="14"/>
      <c r="G29" s="14">
        <v>50</v>
      </c>
      <c r="H29" s="14">
        <v>50</v>
      </c>
      <c r="I29" s="115"/>
      <c r="J29" s="14"/>
      <c r="K29" s="14"/>
      <c r="L29" s="26"/>
      <c r="M29" s="14"/>
      <c r="N29" s="14"/>
      <c r="O29" s="14"/>
      <c r="P29" s="14"/>
      <c r="Q29" s="122"/>
      <c r="R29" s="121"/>
      <c r="S29" s="120"/>
      <c r="U29" s="119"/>
    </row>
    <row r="30" spans="1:21" s="118" customFormat="1" ht="20.45" customHeight="1" x14ac:dyDescent="0.25">
      <c r="A30" s="34" t="s">
        <v>62</v>
      </c>
      <c r="B30" s="237"/>
      <c r="C30" s="97">
        <v>158</v>
      </c>
      <c r="D30" s="97"/>
      <c r="E30" s="34"/>
      <c r="F30" s="14">
        <v>0</v>
      </c>
      <c r="G30" s="14">
        <v>78</v>
      </c>
      <c r="H30" s="14">
        <v>78</v>
      </c>
      <c r="I30" s="115"/>
      <c r="J30" s="14"/>
      <c r="K30" s="14"/>
      <c r="L30" s="26"/>
      <c r="M30" s="14"/>
      <c r="N30" s="14">
        <v>101.25</v>
      </c>
      <c r="O30" s="14">
        <v>34</v>
      </c>
      <c r="P30" s="14">
        <v>1721249.9999999998</v>
      </c>
      <c r="Q30" s="122"/>
      <c r="R30" s="121"/>
      <c r="S30" s="120"/>
      <c r="U30" s="119"/>
    </row>
    <row r="31" spans="1:21" s="118" customFormat="1" ht="20.45" customHeight="1" x14ac:dyDescent="0.25">
      <c r="A31" s="34" t="s">
        <v>64</v>
      </c>
      <c r="B31" s="237" t="s">
        <v>5</v>
      </c>
      <c r="C31" s="97">
        <v>30</v>
      </c>
      <c r="D31" s="97">
        <v>12.5</v>
      </c>
      <c r="E31" s="34" t="s">
        <v>132</v>
      </c>
      <c r="F31" s="14">
        <v>12.5</v>
      </c>
      <c r="G31" s="14"/>
      <c r="H31" s="14">
        <v>12.5</v>
      </c>
      <c r="I31" s="115">
        <v>2.69</v>
      </c>
      <c r="J31" s="14"/>
      <c r="K31" s="14">
        <v>1</v>
      </c>
      <c r="L31" s="26"/>
      <c r="M31" s="14"/>
      <c r="N31" s="14">
        <v>33.625</v>
      </c>
      <c r="O31" s="14">
        <v>17</v>
      </c>
      <c r="P31" s="14">
        <v>571625</v>
      </c>
      <c r="Q31" s="122">
        <v>289000</v>
      </c>
      <c r="R31" s="121"/>
      <c r="S31" s="120"/>
      <c r="U31" s="119"/>
    </row>
    <row r="32" spans="1:21" s="118" customFormat="1" ht="20.45" customHeight="1" x14ac:dyDescent="0.25">
      <c r="A32" s="34" t="s">
        <v>135</v>
      </c>
      <c r="B32" s="237" t="s">
        <v>5</v>
      </c>
      <c r="C32" s="97">
        <v>6</v>
      </c>
      <c r="D32" s="97">
        <v>2</v>
      </c>
      <c r="E32" s="34" t="s">
        <v>130</v>
      </c>
      <c r="F32" s="14">
        <v>0</v>
      </c>
      <c r="G32" s="14">
        <v>2</v>
      </c>
      <c r="H32" s="14">
        <v>2</v>
      </c>
      <c r="I32" s="115">
        <v>2.69</v>
      </c>
      <c r="J32" s="14">
        <v>1.34</v>
      </c>
      <c r="K32" s="14">
        <v>0.5018587360594795</v>
      </c>
      <c r="L32" s="26">
        <v>7470</v>
      </c>
      <c r="M32" s="14">
        <v>7497.7695167286238</v>
      </c>
      <c r="N32" s="14"/>
      <c r="O32" s="14"/>
      <c r="P32" s="14"/>
      <c r="Q32" s="122">
        <v>0</v>
      </c>
      <c r="R32" s="121"/>
      <c r="S32" s="120"/>
      <c r="U32" s="119"/>
    </row>
    <row r="33" spans="1:21" s="118" customFormat="1" ht="20.45" customHeight="1" x14ac:dyDescent="0.25">
      <c r="A33" s="34" t="s">
        <v>133</v>
      </c>
      <c r="B33" s="237" t="s">
        <v>5</v>
      </c>
      <c r="C33" s="97">
        <v>40</v>
      </c>
      <c r="D33" s="97">
        <v>415</v>
      </c>
      <c r="E33" s="34" t="s">
        <v>132</v>
      </c>
      <c r="F33" s="14">
        <v>0</v>
      </c>
      <c r="G33" s="14">
        <v>25</v>
      </c>
      <c r="H33" s="14">
        <v>25</v>
      </c>
      <c r="I33" s="115">
        <v>2.69</v>
      </c>
      <c r="J33" s="14">
        <v>1.72</v>
      </c>
      <c r="K33" s="14">
        <v>0.36059479553903345</v>
      </c>
      <c r="L33" s="26"/>
      <c r="M33" s="14"/>
      <c r="N33" s="14">
        <v>24.25</v>
      </c>
      <c r="O33" s="14">
        <v>17</v>
      </c>
      <c r="P33" s="14">
        <v>412250</v>
      </c>
      <c r="Q33" s="122">
        <v>289000</v>
      </c>
      <c r="R33" s="121"/>
      <c r="S33" s="120"/>
      <c r="U33" s="119"/>
    </row>
    <row r="34" spans="1:21" s="118" customFormat="1" ht="20.45" customHeight="1" x14ac:dyDescent="0.25">
      <c r="A34" s="34" t="s">
        <v>134</v>
      </c>
      <c r="B34" s="237"/>
      <c r="C34" s="97">
        <v>141</v>
      </c>
      <c r="D34" s="97"/>
      <c r="E34" s="34"/>
      <c r="F34" s="14"/>
      <c r="G34" s="14">
        <v>96</v>
      </c>
      <c r="H34" s="14">
        <v>96</v>
      </c>
      <c r="I34" s="115"/>
      <c r="J34" s="14"/>
      <c r="K34" s="14"/>
      <c r="L34" s="26"/>
      <c r="M34" s="14"/>
      <c r="N34" s="14">
        <v>116.16</v>
      </c>
      <c r="O34" s="14">
        <v>34</v>
      </c>
      <c r="P34" s="14">
        <v>1974720</v>
      </c>
      <c r="Q34" s="122"/>
      <c r="R34" s="121"/>
      <c r="S34" s="120"/>
      <c r="U34" s="119"/>
    </row>
    <row r="35" spans="1:21" s="118" customFormat="1" ht="20.45" customHeight="1" x14ac:dyDescent="0.25">
      <c r="A35" s="34" t="s">
        <v>69</v>
      </c>
      <c r="B35" s="237" t="s">
        <v>5</v>
      </c>
      <c r="C35" s="97">
        <v>2</v>
      </c>
      <c r="D35" s="97">
        <v>33</v>
      </c>
      <c r="E35" s="34" t="s">
        <v>132</v>
      </c>
      <c r="F35" s="14">
        <v>0</v>
      </c>
      <c r="G35" s="14">
        <v>2</v>
      </c>
      <c r="H35" s="14">
        <v>2</v>
      </c>
      <c r="I35" s="115">
        <v>2.69</v>
      </c>
      <c r="J35" s="14">
        <v>2.02</v>
      </c>
      <c r="K35" s="14">
        <v>0.24907063197026019</v>
      </c>
      <c r="L35" s="26"/>
      <c r="M35" s="14"/>
      <c r="N35" s="14">
        <v>1.3399999999999999</v>
      </c>
      <c r="O35" s="14">
        <v>17</v>
      </c>
      <c r="P35" s="14">
        <v>22779.999999999996</v>
      </c>
      <c r="Q35" s="122">
        <v>289000</v>
      </c>
      <c r="R35" s="121"/>
      <c r="S35" s="120"/>
      <c r="U35" s="119"/>
    </row>
    <row r="36" spans="1:21" s="118" customFormat="1" ht="20.45" customHeight="1" x14ac:dyDescent="0.25">
      <c r="A36" s="34" t="s">
        <v>136</v>
      </c>
      <c r="B36" s="237"/>
      <c r="C36" s="97">
        <v>221</v>
      </c>
      <c r="D36" s="97">
        <v>33</v>
      </c>
      <c r="E36" s="34"/>
      <c r="F36" s="14">
        <v>0</v>
      </c>
      <c r="G36" s="14">
        <v>110</v>
      </c>
      <c r="H36" s="14">
        <v>110</v>
      </c>
      <c r="I36" s="115"/>
      <c r="J36" s="14"/>
      <c r="K36" s="14"/>
      <c r="L36" s="26"/>
      <c r="M36" s="14"/>
      <c r="N36" s="14">
        <v>133.73000000000002</v>
      </c>
      <c r="O36" s="14">
        <v>68</v>
      </c>
      <c r="P36" s="14">
        <v>2273410</v>
      </c>
      <c r="Q36" s="122"/>
      <c r="R36" s="121"/>
      <c r="S36" s="120"/>
      <c r="U36" s="119"/>
    </row>
    <row r="37" spans="1:21" s="118" customFormat="1" ht="20.45" hidden="1" customHeight="1" x14ac:dyDescent="0.25">
      <c r="A37" s="34"/>
      <c r="B37" s="237"/>
      <c r="C37" s="97"/>
      <c r="D37" s="97"/>
      <c r="E37" s="34"/>
      <c r="F37" s="14"/>
      <c r="G37" s="14"/>
      <c r="H37" s="14"/>
      <c r="I37" s="115"/>
      <c r="J37" s="14"/>
      <c r="K37" s="14"/>
      <c r="L37" s="26"/>
      <c r="M37" s="14"/>
      <c r="N37" s="14"/>
      <c r="O37" s="14"/>
      <c r="P37" s="14"/>
      <c r="Q37" s="122"/>
      <c r="R37" s="121"/>
      <c r="S37" s="120"/>
      <c r="U37" s="119"/>
    </row>
    <row r="38" spans="1:21" s="98" customFormat="1" ht="20.45" hidden="1" customHeight="1" x14ac:dyDescent="0.25">
      <c r="A38" s="114" t="s">
        <v>107</v>
      </c>
      <c r="B38" s="113"/>
      <c r="C38" s="112">
        <f>SUM(C39:C41)</f>
        <v>129</v>
      </c>
      <c r="D38" s="112"/>
      <c r="E38" s="114"/>
      <c r="F38" s="110">
        <f>SUM(F39:F41)</f>
        <v>33</v>
      </c>
      <c r="G38" s="110">
        <f>SUM(G39:G41)</f>
        <v>82</v>
      </c>
      <c r="H38" s="110">
        <f>SUM(H39:H41)</f>
        <v>115</v>
      </c>
      <c r="I38" s="108"/>
      <c r="J38" s="110"/>
      <c r="K38" s="110"/>
      <c r="L38" s="104"/>
      <c r="M38" s="110"/>
      <c r="N38" s="110">
        <f>SUM(N39:N41)</f>
        <v>150.79000000000002</v>
      </c>
      <c r="O38" s="110">
        <f>SUM(O39:O41)</f>
        <v>34</v>
      </c>
      <c r="P38" s="110">
        <f>SUM(P39:P41)</f>
        <v>2563430</v>
      </c>
      <c r="Q38" s="117"/>
      <c r="R38" s="116"/>
      <c r="S38" s="100"/>
      <c r="U38" s="99"/>
    </row>
    <row r="39" spans="1:21" s="65" customFormat="1" ht="19.5" hidden="1" customHeight="1" x14ac:dyDescent="0.25">
      <c r="A39" s="831" t="s">
        <v>107</v>
      </c>
      <c r="B39" s="33" t="s">
        <v>5</v>
      </c>
      <c r="C39" s="11">
        <v>24</v>
      </c>
      <c r="D39" s="11">
        <v>75</v>
      </c>
      <c r="E39" s="96" t="s">
        <v>137</v>
      </c>
      <c r="F39" s="39">
        <v>0</v>
      </c>
      <c r="G39" s="39">
        <v>24</v>
      </c>
      <c r="H39" s="38">
        <f>F39+G39</f>
        <v>24</v>
      </c>
      <c r="I39" s="95">
        <v>2.69</v>
      </c>
      <c r="J39" s="37">
        <f>I39-0.67</f>
        <v>2.02</v>
      </c>
      <c r="K39" s="28">
        <f>(I39-J39)/I39</f>
        <v>0.24907063197026019</v>
      </c>
      <c r="L39" s="27">
        <v>7470</v>
      </c>
      <c r="M39" s="26">
        <f>(F39*L39)+(G39*L39*K39)</f>
        <v>44653.382899628246</v>
      </c>
      <c r="N39" s="238"/>
      <c r="O39" s="25"/>
      <c r="P39" s="10"/>
      <c r="Q39" s="10">
        <f>O39*1000*17</f>
        <v>0</v>
      </c>
      <c r="R39" s="24"/>
      <c r="S39" s="21"/>
      <c r="U39" s="66"/>
    </row>
    <row r="40" spans="1:21" s="65" customFormat="1" ht="19.5" hidden="1" customHeight="1" x14ac:dyDescent="0.25">
      <c r="A40" s="831"/>
      <c r="B40" s="33" t="s">
        <v>5</v>
      </c>
      <c r="C40" s="11">
        <v>57</v>
      </c>
      <c r="D40" s="11">
        <v>85</v>
      </c>
      <c r="E40" s="96" t="s">
        <v>129</v>
      </c>
      <c r="F40" s="14">
        <v>9</v>
      </c>
      <c r="G40" s="14">
        <v>31</v>
      </c>
      <c r="H40" s="31">
        <f>F40+G40</f>
        <v>40</v>
      </c>
      <c r="I40" s="115">
        <v>2.69</v>
      </c>
      <c r="J40" s="29">
        <v>1.63</v>
      </c>
      <c r="K40" s="28">
        <f>(I40-J40)/I40</f>
        <v>0.39405204460966547</v>
      </c>
      <c r="L40" s="27"/>
      <c r="M40" s="26"/>
      <c r="N40" s="238">
        <f>(F40*I40)+(G40*K40*I40)</f>
        <v>57.070000000000007</v>
      </c>
      <c r="O40" s="25">
        <v>17</v>
      </c>
      <c r="P40" s="10">
        <f>N40*1000*O40</f>
        <v>970190.00000000012</v>
      </c>
      <c r="Q40" s="10">
        <f>O40*1000*17</f>
        <v>289000</v>
      </c>
      <c r="R40" s="24"/>
      <c r="S40" s="21"/>
      <c r="U40" s="66"/>
    </row>
    <row r="41" spans="1:21" s="65" customFormat="1" ht="19.5" hidden="1" customHeight="1" x14ac:dyDescent="0.25">
      <c r="A41" s="831"/>
      <c r="B41" s="33" t="s">
        <v>5</v>
      </c>
      <c r="C41" s="11">
        <v>48</v>
      </c>
      <c r="D41" s="11">
        <v>523</v>
      </c>
      <c r="E41" s="96" t="s">
        <v>132</v>
      </c>
      <c r="F41" s="14">
        <v>24</v>
      </c>
      <c r="G41" s="14">
        <v>27</v>
      </c>
      <c r="H41" s="31">
        <f>F41+G41</f>
        <v>51</v>
      </c>
      <c r="I41" s="115">
        <v>2.69</v>
      </c>
      <c r="J41" s="29">
        <v>1.61</v>
      </c>
      <c r="K41" s="28">
        <f>(I41-J41)/I41</f>
        <v>0.4014869888475836</v>
      </c>
      <c r="L41" s="27"/>
      <c r="M41" s="26"/>
      <c r="N41" s="238">
        <f>(F41*I41)+(G41*K41*I41)</f>
        <v>93.72</v>
      </c>
      <c r="O41" s="25">
        <v>17</v>
      </c>
      <c r="P41" s="10">
        <f>N41*1000*O41</f>
        <v>1593240</v>
      </c>
      <c r="Q41" s="10">
        <f>O41*1000*17</f>
        <v>289000</v>
      </c>
      <c r="R41" s="24"/>
      <c r="S41" s="21"/>
      <c r="U41" s="66"/>
    </row>
    <row r="42" spans="1:21" s="98" customFormat="1" ht="19.5" hidden="1" customHeight="1" x14ac:dyDescent="0.25">
      <c r="A42" s="114" t="s">
        <v>136</v>
      </c>
      <c r="B42" s="113"/>
      <c r="C42" s="112">
        <f>SUM(C43:C45)</f>
        <v>221</v>
      </c>
      <c r="D42" s="112">
        <f>SUM(D43:D45)</f>
        <v>33</v>
      </c>
      <c r="E42" s="111"/>
      <c r="F42" s="112">
        <f>SUM(F43:F45)</f>
        <v>0</v>
      </c>
      <c r="G42" s="112">
        <f>SUM(G43:G45)</f>
        <v>110</v>
      </c>
      <c r="H42" s="112">
        <f>SUM(H43:H45)</f>
        <v>110</v>
      </c>
      <c r="I42" s="108"/>
      <c r="J42" s="107"/>
      <c r="K42" s="106"/>
      <c r="L42" s="105"/>
      <c r="M42" s="104"/>
      <c r="N42" s="112">
        <f>SUM(N43:N45)</f>
        <v>133.73000000000002</v>
      </c>
      <c r="O42" s="112">
        <f>SUM(O43:O45)</f>
        <v>68</v>
      </c>
      <c r="P42" s="112">
        <f>SUM(P43:P45)</f>
        <v>2273410</v>
      </c>
      <c r="Q42" s="102"/>
      <c r="R42" s="101"/>
      <c r="S42" s="100"/>
      <c r="U42" s="99"/>
    </row>
    <row r="43" spans="1:21" s="65" customFormat="1" ht="19.5" hidden="1" customHeight="1" x14ac:dyDescent="0.25">
      <c r="A43" s="831" t="s">
        <v>136</v>
      </c>
      <c r="B43" s="33" t="s">
        <v>5</v>
      </c>
      <c r="C43" s="11">
        <v>41</v>
      </c>
      <c r="D43" s="97">
        <v>6</v>
      </c>
      <c r="E43" s="96" t="s">
        <v>129</v>
      </c>
      <c r="F43" s="14">
        <v>0</v>
      </c>
      <c r="G43" s="14">
        <v>6</v>
      </c>
      <c r="H43" s="31">
        <f>F43+G43</f>
        <v>6</v>
      </c>
      <c r="I43" s="115">
        <v>2.69</v>
      </c>
      <c r="J43" s="29">
        <v>1.48</v>
      </c>
      <c r="K43" s="28">
        <f>(I43-J43)/I43</f>
        <v>0.44981412639405205</v>
      </c>
      <c r="L43" s="27"/>
      <c r="M43" s="26"/>
      <c r="N43" s="238">
        <f>(F43*I43)+(G43*K43*I43)</f>
        <v>7.26</v>
      </c>
      <c r="O43" s="25">
        <v>17</v>
      </c>
      <c r="P43" s="10">
        <f>N43*1000*O43</f>
        <v>123420</v>
      </c>
      <c r="Q43" s="10">
        <f>O43*1000*17</f>
        <v>289000</v>
      </c>
      <c r="R43" s="24"/>
      <c r="S43" s="21"/>
      <c r="U43" s="66"/>
    </row>
    <row r="44" spans="1:21" s="65" customFormat="1" ht="19.5" hidden="1" customHeight="1" x14ac:dyDescent="0.25">
      <c r="A44" s="831"/>
      <c r="B44" s="33" t="s">
        <v>5</v>
      </c>
      <c r="C44" s="11">
        <v>22</v>
      </c>
      <c r="D44" s="97">
        <v>27</v>
      </c>
      <c r="E44" s="96" t="s">
        <v>132</v>
      </c>
      <c r="F44" s="14">
        <v>0</v>
      </c>
      <c r="G44" s="14">
        <v>26</v>
      </c>
      <c r="H44" s="31">
        <f>F44+G44</f>
        <v>26</v>
      </c>
      <c r="I44" s="115">
        <v>2.69</v>
      </c>
      <c r="J44" s="29">
        <v>1.72</v>
      </c>
      <c r="K44" s="28">
        <f>(I44-J44)/I44</f>
        <v>0.36059479553903345</v>
      </c>
      <c r="L44" s="27"/>
      <c r="M44" s="26"/>
      <c r="N44" s="238">
        <f>(F44*I44)+(G44*K44*I44)</f>
        <v>25.220000000000002</v>
      </c>
      <c r="O44" s="25">
        <v>17</v>
      </c>
      <c r="P44" s="10">
        <f>N44*1000*O44</f>
        <v>428740.00000000006</v>
      </c>
      <c r="Q44" s="10">
        <f>O44*1000*17</f>
        <v>289000</v>
      </c>
      <c r="R44" s="24"/>
      <c r="S44" s="21"/>
      <c r="U44" s="66"/>
    </row>
    <row r="45" spans="1:21" s="98" customFormat="1" ht="19.5" hidden="1" customHeight="1" x14ac:dyDescent="0.25">
      <c r="A45" s="114" t="s">
        <v>62</v>
      </c>
      <c r="B45" s="113"/>
      <c r="C45" s="112">
        <f>SUM(C46:C48)</f>
        <v>158</v>
      </c>
      <c r="D45" s="239"/>
      <c r="E45" s="111"/>
      <c r="F45" s="112">
        <f>SUM(F46:F48)</f>
        <v>0</v>
      </c>
      <c r="G45" s="112">
        <f>SUM(G46:G48)</f>
        <v>78</v>
      </c>
      <c r="H45" s="112">
        <f>SUM(H46:H48)</f>
        <v>78</v>
      </c>
      <c r="I45" s="108"/>
      <c r="J45" s="107"/>
      <c r="K45" s="106"/>
      <c r="L45" s="105"/>
      <c r="M45" s="104"/>
      <c r="N45" s="112">
        <f>SUM(N46:N48)</f>
        <v>101.25</v>
      </c>
      <c r="O45" s="112">
        <f>SUM(O46:O48)</f>
        <v>34</v>
      </c>
      <c r="P45" s="112">
        <f>SUM(P46:P48)</f>
        <v>1721249.9999999998</v>
      </c>
      <c r="Q45" s="102"/>
      <c r="R45" s="101"/>
      <c r="S45" s="100"/>
      <c r="U45" s="99"/>
    </row>
    <row r="46" spans="1:21" s="65" customFormat="1" ht="19.5" hidden="1" customHeight="1" x14ac:dyDescent="0.25">
      <c r="A46" s="831" t="s">
        <v>62</v>
      </c>
      <c r="B46" s="33" t="s">
        <v>5</v>
      </c>
      <c r="C46" s="11">
        <v>33</v>
      </c>
      <c r="D46" s="97">
        <v>3</v>
      </c>
      <c r="E46" s="96" t="s">
        <v>130</v>
      </c>
      <c r="F46" s="39">
        <v>0</v>
      </c>
      <c r="G46" s="39">
        <v>3</v>
      </c>
      <c r="H46" s="38">
        <f>F46+G46</f>
        <v>3</v>
      </c>
      <c r="I46" s="95">
        <v>2.69</v>
      </c>
      <c r="J46" s="37">
        <v>1.34</v>
      </c>
      <c r="K46" s="28">
        <f>(I46-J46)/I46</f>
        <v>0.5018587360594795</v>
      </c>
      <c r="L46" s="27">
        <v>7470</v>
      </c>
      <c r="M46" s="26">
        <f>(F46*L46)+(G46*L46*K46)</f>
        <v>11246.654275092937</v>
      </c>
      <c r="N46" s="238"/>
      <c r="O46" s="25"/>
      <c r="P46" s="10"/>
      <c r="Q46" s="10">
        <f>O46*1000*17</f>
        <v>0</v>
      </c>
      <c r="R46" s="24"/>
      <c r="S46" s="21"/>
      <c r="U46" s="66"/>
    </row>
    <row r="47" spans="1:21" s="65" customFormat="1" ht="19.5" hidden="1" customHeight="1" x14ac:dyDescent="0.25">
      <c r="A47" s="831"/>
      <c r="B47" s="33" t="s">
        <v>5</v>
      </c>
      <c r="C47" s="11">
        <v>88</v>
      </c>
      <c r="D47" s="97">
        <v>47</v>
      </c>
      <c r="E47" s="96" t="s">
        <v>129</v>
      </c>
      <c r="F47" s="39">
        <v>0</v>
      </c>
      <c r="G47" s="39">
        <v>47</v>
      </c>
      <c r="H47" s="31">
        <f>F47+G47</f>
        <v>47</v>
      </c>
      <c r="I47" s="95">
        <v>2.69</v>
      </c>
      <c r="J47" s="37">
        <v>1.34</v>
      </c>
      <c r="K47" s="28">
        <f>(I47-J47)/I47</f>
        <v>0.5018587360594795</v>
      </c>
      <c r="L47" s="27"/>
      <c r="M47" s="26"/>
      <c r="N47" s="238">
        <f>(F47*I47)+(G47*K47*I47)</f>
        <v>63.449999999999996</v>
      </c>
      <c r="O47" s="25">
        <v>17</v>
      </c>
      <c r="P47" s="10">
        <f>N47*1000*O47</f>
        <v>1078649.9999999998</v>
      </c>
      <c r="Q47" s="10">
        <f>O47*1000*17</f>
        <v>289000</v>
      </c>
      <c r="R47" s="24"/>
      <c r="S47" s="21"/>
      <c r="U47" s="66"/>
    </row>
    <row r="48" spans="1:21" s="65" customFormat="1" ht="19.5" hidden="1" customHeight="1" x14ac:dyDescent="0.25">
      <c r="A48" s="831"/>
      <c r="B48" s="33" t="s">
        <v>5</v>
      </c>
      <c r="C48" s="11">
        <v>37</v>
      </c>
      <c r="D48" s="97">
        <v>275</v>
      </c>
      <c r="E48" s="96" t="s">
        <v>132</v>
      </c>
      <c r="F48" s="39">
        <v>0</v>
      </c>
      <c r="G48" s="39">
        <v>28</v>
      </c>
      <c r="H48" s="31">
        <f>F48+G48</f>
        <v>28</v>
      </c>
      <c r="I48" s="95">
        <v>2.69</v>
      </c>
      <c r="J48" s="37">
        <v>1.34</v>
      </c>
      <c r="K48" s="28">
        <f>(I48-J48)/I48</f>
        <v>0.5018587360594795</v>
      </c>
      <c r="L48" s="27"/>
      <c r="M48" s="26"/>
      <c r="N48" s="238">
        <f>(F48*I48)+(G48*K48*I48)</f>
        <v>37.799999999999997</v>
      </c>
      <c r="O48" s="25">
        <v>17</v>
      </c>
      <c r="P48" s="10">
        <f>N48*1000*O48</f>
        <v>642600</v>
      </c>
      <c r="Q48" s="10">
        <f>O48*1000*17</f>
        <v>289000</v>
      </c>
      <c r="R48" s="24"/>
      <c r="S48" s="21"/>
      <c r="U48" s="66"/>
    </row>
    <row r="49" spans="1:21" s="65" customFormat="1" ht="19.5" hidden="1" customHeight="1" x14ac:dyDescent="0.25">
      <c r="A49" s="13" t="s">
        <v>135</v>
      </c>
      <c r="B49" s="33" t="s">
        <v>5</v>
      </c>
      <c r="C49" s="11">
        <v>6</v>
      </c>
      <c r="D49" s="97">
        <v>2</v>
      </c>
      <c r="E49" s="96" t="s">
        <v>130</v>
      </c>
      <c r="F49" s="39">
        <v>0</v>
      </c>
      <c r="G49" s="39">
        <v>2</v>
      </c>
      <c r="H49" s="38">
        <f>F49+G49</f>
        <v>2</v>
      </c>
      <c r="I49" s="95">
        <v>2.69</v>
      </c>
      <c r="J49" s="37">
        <v>1.34</v>
      </c>
      <c r="K49" s="28">
        <f>(I49-J49)/I49</f>
        <v>0.5018587360594795</v>
      </c>
      <c r="L49" s="27">
        <v>7470</v>
      </c>
      <c r="M49" s="26">
        <f>(F49*L49)+(G49*L49*K49)</f>
        <v>7497.7695167286238</v>
      </c>
      <c r="N49" s="238"/>
      <c r="O49" s="25"/>
      <c r="P49" s="10"/>
      <c r="Q49" s="10">
        <f>O49*1000*17</f>
        <v>0</v>
      </c>
      <c r="R49" s="24"/>
      <c r="S49" s="21"/>
      <c r="U49" s="66"/>
    </row>
    <row r="50" spans="1:21" s="65" customFormat="1" ht="19.350000000000001" hidden="1" customHeight="1" x14ac:dyDescent="0.25">
      <c r="A50" s="13" t="s">
        <v>64</v>
      </c>
      <c r="B50" s="33" t="s">
        <v>5</v>
      </c>
      <c r="C50" s="11">
        <v>30</v>
      </c>
      <c r="D50" s="97">
        <v>12.5</v>
      </c>
      <c r="E50" s="96" t="s">
        <v>132</v>
      </c>
      <c r="F50" s="39">
        <v>12.5</v>
      </c>
      <c r="G50" s="39"/>
      <c r="H50" s="31">
        <f>F50+G50</f>
        <v>12.5</v>
      </c>
      <c r="I50" s="115">
        <v>2.69</v>
      </c>
      <c r="J50" s="29"/>
      <c r="K50" s="28">
        <f>(I50-J50)/I50</f>
        <v>1</v>
      </c>
      <c r="L50" s="27"/>
      <c r="M50" s="26"/>
      <c r="N50" s="238">
        <f>(F50*I50)+(G50*K50*I50)</f>
        <v>33.625</v>
      </c>
      <c r="O50" s="25">
        <v>17</v>
      </c>
      <c r="P50" s="10">
        <f>N50*1000*O50</f>
        <v>571625</v>
      </c>
      <c r="Q50" s="10">
        <f>O50*1000*17</f>
        <v>289000</v>
      </c>
      <c r="R50" s="24"/>
      <c r="S50" s="21"/>
      <c r="U50" s="66"/>
    </row>
    <row r="51" spans="1:21" s="98" customFormat="1" ht="19.350000000000001" hidden="1" customHeight="1" x14ac:dyDescent="0.25">
      <c r="A51" s="114" t="s">
        <v>134</v>
      </c>
      <c r="B51" s="113"/>
      <c r="C51" s="112">
        <f>SUM(C52:C53)</f>
        <v>141</v>
      </c>
      <c r="D51" s="112"/>
      <c r="E51" s="111"/>
      <c r="F51" s="110"/>
      <c r="G51" s="112">
        <f>SUM(G52:G53)</f>
        <v>96</v>
      </c>
      <c r="H51" s="112">
        <f>SUM(H52:H53)</f>
        <v>96</v>
      </c>
      <c r="I51" s="108"/>
      <c r="J51" s="107"/>
      <c r="K51" s="106"/>
      <c r="L51" s="105"/>
      <c r="M51" s="104"/>
      <c r="N51" s="240">
        <f>SUM(N52:N53)</f>
        <v>116.16</v>
      </c>
      <c r="O51" s="103">
        <f>SUM(O52:O53)</f>
        <v>34</v>
      </c>
      <c r="P51" s="102">
        <f>SUM(P52:P53)</f>
        <v>1974720</v>
      </c>
      <c r="Q51" s="102"/>
      <c r="R51" s="101"/>
      <c r="S51" s="100"/>
      <c r="U51" s="99"/>
    </row>
    <row r="52" spans="1:21" s="65" customFormat="1" ht="19.5" hidden="1" customHeight="1" x14ac:dyDescent="0.25">
      <c r="A52" s="831" t="s">
        <v>134</v>
      </c>
      <c r="B52" s="33" t="s">
        <v>5</v>
      </c>
      <c r="C52" s="11">
        <v>67</v>
      </c>
      <c r="D52" s="97">
        <v>41</v>
      </c>
      <c r="E52" s="96" t="s">
        <v>129</v>
      </c>
      <c r="F52" s="39">
        <v>0</v>
      </c>
      <c r="G52" s="39">
        <v>41</v>
      </c>
      <c r="H52" s="31">
        <f>F52+G52</f>
        <v>41</v>
      </c>
      <c r="I52" s="115">
        <v>2.69</v>
      </c>
      <c r="J52" s="29">
        <v>1.48</v>
      </c>
      <c r="K52" s="28">
        <f>(I52-J52)/I52</f>
        <v>0.44981412639405205</v>
      </c>
      <c r="L52" s="27"/>
      <c r="M52" s="26"/>
      <c r="N52" s="238">
        <f>(F52*I52)+(G52*K52*I52)</f>
        <v>49.61</v>
      </c>
      <c r="O52" s="25">
        <v>17</v>
      </c>
      <c r="P52" s="10">
        <f>N52*1000*O52</f>
        <v>843370</v>
      </c>
      <c r="Q52" s="10">
        <f>O52*1000*17</f>
        <v>289000</v>
      </c>
      <c r="R52" s="24"/>
      <c r="S52" s="21"/>
      <c r="U52" s="66"/>
    </row>
    <row r="53" spans="1:21" s="65" customFormat="1" ht="19.5" hidden="1" customHeight="1" x14ac:dyDescent="0.25">
      <c r="A53" s="831"/>
      <c r="B53" s="33" t="s">
        <v>5</v>
      </c>
      <c r="C53" s="11">
        <v>74</v>
      </c>
      <c r="D53" s="97">
        <v>253</v>
      </c>
      <c r="E53" s="96" t="s">
        <v>132</v>
      </c>
      <c r="F53" s="39">
        <v>0</v>
      </c>
      <c r="G53" s="39">
        <v>55</v>
      </c>
      <c r="H53" s="31">
        <f>F53+G53</f>
        <v>55</v>
      </c>
      <c r="I53" s="115">
        <v>2.69</v>
      </c>
      <c r="J53" s="29">
        <v>1.48</v>
      </c>
      <c r="K53" s="28">
        <f>(I53-J53)/I53</f>
        <v>0.44981412639405205</v>
      </c>
      <c r="L53" s="27"/>
      <c r="M53" s="26"/>
      <c r="N53" s="238">
        <f>(F53*I53)+(G53*K53*I53)</f>
        <v>66.55</v>
      </c>
      <c r="O53" s="25">
        <v>17</v>
      </c>
      <c r="P53" s="10">
        <f>N53*1000*O53</f>
        <v>1131350</v>
      </c>
      <c r="Q53" s="10">
        <f>O53*1000*17</f>
        <v>289000</v>
      </c>
      <c r="R53" s="24"/>
      <c r="S53" s="21"/>
      <c r="U53" s="66"/>
    </row>
    <row r="54" spans="1:21" s="65" customFormat="1" ht="19.5" hidden="1" customHeight="1" x14ac:dyDescent="0.25">
      <c r="A54" s="32" t="s">
        <v>69</v>
      </c>
      <c r="B54" s="33" t="s">
        <v>5</v>
      </c>
      <c r="C54" s="11">
        <v>2</v>
      </c>
      <c r="D54" s="11">
        <v>33</v>
      </c>
      <c r="E54" s="96" t="s">
        <v>132</v>
      </c>
      <c r="F54" s="39">
        <v>0</v>
      </c>
      <c r="G54" s="39">
        <v>2</v>
      </c>
      <c r="H54" s="31">
        <f>F54+G54</f>
        <v>2</v>
      </c>
      <c r="I54" s="95">
        <v>2.69</v>
      </c>
      <c r="J54" s="37">
        <f>I54-0.67</f>
        <v>2.02</v>
      </c>
      <c r="K54" s="28">
        <f>(I54-J54)/I54</f>
        <v>0.24907063197026019</v>
      </c>
      <c r="L54" s="27"/>
      <c r="M54" s="26"/>
      <c r="N54" s="238">
        <f>(F54*I54)+(G54*K54*I54)</f>
        <v>1.3399999999999999</v>
      </c>
      <c r="O54" s="25">
        <v>17</v>
      </c>
      <c r="P54" s="10">
        <f>N54*1000*O54</f>
        <v>22779.999999999996</v>
      </c>
      <c r="Q54" s="10">
        <f>O54*1000*17</f>
        <v>289000</v>
      </c>
      <c r="R54" s="24"/>
      <c r="S54" s="21"/>
      <c r="U54" s="66"/>
    </row>
    <row r="55" spans="1:21" s="65" customFormat="1" ht="19.5" hidden="1" customHeight="1" x14ac:dyDescent="0.25">
      <c r="A55" s="13" t="s">
        <v>133</v>
      </c>
      <c r="B55" s="33" t="s">
        <v>5</v>
      </c>
      <c r="C55" s="11">
        <v>40</v>
      </c>
      <c r="D55" s="11">
        <v>415</v>
      </c>
      <c r="E55" s="96" t="s">
        <v>132</v>
      </c>
      <c r="F55" s="39">
        <v>0</v>
      </c>
      <c r="G55" s="39">
        <v>25</v>
      </c>
      <c r="H55" s="31">
        <f>F55+G55</f>
        <v>25</v>
      </c>
      <c r="I55" s="115">
        <v>2.69</v>
      </c>
      <c r="J55" s="29">
        <v>1.72</v>
      </c>
      <c r="K55" s="28">
        <f>(I55-J55)/I55</f>
        <v>0.36059479553903345</v>
      </c>
      <c r="L55" s="27"/>
      <c r="M55" s="26"/>
      <c r="N55" s="238">
        <f>(F55*I55)+(G55*K55*I55)</f>
        <v>24.25</v>
      </c>
      <c r="O55" s="25">
        <v>17</v>
      </c>
      <c r="P55" s="10">
        <f>N55*1000*O55</f>
        <v>412250</v>
      </c>
      <c r="Q55" s="10">
        <f>O55*1000*17</f>
        <v>289000</v>
      </c>
      <c r="R55" s="24"/>
      <c r="S55" s="21"/>
      <c r="U55" s="66"/>
    </row>
    <row r="56" spans="1:21" s="98" customFormat="1" ht="19.5" hidden="1" customHeight="1" x14ac:dyDescent="0.25">
      <c r="A56" s="114" t="s">
        <v>131</v>
      </c>
      <c r="B56" s="113"/>
      <c r="C56" s="112">
        <v>141</v>
      </c>
      <c r="D56" s="112"/>
      <c r="E56" s="111"/>
      <c r="F56" s="110"/>
      <c r="G56" s="110">
        <f>SUM(G57:G58)</f>
        <v>50</v>
      </c>
      <c r="H56" s="109">
        <f>SUM(H57:H58)</f>
        <v>50</v>
      </c>
      <c r="I56" s="108"/>
      <c r="J56" s="107"/>
      <c r="K56" s="106"/>
      <c r="L56" s="105"/>
      <c r="M56" s="104"/>
      <c r="N56" s="240"/>
      <c r="O56" s="103"/>
      <c r="P56" s="102"/>
      <c r="Q56" s="102"/>
      <c r="R56" s="101"/>
      <c r="S56" s="100"/>
      <c r="U56" s="99"/>
    </row>
    <row r="57" spans="1:21" s="65" customFormat="1" ht="19.5" hidden="1" customHeight="1" x14ac:dyDescent="0.25">
      <c r="A57" s="831" t="s">
        <v>131</v>
      </c>
      <c r="B57" s="33" t="s">
        <v>5</v>
      </c>
      <c r="C57" s="11">
        <v>30</v>
      </c>
      <c r="D57" s="11">
        <v>60</v>
      </c>
      <c r="E57" s="96" t="s">
        <v>130</v>
      </c>
      <c r="F57" s="39">
        <v>0</v>
      </c>
      <c r="G57" s="39">
        <v>21</v>
      </c>
      <c r="H57" s="38">
        <f>F57+G57</f>
        <v>21</v>
      </c>
      <c r="I57" s="95">
        <v>2.69</v>
      </c>
      <c r="J57" s="37">
        <f>I57-0.67</f>
        <v>2.02</v>
      </c>
      <c r="K57" s="28">
        <f>(I57-J57)/I57</f>
        <v>0.24907063197026019</v>
      </c>
      <c r="L57" s="27">
        <v>7470</v>
      </c>
      <c r="M57" s="26">
        <f>(F57*L57)+(G57*L57*K57)</f>
        <v>39071.710037174715</v>
      </c>
      <c r="N57" s="238"/>
      <c r="O57" s="25"/>
      <c r="P57" s="10"/>
      <c r="Q57" s="10">
        <f>O57*1000*17</f>
        <v>0</v>
      </c>
      <c r="R57" s="24"/>
      <c r="S57" s="21"/>
      <c r="U57" s="66"/>
    </row>
    <row r="58" spans="1:21" s="65" customFormat="1" ht="19.5" hidden="1" customHeight="1" x14ac:dyDescent="0.25">
      <c r="A58" s="831"/>
      <c r="B58" s="33" t="s">
        <v>5</v>
      </c>
      <c r="C58" s="11">
        <v>42</v>
      </c>
      <c r="D58" s="97">
        <v>29</v>
      </c>
      <c r="E58" s="96" t="s">
        <v>129</v>
      </c>
      <c r="F58" s="39">
        <v>0</v>
      </c>
      <c r="G58" s="39">
        <v>29</v>
      </c>
      <c r="H58" s="31">
        <f>F58+G58</f>
        <v>29</v>
      </c>
      <c r="I58" s="95">
        <v>2.69</v>
      </c>
      <c r="J58" s="37">
        <v>1.34</v>
      </c>
      <c r="K58" s="28">
        <f>(I58-J58)/I58</f>
        <v>0.5018587360594795</v>
      </c>
      <c r="L58" s="27"/>
      <c r="M58" s="26"/>
      <c r="N58" s="238">
        <f>(F58*I58)+(G58*K58*I58)</f>
        <v>39.149999999999991</v>
      </c>
      <c r="O58" s="25">
        <v>17</v>
      </c>
      <c r="P58" s="10">
        <f>N58*1000*O58</f>
        <v>665549.99999999988</v>
      </c>
      <c r="Q58" s="10">
        <f>O58*1000*17</f>
        <v>289000</v>
      </c>
      <c r="R58" s="24"/>
      <c r="S58" s="21"/>
      <c r="U58" s="66"/>
    </row>
    <row r="59" spans="1:21" s="62" customFormat="1" ht="19.5" hidden="1" customHeight="1" x14ac:dyDescent="0.25">
      <c r="A59" s="88"/>
      <c r="B59" s="87"/>
      <c r="C59" s="86"/>
      <c r="D59" s="86"/>
      <c r="E59" s="85"/>
      <c r="F59" s="84"/>
      <c r="G59" s="84"/>
      <c r="H59" s="83"/>
      <c r="I59" s="82"/>
      <c r="J59" s="81"/>
      <c r="K59" s="80"/>
      <c r="L59" s="79"/>
      <c r="M59" s="78"/>
      <c r="N59" s="241"/>
      <c r="O59" s="77"/>
      <c r="P59" s="76"/>
      <c r="Q59" s="76"/>
      <c r="R59" s="75"/>
      <c r="S59" s="64"/>
      <c r="U59" s="63"/>
    </row>
    <row r="60" spans="1:21" s="65" customFormat="1" ht="20.45" customHeight="1" x14ac:dyDescent="0.25">
      <c r="A60" s="242" t="s">
        <v>128</v>
      </c>
      <c r="B60" s="243"/>
      <c r="C60" s="244">
        <f>SUM(C61:C67)</f>
        <v>778</v>
      </c>
      <c r="D60" s="244">
        <f>SUM(D61:D67)</f>
        <v>1115.5</v>
      </c>
      <c r="E60" s="242"/>
      <c r="F60" s="245">
        <f>SUM(F61:F67)</f>
        <v>677.92000000000007</v>
      </c>
      <c r="G60" s="245">
        <f>SUM(G61:G67)</f>
        <v>114</v>
      </c>
      <c r="H60" s="245">
        <f>SUM(H61:H67)</f>
        <v>791.92000000000007</v>
      </c>
      <c r="I60" s="246"/>
      <c r="J60" s="245"/>
      <c r="K60" s="245"/>
      <c r="L60" s="247"/>
      <c r="M60" s="245">
        <f>SUM(M61:M67)</f>
        <v>6978708.3169811312</v>
      </c>
      <c r="N60" s="248">
        <f>N61</f>
        <v>0</v>
      </c>
      <c r="O60" s="245"/>
      <c r="P60" s="249">
        <f>SUM(P61:P68)</f>
        <v>0</v>
      </c>
      <c r="Q60" s="68"/>
      <c r="R60" s="67"/>
      <c r="S60" s="21"/>
      <c r="U60" s="66"/>
    </row>
    <row r="61" spans="1:21" s="62" customFormat="1" ht="19.5" customHeight="1" x14ac:dyDescent="0.25">
      <c r="A61" s="13" t="s">
        <v>111</v>
      </c>
      <c r="B61" s="33"/>
      <c r="C61" s="11">
        <v>6</v>
      </c>
      <c r="D61" s="11">
        <v>10</v>
      </c>
      <c r="E61" s="89" t="s">
        <v>126</v>
      </c>
      <c r="F61" s="39">
        <v>10</v>
      </c>
      <c r="G61" s="39"/>
      <c r="H61" s="38">
        <f t="shared" ref="H61:H67" si="4">F61+G61</f>
        <v>10</v>
      </c>
      <c r="I61" s="30">
        <v>2.65</v>
      </c>
      <c r="J61" s="37"/>
      <c r="K61" s="28">
        <f t="shared" ref="K61:K67" si="5">(I61-J61)/I61</f>
        <v>1</v>
      </c>
      <c r="L61" s="27">
        <v>7470</v>
      </c>
      <c r="M61" s="26">
        <f t="shared" ref="M61:M67" si="6">(F61*L61)+(G61*L61*K61)</f>
        <v>74700</v>
      </c>
      <c r="N61" s="238"/>
      <c r="O61" s="25"/>
      <c r="P61" s="10"/>
      <c r="Q61" s="10">
        <f t="shared" ref="Q61:Q67" si="7">O61*1000*17</f>
        <v>0</v>
      </c>
      <c r="R61" s="24"/>
      <c r="S61" s="64"/>
      <c r="U61" s="63"/>
    </row>
    <row r="62" spans="1:21" s="62" customFormat="1" ht="19.5" customHeight="1" x14ac:dyDescent="0.25">
      <c r="A62" s="13" t="s">
        <v>109</v>
      </c>
      <c r="B62" s="33"/>
      <c r="C62" s="11">
        <v>101</v>
      </c>
      <c r="D62" s="11">
        <v>114</v>
      </c>
      <c r="E62" s="89" t="s">
        <v>127</v>
      </c>
      <c r="F62" s="39"/>
      <c r="G62" s="39">
        <v>114</v>
      </c>
      <c r="H62" s="38">
        <f t="shared" si="4"/>
        <v>114</v>
      </c>
      <c r="I62" s="30">
        <v>2.65</v>
      </c>
      <c r="J62" s="37">
        <f>I62-1.33</f>
        <v>1.3199999999999998</v>
      </c>
      <c r="K62" s="94">
        <f t="shared" si="5"/>
        <v>0.50188679245283019</v>
      </c>
      <c r="L62" s="93">
        <v>33464</v>
      </c>
      <c r="M62" s="92">
        <f t="shared" si="6"/>
        <v>1914645.916981132</v>
      </c>
      <c r="N62" s="250"/>
      <c r="O62" s="91"/>
      <c r="P62" s="90"/>
      <c r="Q62" s="10">
        <f t="shared" si="7"/>
        <v>0</v>
      </c>
      <c r="R62" s="24"/>
      <c r="S62" s="64"/>
      <c r="U62" s="63"/>
    </row>
    <row r="63" spans="1:21" s="62" customFormat="1" ht="19.5" customHeight="1" x14ac:dyDescent="0.25">
      <c r="A63" s="13" t="s">
        <v>79</v>
      </c>
      <c r="B63" s="33"/>
      <c r="C63" s="11">
        <v>10</v>
      </c>
      <c r="D63" s="11">
        <v>14.5</v>
      </c>
      <c r="E63" s="89" t="s">
        <v>126</v>
      </c>
      <c r="F63" s="39">
        <v>14.5</v>
      </c>
      <c r="G63" s="39"/>
      <c r="H63" s="38">
        <f t="shared" si="4"/>
        <v>14.5</v>
      </c>
      <c r="I63" s="30">
        <v>2.65</v>
      </c>
      <c r="J63" s="37"/>
      <c r="K63" s="28">
        <f t="shared" si="5"/>
        <v>1</v>
      </c>
      <c r="L63" s="27">
        <v>7470</v>
      </c>
      <c r="M63" s="26">
        <f t="shared" si="6"/>
        <v>108315</v>
      </c>
      <c r="N63" s="238"/>
      <c r="O63" s="25"/>
      <c r="P63" s="10"/>
      <c r="Q63" s="10">
        <f t="shared" si="7"/>
        <v>0</v>
      </c>
      <c r="R63" s="24"/>
      <c r="S63" s="64"/>
      <c r="U63" s="63"/>
    </row>
    <row r="64" spans="1:21" s="62" customFormat="1" ht="19.5" customHeight="1" x14ac:dyDescent="0.25">
      <c r="A64" s="13" t="s">
        <v>110</v>
      </c>
      <c r="B64" s="33"/>
      <c r="C64" s="11">
        <v>278</v>
      </c>
      <c r="D64" s="11">
        <v>278</v>
      </c>
      <c r="E64" s="89" t="s">
        <v>125</v>
      </c>
      <c r="F64" s="39">
        <v>278</v>
      </c>
      <c r="G64" s="39"/>
      <c r="H64" s="38">
        <f t="shared" si="4"/>
        <v>278</v>
      </c>
      <c r="I64" s="30">
        <v>2.65</v>
      </c>
      <c r="J64" s="37"/>
      <c r="K64" s="28">
        <f t="shared" si="5"/>
        <v>1</v>
      </c>
      <c r="L64" s="27">
        <v>7470</v>
      </c>
      <c r="M64" s="26">
        <f t="shared" si="6"/>
        <v>2076660</v>
      </c>
      <c r="N64" s="238"/>
      <c r="O64" s="25"/>
      <c r="P64" s="10"/>
      <c r="Q64" s="10">
        <f t="shared" si="7"/>
        <v>0</v>
      </c>
      <c r="R64" s="24"/>
      <c r="S64" s="64"/>
      <c r="U64" s="63"/>
    </row>
    <row r="65" spans="1:21" s="62" customFormat="1" ht="19.5" customHeight="1" x14ac:dyDescent="0.25">
      <c r="A65" s="13" t="s">
        <v>83</v>
      </c>
      <c r="B65" s="33"/>
      <c r="C65" s="11">
        <v>23</v>
      </c>
      <c r="D65" s="11">
        <v>1</v>
      </c>
      <c r="E65" s="89" t="s">
        <v>124</v>
      </c>
      <c r="F65" s="39">
        <v>0.92</v>
      </c>
      <c r="G65" s="39"/>
      <c r="H65" s="38">
        <f t="shared" si="4"/>
        <v>0.92</v>
      </c>
      <c r="I65" s="30">
        <v>2.65</v>
      </c>
      <c r="J65" s="37"/>
      <c r="K65" s="28">
        <f t="shared" si="5"/>
        <v>1</v>
      </c>
      <c r="L65" s="27">
        <v>7470</v>
      </c>
      <c r="M65" s="26">
        <f t="shared" si="6"/>
        <v>6872.4000000000005</v>
      </c>
      <c r="N65" s="238"/>
      <c r="O65" s="25"/>
      <c r="P65" s="10"/>
      <c r="Q65" s="10">
        <f t="shared" si="7"/>
        <v>0</v>
      </c>
      <c r="R65" s="24"/>
      <c r="S65" s="64"/>
      <c r="U65" s="63"/>
    </row>
    <row r="66" spans="1:21" s="62" customFormat="1" ht="19.5" customHeight="1" x14ac:dyDescent="0.25">
      <c r="A66" s="13" t="s">
        <v>123</v>
      </c>
      <c r="B66" s="33" t="s">
        <v>5</v>
      </c>
      <c r="C66" s="11">
        <v>150</v>
      </c>
      <c r="D66" s="11">
        <v>300</v>
      </c>
      <c r="E66" s="89" t="s">
        <v>115</v>
      </c>
      <c r="F66" s="39">
        <v>127</v>
      </c>
      <c r="G66" s="39"/>
      <c r="H66" s="38">
        <f t="shared" si="4"/>
        <v>127</v>
      </c>
      <c r="I66" s="30">
        <v>2.65</v>
      </c>
      <c r="J66" s="37"/>
      <c r="K66" s="28">
        <f t="shared" si="5"/>
        <v>1</v>
      </c>
      <c r="L66" s="27">
        <v>7470</v>
      </c>
      <c r="M66" s="26">
        <f t="shared" si="6"/>
        <v>948690</v>
      </c>
      <c r="N66" s="238"/>
      <c r="O66" s="25"/>
      <c r="P66" s="10"/>
      <c r="Q66" s="10">
        <f t="shared" si="7"/>
        <v>0</v>
      </c>
      <c r="R66" s="24"/>
      <c r="S66" s="64"/>
      <c r="U66" s="63"/>
    </row>
    <row r="67" spans="1:21" s="62" customFormat="1" ht="19.5" customHeight="1" x14ac:dyDescent="0.25">
      <c r="A67" s="13" t="s">
        <v>85</v>
      </c>
      <c r="B67" s="33" t="s">
        <v>5</v>
      </c>
      <c r="C67" s="11">
        <v>210</v>
      </c>
      <c r="D67" s="11">
        <v>398</v>
      </c>
      <c r="E67" s="89" t="s">
        <v>115</v>
      </c>
      <c r="F67" s="39">
        <v>247.5</v>
      </c>
      <c r="G67" s="39"/>
      <c r="H67" s="38">
        <f t="shared" si="4"/>
        <v>247.5</v>
      </c>
      <c r="I67" s="30">
        <v>2.65</v>
      </c>
      <c r="J67" s="37"/>
      <c r="K67" s="28">
        <f t="shared" si="5"/>
        <v>1</v>
      </c>
      <c r="L67" s="27">
        <v>7470</v>
      </c>
      <c r="M67" s="26">
        <f t="shared" si="6"/>
        <v>1848825</v>
      </c>
      <c r="N67" s="238"/>
      <c r="O67" s="25"/>
      <c r="P67" s="10"/>
      <c r="Q67" s="10">
        <f t="shared" si="7"/>
        <v>0</v>
      </c>
      <c r="R67" s="24"/>
      <c r="S67" s="64"/>
      <c r="U67" s="63"/>
    </row>
    <row r="68" spans="1:21" s="62" customFormat="1" ht="19.350000000000001" customHeight="1" x14ac:dyDescent="0.25">
      <c r="A68" s="88"/>
      <c r="B68" s="87"/>
      <c r="C68" s="86"/>
      <c r="D68" s="86"/>
      <c r="E68" s="85"/>
      <c r="F68" s="84"/>
      <c r="G68" s="84"/>
      <c r="H68" s="83"/>
      <c r="I68" s="82"/>
      <c r="J68" s="81"/>
      <c r="K68" s="80"/>
      <c r="L68" s="79"/>
      <c r="M68" s="78"/>
      <c r="N68" s="241"/>
      <c r="O68" s="77"/>
      <c r="P68" s="76"/>
      <c r="Q68" s="76"/>
      <c r="R68" s="75"/>
      <c r="S68" s="64"/>
      <c r="U68" s="63"/>
    </row>
    <row r="69" spans="1:21" s="65" customFormat="1" ht="20.45" customHeight="1" x14ac:dyDescent="0.25">
      <c r="A69" s="242" t="s">
        <v>122</v>
      </c>
      <c r="B69" s="243"/>
      <c r="C69" s="244">
        <f>SUM(C70:C71)</f>
        <v>509</v>
      </c>
      <c r="D69" s="244">
        <f>SUM(D70:D71)</f>
        <v>509</v>
      </c>
      <c r="E69" s="242"/>
      <c r="F69" s="245">
        <f>SUM(F70:F71)</f>
        <v>509</v>
      </c>
      <c r="G69" s="245">
        <f>SUM(G70:G71)</f>
        <v>0</v>
      </c>
      <c r="H69" s="245">
        <f>SUM(H70:H71)</f>
        <v>509</v>
      </c>
      <c r="I69" s="246"/>
      <c r="J69" s="245"/>
      <c r="K69" s="245"/>
      <c r="L69" s="247"/>
      <c r="M69" s="245">
        <f>SUM(M70:M71)</f>
        <v>3802230</v>
      </c>
      <c r="N69" s="245">
        <f>SUM(N70:N71)</f>
        <v>0</v>
      </c>
      <c r="O69" s="245"/>
      <c r="P69" s="245">
        <f>SUM(P70:P71)</f>
        <v>0</v>
      </c>
      <c r="Q69" s="68"/>
      <c r="R69" s="67"/>
      <c r="S69" s="21"/>
      <c r="U69" s="66"/>
    </row>
    <row r="70" spans="1:21" s="62" customFormat="1" ht="19.350000000000001" hidden="1" customHeight="1" x14ac:dyDescent="0.25">
      <c r="A70" s="830" t="s">
        <v>119</v>
      </c>
      <c r="B70" s="33" t="s">
        <v>5</v>
      </c>
      <c r="C70" s="12">
        <v>447</v>
      </c>
      <c r="D70" s="43">
        <v>447</v>
      </c>
      <c r="E70" s="40" t="s">
        <v>115</v>
      </c>
      <c r="F70" s="39">
        <v>447</v>
      </c>
      <c r="G70" s="39"/>
      <c r="H70" s="38">
        <f>F70+G70</f>
        <v>447</v>
      </c>
      <c r="I70" s="30">
        <v>2.73</v>
      </c>
      <c r="J70" s="37"/>
      <c r="K70" s="28">
        <f>(I70-J70)/I70</f>
        <v>1</v>
      </c>
      <c r="L70" s="27">
        <v>7470</v>
      </c>
      <c r="M70" s="26">
        <f>(F70*L70)+(G70*L70*K70)</f>
        <v>3339090</v>
      </c>
      <c r="N70" s="238"/>
      <c r="O70" s="25"/>
      <c r="P70" s="10"/>
      <c r="Q70" s="10">
        <f>O70*1000*17</f>
        <v>0</v>
      </c>
      <c r="R70" s="24"/>
      <c r="S70" s="64"/>
      <c r="U70" s="63"/>
    </row>
    <row r="71" spans="1:21" s="62" customFormat="1" ht="19.350000000000001" hidden="1" customHeight="1" x14ac:dyDescent="0.25">
      <c r="A71" s="830"/>
      <c r="B71" s="33" t="s">
        <v>5</v>
      </c>
      <c r="C71" s="12">
        <v>62</v>
      </c>
      <c r="D71" s="43">
        <v>62</v>
      </c>
      <c r="E71" s="40" t="s">
        <v>115</v>
      </c>
      <c r="F71" s="39">
        <v>62</v>
      </c>
      <c r="G71" s="39"/>
      <c r="H71" s="38">
        <f>F71+G71</f>
        <v>62</v>
      </c>
      <c r="I71" s="30">
        <v>2.73</v>
      </c>
      <c r="J71" s="37"/>
      <c r="K71" s="28">
        <f>(I71-J71)/I71</f>
        <v>1</v>
      </c>
      <c r="L71" s="27">
        <v>7470</v>
      </c>
      <c r="M71" s="26">
        <f>(F71*L71)+(G71*L71*K71)</f>
        <v>463140</v>
      </c>
      <c r="N71" s="238"/>
      <c r="O71" s="25"/>
      <c r="P71" s="10"/>
      <c r="Q71" s="10">
        <f>O71*1000*17</f>
        <v>0</v>
      </c>
      <c r="R71" s="24"/>
      <c r="S71" s="64"/>
      <c r="U71" s="63"/>
    </row>
    <row r="72" spans="1:21" s="45" customFormat="1" ht="19.5" hidden="1" customHeight="1" x14ac:dyDescent="0.25">
      <c r="A72" s="61"/>
      <c r="B72" s="61"/>
      <c r="C72" s="60"/>
      <c r="D72" s="59"/>
      <c r="E72" s="58"/>
      <c r="F72" s="57"/>
      <c r="G72" s="57"/>
      <c r="H72" s="56"/>
      <c r="I72" s="55"/>
      <c r="J72" s="54"/>
      <c r="K72" s="53"/>
      <c r="L72" s="52"/>
      <c r="M72" s="51"/>
      <c r="N72" s="251"/>
      <c r="O72" s="50"/>
      <c r="P72" s="49"/>
      <c r="Q72" s="49"/>
      <c r="R72" s="48"/>
      <c r="S72" s="47"/>
      <c r="U72" s="46"/>
    </row>
    <row r="73" spans="1:21" s="35" customFormat="1" ht="18.75" customHeight="1" x14ac:dyDescent="0.25">
      <c r="A73" s="34" t="s">
        <v>87</v>
      </c>
      <c r="B73" s="33" t="s">
        <v>5</v>
      </c>
      <c r="C73" s="12">
        <v>11</v>
      </c>
      <c r="D73" s="43">
        <v>9</v>
      </c>
      <c r="E73" s="40" t="s">
        <v>115</v>
      </c>
      <c r="F73" s="39">
        <v>9</v>
      </c>
      <c r="G73" s="39"/>
      <c r="H73" s="38">
        <v>9</v>
      </c>
      <c r="I73" s="30">
        <v>2.73</v>
      </c>
      <c r="J73" s="37"/>
      <c r="K73" s="28">
        <v>1</v>
      </c>
      <c r="L73" s="27">
        <v>7470</v>
      </c>
      <c r="M73" s="26">
        <v>67230</v>
      </c>
      <c r="N73" s="238"/>
      <c r="O73" s="25"/>
      <c r="P73" s="10">
        <v>0</v>
      </c>
      <c r="Q73" s="10">
        <v>0</v>
      </c>
      <c r="R73" s="24"/>
      <c r="S73" s="15"/>
      <c r="T73" s="16"/>
      <c r="U73" s="15"/>
    </row>
    <row r="74" spans="1:21" s="35" customFormat="1" ht="18.75" customHeight="1" x14ac:dyDescent="0.25">
      <c r="A74" s="34" t="s">
        <v>195</v>
      </c>
      <c r="B74" s="33"/>
      <c r="C74" s="12">
        <v>605</v>
      </c>
      <c r="D74" s="11">
        <v>460</v>
      </c>
      <c r="E74" s="32">
        <v>0</v>
      </c>
      <c r="F74" s="14">
        <v>430</v>
      </c>
      <c r="G74" s="14">
        <v>0</v>
      </c>
      <c r="H74" s="31">
        <v>430</v>
      </c>
      <c r="I74" s="30">
        <v>5.46</v>
      </c>
      <c r="J74" s="29">
        <v>0</v>
      </c>
      <c r="K74" s="28">
        <v>2</v>
      </c>
      <c r="L74" s="27">
        <v>7470</v>
      </c>
      <c r="M74" s="26">
        <f>3174750+P74</f>
        <v>3406800</v>
      </c>
      <c r="N74" s="238">
        <v>13.65</v>
      </c>
      <c r="O74" s="25">
        <v>17</v>
      </c>
      <c r="P74" s="10">
        <v>232050</v>
      </c>
      <c r="Q74" s="10"/>
      <c r="R74" s="24"/>
      <c r="S74" s="15"/>
      <c r="T74" s="16"/>
      <c r="U74" s="15"/>
    </row>
    <row r="75" spans="1:21" s="35" customFormat="1" ht="18.75" customHeight="1" x14ac:dyDescent="0.25">
      <c r="A75" s="13" t="s">
        <v>89</v>
      </c>
      <c r="B75" s="33" t="s">
        <v>5</v>
      </c>
      <c r="C75" s="11">
        <v>80</v>
      </c>
      <c r="D75" s="11">
        <v>95</v>
      </c>
      <c r="E75" s="40" t="s">
        <v>115</v>
      </c>
      <c r="F75" s="39">
        <v>95.5</v>
      </c>
      <c r="G75" s="39"/>
      <c r="H75" s="38">
        <v>95.5</v>
      </c>
      <c r="I75" s="30">
        <v>2.73</v>
      </c>
      <c r="J75" s="37"/>
      <c r="K75" s="28">
        <v>1</v>
      </c>
      <c r="L75" s="27">
        <v>7470</v>
      </c>
      <c r="M75" s="26">
        <v>713385</v>
      </c>
      <c r="N75" s="238"/>
      <c r="O75" s="25"/>
      <c r="P75" s="10">
        <v>0</v>
      </c>
      <c r="Q75" s="10">
        <v>0</v>
      </c>
      <c r="R75" s="24"/>
      <c r="T75" s="36"/>
    </row>
    <row r="76" spans="1:21" s="35" customFormat="1" ht="18.75" customHeight="1" x14ac:dyDescent="0.25">
      <c r="A76" s="34" t="s">
        <v>90</v>
      </c>
      <c r="B76" s="33" t="s">
        <v>5</v>
      </c>
      <c r="C76" s="12">
        <v>599</v>
      </c>
      <c r="D76" s="11">
        <v>699</v>
      </c>
      <c r="E76" s="40" t="s">
        <v>115</v>
      </c>
      <c r="F76" s="39">
        <v>585</v>
      </c>
      <c r="G76" s="39"/>
      <c r="H76" s="38">
        <v>585</v>
      </c>
      <c r="I76" s="30">
        <v>2.73</v>
      </c>
      <c r="J76" s="37"/>
      <c r="K76" s="28">
        <v>1</v>
      </c>
      <c r="L76" s="27">
        <v>7470</v>
      </c>
      <c r="M76" s="26">
        <v>4369950</v>
      </c>
      <c r="N76" s="238"/>
      <c r="O76" s="25"/>
      <c r="P76" s="10"/>
      <c r="Q76" s="10">
        <v>0</v>
      </c>
      <c r="R76" s="24"/>
      <c r="S76" s="15"/>
      <c r="T76" s="16"/>
      <c r="U76" s="15"/>
    </row>
    <row r="77" spans="1:21" s="35" customFormat="1" ht="18.75" customHeight="1" x14ac:dyDescent="0.25">
      <c r="A77" s="34" t="s">
        <v>91</v>
      </c>
      <c r="B77" s="33" t="s">
        <v>5</v>
      </c>
      <c r="C77" s="12">
        <v>18</v>
      </c>
      <c r="D77" s="43">
        <v>171</v>
      </c>
      <c r="E77" s="40" t="s">
        <v>115</v>
      </c>
      <c r="F77" s="39">
        <v>171.25</v>
      </c>
      <c r="G77" s="39"/>
      <c r="H77" s="38">
        <v>171.25</v>
      </c>
      <c r="I77" s="30">
        <v>2.73</v>
      </c>
      <c r="J77" s="37"/>
      <c r="K77" s="28">
        <v>1</v>
      </c>
      <c r="L77" s="27">
        <v>7470</v>
      </c>
      <c r="M77" s="26">
        <v>1279237.5</v>
      </c>
      <c r="N77" s="238"/>
      <c r="O77" s="25"/>
      <c r="P77" s="10">
        <v>0</v>
      </c>
      <c r="Q77" s="10">
        <v>0</v>
      </c>
      <c r="R77" s="24"/>
      <c r="S77" s="15"/>
      <c r="T77" s="16"/>
      <c r="U77" s="15"/>
    </row>
    <row r="78" spans="1:21" s="35" customFormat="1" ht="18.75" customHeight="1" x14ac:dyDescent="0.25">
      <c r="A78" s="13" t="s">
        <v>121</v>
      </c>
      <c r="B78" s="33" t="s">
        <v>5</v>
      </c>
      <c r="C78" s="11">
        <v>107</v>
      </c>
      <c r="D78" s="11">
        <v>94</v>
      </c>
      <c r="E78" s="40" t="s">
        <v>115</v>
      </c>
      <c r="F78" s="39">
        <v>94</v>
      </c>
      <c r="G78" s="39"/>
      <c r="H78" s="38">
        <v>94</v>
      </c>
      <c r="I78" s="30">
        <v>2.73</v>
      </c>
      <c r="J78" s="37"/>
      <c r="K78" s="28">
        <v>1</v>
      </c>
      <c r="L78" s="27">
        <v>7470</v>
      </c>
      <c r="M78" s="26">
        <v>702180</v>
      </c>
      <c r="N78" s="238"/>
      <c r="O78" s="25"/>
      <c r="P78" s="10">
        <v>0</v>
      </c>
      <c r="Q78" s="10">
        <v>0</v>
      </c>
      <c r="R78" s="24"/>
      <c r="T78" s="36"/>
    </row>
    <row r="79" spans="1:21" s="35" customFormat="1" ht="18.75" customHeight="1" x14ac:dyDescent="0.25">
      <c r="A79" s="13" t="s">
        <v>120</v>
      </c>
      <c r="B79" s="33" t="s">
        <v>5</v>
      </c>
      <c r="C79" s="11">
        <v>13</v>
      </c>
      <c r="D79" s="11">
        <v>9.5</v>
      </c>
      <c r="E79" s="40" t="s">
        <v>115</v>
      </c>
      <c r="F79" s="39">
        <v>9.5</v>
      </c>
      <c r="G79" s="39"/>
      <c r="H79" s="38">
        <v>9.5</v>
      </c>
      <c r="I79" s="30">
        <v>2.73</v>
      </c>
      <c r="J79" s="37"/>
      <c r="K79" s="28">
        <v>1</v>
      </c>
      <c r="L79" s="27">
        <v>7470</v>
      </c>
      <c r="M79" s="26">
        <v>70965</v>
      </c>
      <c r="N79" s="238"/>
      <c r="O79" s="25"/>
      <c r="P79" s="10">
        <v>0</v>
      </c>
      <c r="Q79" s="10">
        <v>0</v>
      </c>
      <c r="R79" s="24"/>
      <c r="T79" s="36"/>
    </row>
    <row r="80" spans="1:21" s="35" customFormat="1" ht="18.75" customHeight="1" x14ac:dyDescent="0.25">
      <c r="A80" s="34" t="s">
        <v>119</v>
      </c>
      <c r="B80" s="33"/>
      <c r="C80" s="12">
        <v>0</v>
      </c>
      <c r="D80" s="11">
        <v>0</v>
      </c>
      <c r="E80" s="40">
        <v>0</v>
      </c>
      <c r="F80" s="39">
        <v>0</v>
      </c>
      <c r="G80" s="39">
        <v>0</v>
      </c>
      <c r="H80" s="38">
        <v>0</v>
      </c>
      <c r="I80" s="30">
        <v>0</v>
      </c>
      <c r="J80" s="37">
        <v>0</v>
      </c>
      <c r="K80" s="28">
        <v>0</v>
      </c>
      <c r="L80" s="27">
        <v>0</v>
      </c>
      <c r="M80" s="26">
        <v>0</v>
      </c>
      <c r="N80" s="238">
        <v>0</v>
      </c>
      <c r="O80" s="25">
        <v>0</v>
      </c>
      <c r="P80" s="10">
        <v>0</v>
      </c>
      <c r="Q80" s="10"/>
      <c r="R80" s="24"/>
      <c r="S80" s="15"/>
      <c r="T80" s="16"/>
      <c r="U80" s="15"/>
    </row>
    <row r="81" spans="1:21" ht="18.75" customHeight="1" x14ac:dyDescent="0.25">
      <c r="A81" s="13" t="s">
        <v>118</v>
      </c>
      <c r="B81" s="33" t="s">
        <v>5</v>
      </c>
      <c r="C81" s="11">
        <v>2</v>
      </c>
      <c r="D81" s="11">
        <v>2</v>
      </c>
      <c r="E81" s="40" t="s">
        <v>115</v>
      </c>
      <c r="F81" s="39">
        <v>2</v>
      </c>
      <c r="G81" s="39"/>
      <c r="H81" s="38">
        <v>2</v>
      </c>
      <c r="I81" s="30">
        <v>2.73</v>
      </c>
      <c r="J81" s="37"/>
      <c r="K81" s="28">
        <v>1</v>
      </c>
      <c r="L81" s="27">
        <v>7470</v>
      </c>
      <c r="M81" s="26">
        <v>14940</v>
      </c>
      <c r="N81" s="238"/>
      <c r="O81" s="25"/>
      <c r="P81" s="10">
        <v>0</v>
      </c>
      <c r="Q81" s="10">
        <v>0</v>
      </c>
      <c r="R81" s="24"/>
      <c r="S81" s="35"/>
      <c r="T81" s="36"/>
      <c r="U81" s="35"/>
    </row>
    <row r="82" spans="1:21" ht="18.75" customHeight="1" x14ac:dyDescent="0.25">
      <c r="A82" s="34" t="s">
        <v>93</v>
      </c>
      <c r="B82" s="33"/>
      <c r="C82" s="12">
        <v>20</v>
      </c>
      <c r="D82" s="43">
        <v>18</v>
      </c>
      <c r="E82" s="40">
        <v>0</v>
      </c>
      <c r="F82" s="39">
        <v>18</v>
      </c>
      <c r="G82" s="39">
        <v>0</v>
      </c>
      <c r="H82" s="38">
        <v>18</v>
      </c>
      <c r="I82" s="30">
        <v>5.46</v>
      </c>
      <c r="J82" s="37">
        <v>0</v>
      </c>
      <c r="K82" s="28">
        <v>2</v>
      </c>
      <c r="L82" s="27">
        <v>7470</v>
      </c>
      <c r="M82" s="26">
        <f>112050+P82</f>
        <v>251279.99999999997</v>
      </c>
      <c r="N82" s="238">
        <v>8.19</v>
      </c>
      <c r="O82" s="25">
        <v>17</v>
      </c>
      <c r="P82" s="10">
        <v>139229.99999999997</v>
      </c>
      <c r="Q82" s="10"/>
      <c r="R82" s="24"/>
    </row>
    <row r="83" spans="1:21" ht="18.75" customHeight="1" x14ac:dyDescent="0.25">
      <c r="A83" s="34" t="s">
        <v>112</v>
      </c>
      <c r="B83" s="33" t="s">
        <v>5</v>
      </c>
      <c r="C83" s="12">
        <v>515</v>
      </c>
      <c r="D83" s="43">
        <v>814</v>
      </c>
      <c r="E83" s="40" t="s">
        <v>115</v>
      </c>
      <c r="F83" s="39">
        <v>814</v>
      </c>
      <c r="G83" s="39"/>
      <c r="H83" s="38">
        <v>814</v>
      </c>
      <c r="I83" s="30">
        <v>2.73</v>
      </c>
      <c r="J83" s="37"/>
      <c r="K83" s="28">
        <v>1</v>
      </c>
      <c r="L83" s="27">
        <v>7470</v>
      </c>
      <c r="M83" s="26">
        <v>6080580</v>
      </c>
      <c r="N83" s="238"/>
      <c r="O83" s="25"/>
      <c r="P83" s="10"/>
      <c r="Q83" s="10">
        <v>0</v>
      </c>
      <c r="R83" s="24"/>
    </row>
    <row r="84" spans="1:21" ht="18.75" customHeight="1" x14ac:dyDescent="0.25">
      <c r="A84" s="44" t="s">
        <v>94</v>
      </c>
      <c r="B84" s="33" t="s">
        <v>5</v>
      </c>
      <c r="C84" s="12">
        <v>432</v>
      </c>
      <c r="D84" s="43">
        <v>432</v>
      </c>
      <c r="E84" s="40" t="s">
        <v>115</v>
      </c>
      <c r="F84" s="39">
        <v>432</v>
      </c>
      <c r="G84" s="39"/>
      <c r="H84" s="38">
        <v>432</v>
      </c>
      <c r="I84" s="30">
        <v>2.73</v>
      </c>
      <c r="J84" s="37"/>
      <c r="K84" s="28">
        <v>1</v>
      </c>
      <c r="L84" s="27">
        <v>7470</v>
      </c>
      <c r="M84" s="26">
        <v>3227040</v>
      </c>
      <c r="N84" s="238"/>
      <c r="O84" s="25"/>
      <c r="P84" s="10">
        <v>0</v>
      </c>
      <c r="Q84" s="10">
        <v>0</v>
      </c>
      <c r="R84" s="24"/>
      <c r="S84" s="35"/>
      <c r="T84" s="36"/>
      <c r="U84" s="35"/>
    </row>
    <row r="85" spans="1:21" ht="18.75" customHeight="1" x14ac:dyDescent="0.25">
      <c r="A85" s="34" t="s">
        <v>117</v>
      </c>
      <c r="B85" s="33" t="s">
        <v>5</v>
      </c>
      <c r="C85" s="12">
        <v>120</v>
      </c>
      <c r="D85" s="43">
        <v>4.8</v>
      </c>
      <c r="E85" s="40" t="s">
        <v>115</v>
      </c>
      <c r="F85" s="39">
        <v>4.8</v>
      </c>
      <c r="G85" s="39"/>
      <c r="H85" s="38">
        <v>4.8</v>
      </c>
      <c r="I85" s="30">
        <v>2.73</v>
      </c>
      <c r="J85" s="37"/>
      <c r="K85" s="28">
        <v>1</v>
      </c>
      <c r="L85" s="27">
        <v>7470</v>
      </c>
      <c r="M85" s="26">
        <v>35856</v>
      </c>
      <c r="N85" s="238"/>
      <c r="O85" s="25"/>
      <c r="P85" s="10">
        <v>0</v>
      </c>
      <c r="Q85" s="10">
        <v>0</v>
      </c>
      <c r="R85" s="24"/>
      <c r="S85" s="35"/>
      <c r="T85" s="36"/>
      <c r="U85" s="35"/>
    </row>
    <row r="86" spans="1:21" ht="18.75" customHeight="1" x14ac:dyDescent="0.25">
      <c r="A86" s="42" t="s">
        <v>3</v>
      </c>
      <c r="B86" s="33" t="s">
        <v>5</v>
      </c>
      <c r="C86" s="11">
        <v>150</v>
      </c>
      <c r="D86" s="11">
        <v>144</v>
      </c>
      <c r="E86" s="40" t="s">
        <v>115</v>
      </c>
      <c r="F86" s="39">
        <v>50</v>
      </c>
      <c r="G86" s="39">
        <v>97</v>
      </c>
      <c r="H86" s="38">
        <v>147</v>
      </c>
      <c r="I86" s="30">
        <v>2.73</v>
      </c>
      <c r="J86" s="37">
        <v>0.27</v>
      </c>
      <c r="K86" s="28">
        <v>0.90109890109890112</v>
      </c>
      <c r="L86" s="27">
        <v>7470</v>
      </c>
      <c r="M86" s="26">
        <v>1026427.2527472528</v>
      </c>
      <c r="N86" s="238"/>
      <c r="O86" s="25"/>
      <c r="P86" s="10">
        <v>0</v>
      </c>
      <c r="Q86" s="10">
        <v>0</v>
      </c>
      <c r="R86" s="24"/>
      <c r="S86" s="35"/>
      <c r="T86" s="36"/>
      <c r="U86" s="35"/>
    </row>
    <row r="87" spans="1:21" ht="18.75" customHeight="1" x14ac:dyDescent="0.25">
      <c r="A87" s="13" t="s">
        <v>116</v>
      </c>
      <c r="B87" s="33" t="s">
        <v>5</v>
      </c>
      <c r="C87" s="41">
        <v>20</v>
      </c>
      <c r="D87" s="41">
        <v>20</v>
      </c>
      <c r="E87" s="40" t="s">
        <v>115</v>
      </c>
      <c r="F87" s="39">
        <v>20</v>
      </c>
      <c r="G87" s="39"/>
      <c r="H87" s="38">
        <v>20</v>
      </c>
      <c r="I87" s="30">
        <v>2.73</v>
      </c>
      <c r="J87" s="37"/>
      <c r="K87" s="28">
        <v>1</v>
      </c>
      <c r="L87" s="27">
        <v>7470</v>
      </c>
      <c r="M87" s="26">
        <v>149400</v>
      </c>
      <c r="N87" s="238"/>
      <c r="O87" s="25"/>
      <c r="P87" s="10">
        <v>0</v>
      </c>
      <c r="Q87" s="10">
        <v>0</v>
      </c>
      <c r="R87" s="24"/>
      <c r="S87" s="35"/>
      <c r="T87" s="36"/>
      <c r="U87" s="35"/>
    </row>
    <row r="88" spans="1:21" ht="18.75" customHeight="1" x14ac:dyDescent="0.25">
      <c r="A88" s="34" t="s">
        <v>97</v>
      </c>
      <c r="B88" s="33" t="s">
        <v>5</v>
      </c>
      <c r="C88" s="12">
        <v>4</v>
      </c>
      <c r="D88" s="11">
        <v>3.25</v>
      </c>
      <c r="E88" s="32" t="s">
        <v>114</v>
      </c>
      <c r="F88" s="14">
        <v>3.25</v>
      </c>
      <c r="G88" s="14"/>
      <c r="H88" s="31">
        <v>3.25</v>
      </c>
      <c r="I88" s="30">
        <v>2.73</v>
      </c>
      <c r="J88" s="29"/>
      <c r="K88" s="28">
        <v>1</v>
      </c>
      <c r="L88" s="27"/>
      <c r="M88" s="10">
        <v>150832.5</v>
      </c>
      <c r="N88" s="238">
        <v>8.8725000000000005</v>
      </c>
      <c r="O88" s="25">
        <v>17</v>
      </c>
      <c r="P88" s="10">
        <v>150832.5</v>
      </c>
      <c r="Q88" s="10">
        <v>289000</v>
      </c>
      <c r="R88" s="24"/>
    </row>
  </sheetData>
  <mergeCells count="23">
    <mergeCell ref="A1:R1"/>
    <mergeCell ref="A2:R2"/>
    <mergeCell ref="A3:R3"/>
    <mergeCell ref="A10:R10"/>
    <mergeCell ref="A11:A13"/>
    <mergeCell ref="C11:C13"/>
    <mergeCell ref="B11:B13"/>
    <mergeCell ref="L11:P11"/>
    <mergeCell ref="R11:R13"/>
    <mergeCell ref="D11:D13"/>
    <mergeCell ref="Q12:Q13"/>
    <mergeCell ref="A70:A71"/>
    <mergeCell ref="A57:A58"/>
    <mergeCell ref="A39:A41"/>
    <mergeCell ref="A43:A44"/>
    <mergeCell ref="A46:A48"/>
    <mergeCell ref="A52:A53"/>
    <mergeCell ref="E11:E13"/>
    <mergeCell ref="F11:H12"/>
    <mergeCell ref="I11:J12"/>
    <mergeCell ref="K11:K13"/>
    <mergeCell ref="L12:M12"/>
    <mergeCell ref="N12:P12"/>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0FEDF-5C66-D940-A5DE-FB8E865353E7}">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5" customWidth="1"/>
    <col min="2" max="3" width="14" style="257" customWidth="1"/>
    <col min="4" max="4" width="15.85546875" style="256" customWidth="1"/>
    <col min="5" max="5" width="11.85546875" style="255" customWidth="1"/>
    <col min="6" max="6" width="13.42578125" style="255" customWidth="1"/>
    <col min="7" max="7" width="13.85546875" style="254" customWidth="1"/>
    <col min="8" max="8" width="10.7109375" style="15" customWidth="1"/>
    <col min="9" max="9" width="11.42578125" style="253" customWidth="1"/>
    <col min="10" max="10" width="8.42578125" style="253" customWidth="1"/>
    <col min="11" max="11" width="14.85546875" style="252" customWidth="1"/>
    <col min="12" max="12" width="17.42578125" style="252" customWidth="1"/>
    <col min="13" max="13" width="12.7109375" style="252" customWidth="1"/>
    <col min="14" max="14" width="12.140625" style="252" customWidth="1"/>
    <col min="15" max="15" width="18.42578125" style="20" customWidth="1"/>
    <col min="16" max="16" width="21.85546875" style="15" customWidth="1"/>
    <col min="17" max="18" width="9.140625" style="15"/>
    <col min="19" max="19" width="29.28515625" style="15" customWidth="1"/>
    <col min="20" max="16384" width="9.140625" style="15"/>
  </cols>
  <sheetData>
    <row r="1" spans="1:19" ht="18.95" customHeight="1" x14ac:dyDescent="0.25">
      <c r="A1" s="782" t="s">
        <v>243</v>
      </c>
      <c r="B1" s="782"/>
      <c r="C1" s="782"/>
      <c r="D1" s="782"/>
      <c r="E1" s="782"/>
      <c r="F1" s="782"/>
      <c r="G1" s="782"/>
      <c r="H1" s="782"/>
      <c r="I1" s="782"/>
      <c r="J1" s="782"/>
      <c r="K1" s="782"/>
      <c r="L1" s="782"/>
      <c r="M1" s="782"/>
      <c r="N1" s="782"/>
      <c r="O1" s="782"/>
      <c r="P1" s="782"/>
    </row>
    <row r="2" spans="1:19" ht="18.95" customHeight="1" x14ac:dyDescent="0.25">
      <c r="A2" s="782" t="s">
        <v>242</v>
      </c>
      <c r="B2" s="782"/>
      <c r="C2" s="782"/>
      <c r="D2" s="782"/>
      <c r="E2" s="782"/>
      <c r="F2" s="782"/>
      <c r="G2" s="782"/>
      <c r="H2" s="782"/>
      <c r="I2" s="782"/>
      <c r="J2" s="782"/>
      <c r="K2" s="782"/>
      <c r="L2" s="782"/>
      <c r="M2" s="782"/>
      <c r="N2" s="782"/>
      <c r="O2" s="782"/>
      <c r="P2" s="782"/>
    </row>
    <row r="3" spans="1:19" ht="18.95" customHeight="1" x14ac:dyDescent="0.25">
      <c r="A3" s="782" t="s">
        <v>241</v>
      </c>
      <c r="B3" s="782"/>
      <c r="C3" s="782"/>
      <c r="D3" s="782"/>
      <c r="E3" s="782"/>
      <c r="F3" s="782"/>
      <c r="G3" s="782"/>
      <c r="H3" s="782"/>
      <c r="I3" s="782"/>
      <c r="J3" s="782"/>
      <c r="K3" s="782"/>
      <c r="L3" s="782"/>
      <c r="M3" s="782"/>
      <c r="N3" s="782"/>
      <c r="O3" s="782"/>
      <c r="P3" s="782"/>
    </row>
    <row r="4" spans="1:19" ht="18.95" hidden="1" customHeight="1" x14ac:dyDescent="0.25">
      <c r="A4" s="782" t="s">
        <v>240</v>
      </c>
      <c r="B4" s="782"/>
      <c r="C4" s="782"/>
      <c r="D4" s="782"/>
      <c r="E4" s="782"/>
      <c r="F4" s="782"/>
      <c r="G4" s="782"/>
      <c r="H4" s="782"/>
      <c r="I4" s="782"/>
      <c r="J4" s="782"/>
      <c r="K4" s="782"/>
      <c r="L4" s="782"/>
      <c r="M4" s="782"/>
      <c r="N4" s="782"/>
      <c r="O4" s="782"/>
      <c r="P4" s="782"/>
    </row>
    <row r="5" spans="1:19" ht="18.95" customHeight="1" thickBot="1" x14ac:dyDescent="0.3">
      <c r="A5" s="187"/>
      <c r="B5" s="290"/>
      <c r="C5" s="290"/>
      <c r="D5" s="286"/>
      <c r="E5" s="290"/>
      <c r="F5" s="290"/>
      <c r="G5" s="289"/>
      <c r="H5" s="187"/>
      <c r="I5" s="286"/>
      <c r="J5" s="286"/>
      <c r="K5" s="286"/>
      <c r="L5" s="286"/>
      <c r="M5" s="286"/>
      <c r="N5" s="286"/>
      <c r="O5" s="187"/>
      <c r="P5" s="187"/>
    </row>
    <row r="6" spans="1:19" ht="18.95" customHeight="1" x14ac:dyDescent="0.25">
      <c r="A6" s="218" t="s">
        <v>239</v>
      </c>
      <c r="B6" s="447"/>
      <c r="C6" s="447"/>
      <c r="D6" s="443"/>
      <c r="E6" s="447"/>
      <c r="F6" s="447"/>
      <c r="G6" s="446"/>
      <c r="H6" s="208"/>
      <c r="I6" s="443"/>
      <c r="J6" s="443"/>
      <c r="K6" s="445"/>
      <c r="L6" s="444" t="s">
        <v>190</v>
      </c>
      <c r="M6" s="443"/>
      <c r="N6" s="443"/>
      <c r="O6" s="208"/>
      <c r="P6" s="206"/>
    </row>
    <row r="7" spans="1:19" ht="18.95" customHeight="1" x14ac:dyDescent="0.25">
      <c r="A7" s="198"/>
      <c r="B7" s="290"/>
      <c r="C7" s="290"/>
      <c r="D7" s="286"/>
      <c r="E7" s="290"/>
      <c r="F7" s="290"/>
      <c r="G7" s="289"/>
      <c r="H7" s="187"/>
      <c r="I7" s="286"/>
      <c r="J7" s="286"/>
      <c r="K7" s="439"/>
      <c r="L7" s="442" t="s">
        <v>189</v>
      </c>
      <c r="M7" s="441"/>
      <c r="N7" s="441" t="s">
        <v>188</v>
      </c>
      <c r="O7" s="187"/>
      <c r="P7" s="185"/>
    </row>
    <row r="8" spans="1:19" ht="18.95" customHeight="1" x14ac:dyDescent="0.25">
      <c r="A8" s="198"/>
      <c r="B8" s="290"/>
      <c r="C8" s="290"/>
      <c r="D8" s="286"/>
      <c r="E8" s="290"/>
      <c r="F8" s="290"/>
      <c r="G8" s="289"/>
      <c r="H8" s="187"/>
      <c r="I8" s="440"/>
      <c r="J8" s="286"/>
      <c r="K8" s="439"/>
      <c r="L8" s="438" t="s">
        <v>187</v>
      </c>
      <c r="M8" s="437"/>
      <c r="N8" s="286"/>
      <c r="O8" s="195" t="s">
        <v>186</v>
      </c>
      <c r="P8" s="185"/>
    </row>
    <row r="9" spans="1:19" ht="18.95" customHeight="1" x14ac:dyDescent="0.25">
      <c r="A9" s="198"/>
      <c r="B9" s="290"/>
      <c r="C9" s="290"/>
      <c r="D9" s="286"/>
      <c r="E9" s="290"/>
      <c r="F9" s="290"/>
      <c r="G9" s="289"/>
      <c r="H9" s="187"/>
      <c r="I9" s="440"/>
      <c r="J9" s="286"/>
      <c r="K9" s="439"/>
      <c r="L9" s="438" t="s">
        <v>185</v>
      </c>
      <c r="M9" s="437"/>
      <c r="N9" s="286"/>
      <c r="O9" s="195" t="s">
        <v>184</v>
      </c>
      <c r="P9" s="185"/>
    </row>
    <row r="10" spans="1:19" ht="18.95" customHeight="1" thickBot="1" x14ac:dyDescent="0.3">
      <c r="A10" s="198"/>
      <c r="B10" s="290"/>
      <c r="C10" s="290"/>
      <c r="D10" s="286"/>
      <c r="E10" s="290"/>
      <c r="F10" s="290"/>
      <c r="G10" s="289"/>
      <c r="H10" s="187"/>
      <c r="I10" s="286"/>
      <c r="J10" s="286"/>
      <c r="K10" s="439"/>
      <c r="L10" s="438" t="s">
        <v>183</v>
      </c>
      <c r="M10" s="437"/>
      <c r="N10" s="286"/>
      <c r="O10" s="195" t="s">
        <v>182</v>
      </c>
      <c r="P10" s="185"/>
    </row>
    <row r="11" spans="1:19" ht="18.95" customHeight="1" thickBot="1" x14ac:dyDescent="0.3">
      <c r="A11" s="801" t="s">
        <v>181</v>
      </c>
      <c r="B11" s="802"/>
      <c r="C11" s="802"/>
      <c r="D11" s="802"/>
      <c r="E11" s="802"/>
      <c r="F11" s="802"/>
      <c r="G11" s="802"/>
      <c r="H11" s="802"/>
      <c r="I11" s="802"/>
      <c r="J11" s="802"/>
      <c r="K11" s="802"/>
      <c r="L11" s="802"/>
      <c r="M11" s="802"/>
      <c r="N11" s="802"/>
      <c r="O11" s="802"/>
      <c r="P11" s="803"/>
    </row>
    <row r="12" spans="1:19" ht="18.95" customHeight="1" x14ac:dyDescent="0.25">
      <c r="A12" s="759" t="s">
        <v>180</v>
      </c>
      <c r="B12" s="804" t="s">
        <v>178</v>
      </c>
      <c r="C12" s="804" t="s">
        <v>177</v>
      </c>
      <c r="D12" s="789" t="s">
        <v>176</v>
      </c>
      <c r="E12" s="792" t="s">
        <v>175</v>
      </c>
      <c r="F12" s="793"/>
      <c r="G12" s="794"/>
      <c r="H12" s="744" t="s">
        <v>174</v>
      </c>
      <c r="I12" s="745"/>
      <c r="J12" s="789" t="s">
        <v>173</v>
      </c>
      <c r="K12" s="798" t="s">
        <v>172</v>
      </c>
      <c r="L12" s="798"/>
      <c r="M12" s="798"/>
      <c r="N12" s="798"/>
      <c r="O12" s="798"/>
      <c r="P12" s="768" t="s">
        <v>171</v>
      </c>
    </row>
    <row r="13" spans="1:19" ht="30" customHeight="1" x14ac:dyDescent="0.25">
      <c r="A13" s="760"/>
      <c r="B13" s="805"/>
      <c r="C13" s="805"/>
      <c r="D13" s="790"/>
      <c r="E13" s="795"/>
      <c r="F13" s="796"/>
      <c r="G13" s="797"/>
      <c r="H13" s="746"/>
      <c r="I13" s="747"/>
      <c r="J13" s="790"/>
      <c r="K13" s="799" t="s">
        <v>170</v>
      </c>
      <c r="L13" s="799"/>
      <c r="M13" s="780" t="s">
        <v>238</v>
      </c>
      <c r="N13" s="780"/>
      <c r="O13" s="780"/>
      <c r="P13" s="769"/>
    </row>
    <row r="14" spans="1:19" ht="45.75" customHeight="1" thickBot="1" x14ac:dyDescent="0.3">
      <c r="A14" s="761"/>
      <c r="B14" s="806"/>
      <c r="C14" s="806"/>
      <c r="D14" s="791"/>
      <c r="E14" s="436" t="s">
        <v>168</v>
      </c>
      <c r="F14" s="436" t="s">
        <v>167</v>
      </c>
      <c r="G14" s="435" t="s">
        <v>166</v>
      </c>
      <c r="H14" s="167" t="s">
        <v>165</v>
      </c>
      <c r="I14" s="434" t="s">
        <v>164</v>
      </c>
      <c r="J14" s="791"/>
      <c r="K14" s="433" t="s">
        <v>163</v>
      </c>
      <c r="L14" s="433" t="s">
        <v>162</v>
      </c>
      <c r="M14" s="432" t="s">
        <v>161</v>
      </c>
      <c r="N14" s="432" t="s">
        <v>160</v>
      </c>
      <c r="O14" s="165" t="s">
        <v>159</v>
      </c>
      <c r="P14" s="770"/>
    </row>
    <row r="15" spans="1:19" s="65" customFormat="1" ht="19.5" customHeight="1" x14ac:dyDescent="0.25">
      <c r="A15" s="428" t="s">
        <v>158</v>
      </c>
      <c r="B15" s="431" t="s">
        <v>157</v>
      </c>
      <c r="C15" s="431" t="s">
        <v>237</v>
      </c>
      <c r="D15" s="429" t="s">
        <v>156</v>
      </c>
      <c r="E15" s="431" t="s">
        <v>155</v>
      </c>
      <c r="F15" s="431" t="s">
        <v>154</v>
      </c>
      <c r="G15" s="430" t="s">
        <v>153</v>
      </c>
      <c r="H15" s="428" t="s">
        <v>152</v>
      </c>
      <c r="I15" s="429" t="s">
        <v>151</v>
      </c>
      <c r="J15" s="429" t="s">
        <v>150</v>
      </c>
      <c r="K15" s="429" t="s">
        <v>149</v>
      </c>
      <c r="L15" s="429" t="s">
        <v>148</v>
      </c>
      <c r="M15" s="429" t="s">
        <v>147</v>
      </c>
      <c r="N15" s="429" t="s">
        <v>146</v>
      </c>
      <c r="O15" s="428" t="s">
        <v>145</v>
      </c>
      <c r="P15" s="427" t="s">
        <v>236</v>
      </c>
      <c r="S15" s="426"/>
    </row>
    <row r="16" spans="1:19" s="65" customFormat="1" ht="19.5" customHeight="1" x14ac:dyDescent="0.25">
      <c r="A16" s="425" t="s">
        <v>142</v>
      </c>
      <c r="B16" s="421" t="e">
        <f>SUM(#REF!+#REF!+B45+B55+B76)</f>
        <v>#REF!</v>
      </c>
      <c r="C16" s="421" t="e">
        <f>SUM(#REF!+#REF!+C45+C55+C76)</f>
        <v>#REF!</v>
      </c>
      <c r="D16" s="423"/>
      <c r="E16" s="421" t="e">
        <f>SUM(#REF!+#REF!+E45+E55+E76)</f>
        <v>#REF!</v>
      </c>
      <c r="F16" s="421" t="e">
        <f>SUM(#REF!+#REF!+F45+F55+F76)</f>
        <v>#REF!</v>
      </c>
      <c r="G16" s="421" t="e">
        <f>SUM(#REF!+#REF!+G45+G55+G76)</f>
        <v>#REF!</v>
      </c>
      <c r="H16" s="424"/>
      <c r="I16" s="423"/>
      <c r="J16" s="423"/>
      <c r="K16" s="421" t="e">
        <f>SUM(#REF!+#REF!+K45+K55+K76)</f>
        <v>#REF!</v>
      </c>
      <c r="L16" s="421" t="e">
        <f>SUM(#REF!+#REF!+L45+L55+L76)</f>
        <v>#REF!</v>
      </c>
      <c r="M16" s="421" t="e">
        <f>SUM(#REF!+#REF!+M45+M55+M76)</f>
        <v>#REF!</v>
      </c>
      <c r="N16" s="422" t="s">
        <v>235</v>
      </c>
      <c r="O16" s="421" t="e">
        <f>SUM(#REF!+#REF!+O45+O55+O76)</f>
        <v>#REF!</v>
      </c>
      <c r="P16" s="420"/>
      <c r="S16" s="311"/>
    </row>
    <row r="17" spans="1:19" s="65" customFormat="1" ht="19.5" customHeight="1" x14ac:dyDescent="0.25">
      <c r="A17" s="386" t="s">
        <v>234</v>
      </c>
      <c r="B17" s="410"/>
      <c r="C17" s="408"/>
      <c r="D17" s="408"/>
      <c r="E17" s="408"/>
      <c r="F17" s="408"/>
      <c r="G17" s="419"/>
      <c r="H17" s="418"/>
      <c r="I17" s="400"/>
      <c r="J17" s="400"/>
      <c r="K17" s="400"/>
      <c r="L17" s="417"/>
      <c r="M17" s="416"/>
      <c r="N17" s="415"/>
      <c r="O17" s="414"/>
      <c r="P17" s="413"/>
      <c r="S17" s="311"/>
    </row>
    <row r="18" spans="1:19" s="65" customFormat="1" ht="19.5" customHeight="1" x14ac:dyDescent="0.25">
      <c r="A18" s="412" t="s">
        <v>233</v>
      </c>
      <c r="B18" s="336"/>
      <c r="C18" s="334"/>
      <c r="D18" s="335"/>
      <c r="E18" s="334"/>
      <c r="F18" s="341"/>
      <c r="G18" s="377"/>
      <c r="H18" s="376"/>
      <c r="I18" s="331"/>
      <c r="J18" s="330"/>
      <c r="K18" s="340"/>
      <c r="L18" s="339"/>
      <c r="M18" s="375"/>
      <c r="N18" s="375"/>
      <c r="O18" s="374"/>
      <c r="P18" s="338"/>
      <c r="S18" s="311"/>
    </row>
    <row r="19" spans="1:19" s="65" customFormat="1" ht="19.5" customHeight="1" x14ac:dyDescent="0.25">
      <c r="A19" s="411" t="s">
        <v>8</v>
      </c>
      <c r="B19" s="336">
        <v>248</v>
      </c>
      <c r="C19" s="334">
        <v>496</v>
      </c>
      <c r="D19" s="335" t="s">
        <v>232</v>
      </c>
      <c r="E19" s="334"/>
      <c r="F19" s="341">
        <v>24.8</v>
      </c>
      <c r="G19" s="341">
        <f>SUM(E19:F19)</f>
        <v>24.8</v>
      </c>
      <c r="H19" s="332">
        <v>3.923411893241767</v>
      </c>
      <c r="I19" s="331">
        <v>2.95</v>
      </c>
      <c r="J19" s="330">
        <f>(H19-I19)/H19</f>
        <v>0.24810341603911318</v>
      </c>
      <c r="K19" s="340">
        <v>7470</v>
      </c>
      <c r="L19" s="339">
        <f>(G19*K19)*J19</f>
        <v>45962.646441741948</v>
      </c>
      <c r="M19" s="327">
        <f>G19*H19*J19</f>
        <v>24.140614952395815</v>
      </c>
      <c r="N19" s="327">
        <v>17</v>
      </c>
      <c r="O19" s="326">
        <f>M19*1000*17</f>
        <v>410390.45419072884</v>
      </c>
      <c r="P19" s="338"/>
      <c r="S19" s="311"/>
    </row>
    <row r="20" spans="1:19" s="65" customFormat="1" ht="19.5" customHeight="1" x14ac:dyDescent="0.25">
      <c r="A20" s="411" t="s">
        <v>25</v>
      </c>
      <c r="B20" s="336">
        <v>1619</v>
      </c>
      <c r="C20" s="334">
        <v>2615</v>
      </c>
      <c r="D20" s="335" t="s">
        <v>232</v>
      </c>
      <c r="E20" s="334"/>
      <c r="F20" s="341">
        <v>523</v>
      </c>
      <c r="G20" s="341">
        <f>SUM(E20:F20)</f>
        <v>523</v>
      </c>
      <c r="H20" s="332">
        <v>3.923411893241767</v>
      </c>
      <c r="I20" s="331">
        <v>2.95</v>
      </c>
      <c r="J20" s="330">
        <f>(H20-I20)/H20</f>
        <v>0.24810341603911318</v>
      </c>
      <c r="K20" s="340">
        <v>7470</v>
      </c>
      <c r="L20" s="339">
        <f>(G20*K20)*J20</f>
        <v>969292.90681576775</v>
      </c>
      <c r="M20" s="327">
        <f>G20*H20*J20</f>
        <v>509.09442016544403</v>
      </c>
      <c r="N20" s="327">
        <v>17</v>
      </c>
      <c r="O20" s="326">
        <f>M20*1000*17</f>
        <v>8654605.1428125482</v>
      </c>
      <c r="P20" s="338"/>
      <c r="S20" s="311"/>
    </row>
    <row r="21" spans="1:19" s="65" customFormat="1" ht="19.5" customHeight="1" x14ac:dyDescent="0.25">
      <c r="A21" s="411" t="s">
        <v>231</v>
      </c>
      <c r="B21" s="336">
        <v>300</v>
      </c>
      <c r="C21" s="334">
        <v>379</v>
      </c>
      <c r="D21" s="335">
        <v>0</v>
      </c>
      <c r="E21" s="334">
        <v>112</v>
      </c>
      <c r="F21" s="341">
        <v>267</v>
      </c>
      <c r="G21" s="341">
        <v>379</v>
      </c>
      <c r="H21" s="332">
        <v>7.846823786483534</v>
      </c>
      <c r="I21" s="331">
        <v>3.52</v>
      </c>
      <c r="J21" s="330">
        <v>1.1028217032059928</v>
      </c>
      <c r="K21" s="340">
        <v>40934</v>
      </c>
      <c r="L21" s="339">
        <v>1727136.1804473833</v>
      </c>
      <c r="M21" s="327">
        <v>522.49310753862972</v>
      </c>
      <c r="N21" s="327">
        <v>34</v>
      </c>
      <c r="O21" s="326">
        <v>8882382.8281567041</v>
      </c>
      <c r="P21" s="338"/>
      <c r="S21" s="311"/>
    </row>
    <row r="22" spans="1:19" s="65" customFormat="1" ht="19.5" customHeight="1" x14ac:dyDescent="0.25">
      <c r="A22" s="378"/>
      <c r="B22" s="336"/>
      <c r="C22" s="334"/>
      <c r="D22" s="335"/>
      <c r="E22" s="334"/>
      <c r="F22" s="341"/>
      <c r="G22" s="377"/>
      <c r="H22" s="376"/>
      <c r="I22" s="331"/>
      <c r="J22" s="330"/>
      <c r="K22" s="340"/>
      <c r="L22" s="339"/>
      <c r="M22" s="375"/>
      <c r="N22" s="375"/>
      <c r="O22" s="374"/>
      <c r="P22" s="325"/>
      <c r="S22" s="311"/>
    </row>
    <row r="23" spans="1:19" s="65" customFormat="1" ht="19.5" customHeight="1" x14ac:dyDescent="0.25">
      <c r="A23" s="386" t="s">
        <v>49</v>
      </c>
      <c r="B23" s="410"/>
      <c r="C23" s="408"/>
      <c r="D23" s="409"/>
      <c r="E23" s="408"/>
      <c r="F23" s="407"/>
      <c r="G23" s="406"/>
      <c r="H23" s="405"/>
      <c r="I23" s="404"/>
      <c r="J23" s="403"/>
      <c r="K23" s="402"/>
      <c r="L23" s="401"/>
      <c r="M23" s="400"/>
      <c r="N23" s="400"/>
      <c r="O23" s="399"/>
      <c r="P23" s="360"/>
      <c r="S23" s="311"/>
    </row>
    <row r="24" spans="1:19" s="65" customFormat="1" ht="19.5" customHeight="1" x14ac:dyDescent="0.25">
      <c r="A24" s="337" t="s">
        <v>50</v>
      </c>
      <c r="B24" s="398">
        <v>105</v>
      </c>
      <c r="C24" s="396">
        <v>126</v>
      </c>
      <c r="D24" s="397">
        <v>0</v>
      </c>
      <c r="E24" s="396">
        <v>0</v>
      </c>
      <c r="F24" s="395">
        <v>126</v>
      </c>
      <c r="G24" s="394">
        <v>126</v>
      </c>
      <c r="H24" s="393">
        <v>8.9564395218477753</v>
      </c>
      <c r="I24" s="392">
        <v>7.1400000000000006</v>
      </c>
      <c r="J24" s="391">
        <v>0.4056164321585306</v>
      </c>
      <c r="K24" s="390">
        <v>40934</v>
      </c>
      <c r="L24" s="389">
        <v>563210.73653651855</v>
      </c>
      <c r="M24" s="388">
        <v>98.155689876409824</v>
      </c>
      <c r="N24" s="388">
        <v>34</v>
      </c>
      <c r="O24" s="387">
        <v>1668646.7278989672</v>
      </c>
      <c r="P24" s="325"/>
      <c r="S24" s="311"/>
    </row>
    <row r="25" spans="1:19" s="65" customFormat="1" ht="19.5" customHeight="1" x14ac:dyDescent="0.25">
      <c r="A25" s="337" t="s">
        <v>51</v>
      </c>
      <c r="B25" s="336">
        <v>170</v>
      </c>
      <c r="C25" s="334">
        <v>210</v>
      </c>
      <c r="D25" s="335" t="s">
        <v>130</v>
      </c>
      <c r="E25" s="334">
        <v>16</v>
      </c>
      <c r="F25" s="341">
        <v>194</v>
      </c>
      <c r="G25" s="341">
        <f>SUM(E25:F25)</f>
        <v>210</v>
      </c>
      <c r="H25" s="332">
        <v>4.4782197609238876</v>
      </c>
      <c r="I25" s="331">
        <v>3.15</v>
      </c>
      <c r="J25" s="330">
        <f>(H25-I25)/H25</f>
        <v>0.29659548477582237</v>
      </c>
      <c r="K25" s="340">
        <v>7470</v>
      </c>
      <c r="L25" s="339">
        <f>(G25*K25)*J25</f>
        <v>465269.33696783253</v>
      </c>
      <c r="M25" s="327">
        <f>G25*H25*J25</f>
        <v>278.92614979401645</v>
      </c>
      <c r="N25" s="327">
        <v>17</v>
      </c>
      <c r="O25" s="326">
        <f>M25*1000*17</f>
        <v>4741744.5464982791</v>
      </c>
      <c r="P25" s="325"/>
      <c r="S25" s="311"/>
    </row>
    <row r="26" spans="1:19" s="65" customFormat="1" ht="19.5" customHeight="1" x14ac:dyDescent="0.25">
      <c r="A26" s="337" t="s">
        <v>55</v>
      </c>
      <c r="B26" s="336">
        <v>45</v>
      </c>
      <c r="C26" s="334">
        <v>261</v>
      </c>
      <c r="D26" s="335" t="s">
        <v>130</v>
      </c>
      <c r="E26" s="334">
        <v>52</v>
      </c>
      <c r="F26" s="341">
        <v>209</v>
      </c>
      <c r="G26" s="341">
        <f>SUM(E26:F26)</f>
        <v>261</v>
      </c>
      <c r="H26" s="332">
        <v>4.4782197609238876</v>
      </c>
      <c r="I26" s="331">
        <v>2.9</v>
      </c>
      <c r="J26" s="330">
        <f>(H26-I26)/H26</f>
        <v>0.35242123995234437</v>
      </c>
      <c r="K26" s="340">
        <v>7470</v>
      </c>
      <c r="L26" s="339">
        <f>(G26*K26)*J26</f>
        <v>687105.1188978873</v>
      </c>
      <c r="M26" s="327">
        <f>G26*H26*J26</f>
        <v>411.91535760113464</v>
      </c>
      <c r="N26" s="327">
        <v>17</v>
      </c>
      <c r="O26" s="326">
        <f>M26*1000*17</f>
        <v>7002561.0792192891</v>
      </c>
      <c r="P26" s="338"/>
      <c r="S26" s="311"/>
    </row>
    <row r="27" spans="1:19" s="65" customFormat="1" ht="19.5" customHeight="1" x14ac:dyDescent="0.25">
      <c r="A27" s="337" t="s">
        <v>53</v>
      </c>
      <c r="B27" s="336">
        <v>3020</v>
      </c>
      <c r="C27" s="334">
        <v>3204</v>
      </c>
      <c r="D27" s="335" t="s">
        <v>130</v>
      </c>
      <c r="E27" s="334">
        <v>5</v>
      </c>
      <c r="F27" s="341">
        <v>3199</v>
      </c>
      <c r="G27" s="341">
        <f>SUM(E27:F27)</f>
        <v>3204</v>
      </c>
      <c r="H27" s="332">
        <v>4.4782197609238876</v>
      </c>
      <c r="I27" s="331">
        <v>2.9</v>
      </c>
      <c r="J27" s="330">
        <f>(H27-I27)/H27</f>
        <v>0.35242123995234437</v>
      </c>
      <c r="K27" s="340">
        <v>7470</v>
      </c>
      <c r="L27" s="339">
        <f>(G27*K27)*J27</f>
        <v>8434807.6664706152</v>
      </c>
      <c r="M27" s="327">
        <f>G27*H27*J27</f>
        <v>5056.6161140001359</v>
      </c>
      <c r="N27" s="327">
        <v>17</v>
      </c>
      <c r="O27" s="326">
        <f>M27*1000*17</f>
        <v>85962473.938002318</v>
      </c>
      <c r="P27" s="338"/>
      <c r="S27" s="311"/>
    </row>
    <row r="28" spans="1:19" s="65" customFormat="1" ht="19.5" customHeight="1" x14ac:dyDescent="0.25">
      <c r="A28" s="337" t="s">
        <v>54</v>
      </c>
      <c r="B28" s="336">
        <v>50</v>
      </c>
      <c r="C28" s="334">
        <v>72</v>
      </c>
      <c r="D28" s="335" t="s">
        <v>130</v>
      </c>
      <c r="E28" s="334">
        <v>30</v>
      </c>
      <c r="F28" s="341">
        <v>42</v>
      </c>
      <c r="G28" s="341">
        <f>SUM(E28:F28)</f>
        <v>72</v>
      </c>
      <c r="H28" s="332">
        <v>4.4782197609238876</v>
      </c>
      <c r="I28" s="331">
        <v>2.9</v>
      </c>
      <c r="J28" s="330">
        <f>(H28-I28)/H28</f>
        <v>0.35242123995234437</v>
      </c>
      <c r="K28" s="340">
        <v>7470</v>
      </c>
      <c r="L28" s="339">
        <f>(G28*K28)*J28</f>
        <v>189546.23969596889</v>
      </c>
      <c r="M28" s="327">
        <f>G28*H28*J28</f>
        <v>113.6318227865199</v>
      </c>
      <c r="N28" s="327">
        <v>17</v>
      </c>
      <c r="O28" s="326">
        <f>M28*1000*17</f>
        <v>1931740.9873708384</v>
      </c>
      <c r="P28" s="338"/>
      <c r="S28" s="311"/>
    </row>
    <row r="29" spans="1:19" s="65" customFormat="1" ht="19.5" customHeight="1" x14ac:dyDescent="0.25">
      <c r="A29" s="337" t="s">
        <v>56</v>
      </c>
      <c r="B29" s="336">
        <v>1080</v>
      </c>
      <c r="C29" s="334">
        <v>1907</v>
      </c>
      <c r="D29" s="335" t="s">
        <v>130</v>
      </c>
      <c r="E29" s="334">
        <v>190.7</v>
      </c>
      <c r="F29" s="341">
        <v>1716.3</v>
      </c>
      <c r="G29" s="341">
        <f>SUM(E29:F29)</f>
        <v>1907</v>
      </c>
      <c r="H29" s="332">
        <v>4.4782197609238876</v>
      </c>
      <c r="I29" s="331">
        <v>2.9</v>
      </c>
      <c r="J29" s="330">
        <f>(H29-I29)/H29</f>
        <v>0.35242123995234437</v>
      </c>
      <c r="K29" s="340">
        <v>7470</v>
      </c>
      <c r="L29" s="339">
        <f>(G29*K29)*J29</f>
        <v>5020342.765280732</v>
      </c>
      <c r="M29" s="327">
        <f>G29*H29*J29</f>
        <v>3009.6650840818538</v>
      </c>
      <c r="N29" s="327">
        <v>17</v>
      </c>
      <c r="O29" s="326">
        <f>M29*1000*17</f>
        <v>51164306.429391511</v>
      </c>
      <c r="P29" s="338"/>
      <c r="S29" s="311"/>
    </row>
    <row r="30" spans="1:19" s="65" customFormat="1" ht="19.5" customHeight="1" x14ac:dyDescent="0.25">
      <c r="A30" s="378"/>
      <c r="B30" s="336"/>
      <c r="C30" s="334"/>
      <c r="D30" s="335"/>
      <c r="E30" s="334"/>
      <c r="F30" s="341"/>
      <c r="G30" s="377"/>
      <c r="H30" s="376"/>
      <c r="I30" s="331"/>
      <c r="J30" s="330"/>
      <c r="K30" s="340"/>
      <c r="L30" s="339"/>
      <c r="M30" s="375"/>
      <c r="N30" s="375"/>
      <c r="O30" s="374"/>
      <c r="P30" s="338"/>
      <c r="S30" s="311"/>
    </row>
    <row r="31" spans="1:19" s="65" customFormat="1" ht="19.5" customHeight="1" x14ac:dyDescent="0.25">
      <c r="A31" s="386" t="s">
        <v>57</v>
      </c>
      <c r="B31" s="372"/>
      <c r="C31" s="370"/>
      <c r="D31" s="371"/>
      <c r="E31" s="370"/>
      <c r="F31" s="369"/>
      <c r="G31" s="368"/>
      <c r="H31" s="367"/>
      <c r="I31" s="366"/>
      <c r="J31" s="365"/>
      <c r="K31" s="364"/>
      <c r="L31" s="363"/>
      <c r="M31" s="362"/>
      <c r="N31" s="362"/>
      <c r="O31" s="361"/>
      <c r="P31" s="360"/>
      <c r="S31" s="311"/>
    </row>
    <row r="32" spans="1:19" s="462" customFormat="1" ht="19.5" customHeight="1" x14ac:dyDescent="0.25">
      <c r="A32" s="448" t="s">
        <v>58</v>
      </c>
      <c r="B32" s="449">
        <v>708</v>
      </c>
      <c r="C32" s="450">
        <v>1496</v>
      </c>
      <c r="D32" s="451">
        <v>0</v>
      </c>
      <c r="E32" s="450">
        <v>0</v>
      </c>
      <c r="F32" s="452">
        <v>1496</v>
      </c>
      <c r="G32" s="453">
        <v>1496</v>
      </c>
      <c r="H32" s="454">
        <v>5.3219306723072153</v>
      </c>
      <c r="I32" s="455">
        <v>4</v>
      </c>
      <c r="J32" s="456">
        <v>0.49678613033646263</v>
      </c>
      <c r="K32" s="457">
        <v>51238</v>
      </c>
      <c r="L32" s="458">
        <v>11404298.416281777</v>
      </c>
      <c r="M32" s="459">
        <v>988.80414288579709</v>
      </c>
      <c r="N32" s="459">
        <v>34</v>
      </c>
      <c r="O32" s="460">
        <v>16809670.429058548</v>
      </c>
      <c r="P32" s="461"/>
      <c r="S32" s="463"/>
    </row>
    <row r="33" spans="1:19" s="462" customFormat="1" ht="19.5" customHeight="1" x14ac:dyDescent="0.25">
      <c r="A33" s="464" t="s">
        <v>107</v>
      </c>
      <c r="B33" s="449">
        <v>1032</v>
      </c>
      <c r="C33" s="450">
        <v>1164</v>
      </c>
      <c r="D33" s="451">
        <v>0</v>
      </c>
      <c r="E33" s="450">
        <v>39.590000000000003</v>
      </c>
      <c r="F33" s="452">
        <v>1098</v>
      </c>
      <c r="G33" s="452">
        <v>1137.5899999999999</v>
      </c>
      <c r="H33" s="465">
        <v>2.6609653361536076</v>
      </c>
      <c r="I33" s="455">
        <v>1.85</v>
      </c>
      <c r="J33" s="456">
        <v>1.3047635852806139</v>
      </c>
      <c r="K33" s="457">
        <v>51238</v>
      </c>
      <c r="L33" s="458">
        <v>3817550.1721071741</v>
      </c>
      <c r="M33" s="466">
        <v>898.54959245819703</v>
      </c>
      <c r="N33" s="466">
        <v>34</v>
      </c>
      <c r="O33" s="467">
        <v>15275343.07178935</v>
      </c>
      <c r="P33" s="461"/>
      <c r="S33" s="463"/>
    </row>
    <row r="34" spans="1:19" s="462" customFormat="1" ht="19.5" customHeight="1" x14ac:dyDescent="0.25">
      <c r="A34" s="464" t="s">
        <v>62</v>
      </c>
      <c r="B34" s="449">
        <v>206</v>
      </c>
      <c r="C34" s="450">
        <v>361</v>
      </c>
      <c r="D34" s="451">
        <v>0</v>
      </c>
      <c r="E34" s="450">
        <v>23</v>
      </c>
      <c r="F34" s="452">
        <v>338</v>
      </c>
      <c r="G34" s="452">
        <v>361</v>
      </c>
      <c r="H34" s="465">
        <v>5.3219306723072153</v>
      </c>
      <c r="I34" s="455">
        <v>4</v>
      </c>
      <c r="J34" s="456">
        <v>0.49678613033646263</v>
      </c>
      <c r="K34" s="457">
        <v>40934</v>
      </c>
      <c r="L34" s="458">
        <v>1812675.2195162061</v>
      </c>
      <c r="M34" s="466">
        <v>238.60848635145237</v>
      </c>
      <c r="N34" s="466">
        <v>34</v>
      </c>
      <c r="O34" s="467">
        <v>4056344.2679746901</v>
      </c>
      <c r="P34" s="461"/>
      <c r="S34" s="463"/>
    </row>
    <row r="35" spans="1:19" s="462" customFormat="1" ht="19.5" customHeight="1" x14ac:dyDescent="0.25">
      <c r="A35" s="464" t="s">
        <v>64</v>
      </c>
      <c r="B35" s="449">
        <v>650</v>
      </c>
      <c r="C35" s="450">
        <v>647</v>
      </c>
      <c r="D35" s="451">
        <v>0</v>
      </c>
      <c r="E35" s="450">
        <v>7.5</v>
      </c>
      <c r="F35" s="452">
        <v>16.5</v>
      </c>
      <c r="G35" s="452">
        <v>647</v>
      </c>
      <c r="H35" s="465">
        <v>5.3219306723072153</v>
      </c>
      <c r="I35" s="455">
        <v>3.7800000000000002</v>
      </c>
      <c r="J35" s="456">
        <v>0.5783930651682313</v>
      </c>
      <c r="K35" s="457">
        <v>51238</v>
      </c>
      <c r="L35" s="458">
        <v>1502616.6906105666</v>
      </c>
      <c r="M35" s="466">
        <v>432.85624988603405</v>
      </c>
      <c r="N35" s="466">
        <v>34</v>
      </c>
      <c r="O35" s="467">
        <v>7358556.2480625799</v>
      </c>
      <c r="P35" s="461"/>
      <c r="S35" s="463"/>
    </row>
    <row r="36" spans="1:19" s="65" customFormat="1" ht="19.5" hidden="1" customHeight="1" x14ac:dyDescent="0.25">
      <c r="A36" s="337"/>
      <c r="B36" s="336"/>
      <c r="C36" s="334"/>
      <c r="D36" s="335"/>
      <c r="E36" s="334"/>
      <c r="F36" s="333"/>
      <c r="G36" s="333"/>
      <c r="H36" s="332"/>
      <c r="I36" s="331"/>
      <c r="J36" s="330"/>
      <c r="K36" s="329"/>
      <c r="L36" s="328"/>
      <c r="M36" s="384"/>
      <c r="N36" s="384"/>
      <c r="O36" s="385"/>
      <c r="P36" s="325"/>
      <c r="S36" s="311"/>
    </row>
    <row r="37" spans="1:19" s="462" customFormat="1" ht="19.5" customHeight="1" x14ac:dyDescent="0.25">
      <c r="A37" s="464" t="s">
        <v>134</v>
      </c>
      <c r="B37" s="449">
        <v>310</v>
      </c>
      <c r="C37" s="450">
        <v>317</v>
      </c>
      <c r="D37" s="451">
        <v>0</v>
      </c>
      <c r="E37" s="450">
        <v>165.55</v>
      </c>
      <c r="F37" s="452">
        <v>122.35000000000001</v>
      </c>
      <c r="G37" s="452">
        <v>287.89999999999998</v>
      </c>
      <c r="H37" s="465">
        <v>5.3219306723072153</v>
      </c>
      <c r="I37" s="455">
        <v>2.35</v>
      </c>
      <c r="J37" s="456">
        <v>1.1168618515726718</v>
      </c>
      <c r="K37" s="457">
        <v>40934</v>
      </c>
      <c r="L37" s="458">
        <v>1890550.0947576233</v>
      </c>
      <c r="M37" s="466">
        <v>495.56192027862363</v>
      </c>
      <c r="N37" s="466">
        <v>34</v>
      </c>
      <c r="O37" s="467">
        <v>8424552.6447366029</v>
      </c>
      <c r="P37" s="461"/>
      <c r="S37" s="463"/>
    </row>
    <row r="38" spans="1:19" s="462" customFormat="1" ht="19.5" customHeight="1" x14ac:dyDescent="0.25">
      <c r="A38" s="464" t="s">
        <v>72</v>
      </c>
      <c r="B38" s="449">
        <v>1656</v>
      </c>
      <c r="C38" s="450">
        <v>1822</v>
      </c>
      <c r="D38" s="451">
        <v>0</v>
      </c>
      <c r="E38" s="450">
        <v>326.39999999999998</v>
      </c>
      <c r="F38" s="452">
        <v>1495.6</v>
      </c>
      <c r="G38" s="452">
        <v>1822</v>
      </c>
      <c r="H38" s="465">
        <v>5.3219306723072153</v>
      </c>
      <c r="I38" s="455">
        <v>3.56</v>
      </c>
      <c r="J38" s="456">
        <v>0.66213965599945179</v>
      </c>
      <c r="K38" s="457">
        <v>40934</v>
      </c>
      <c r="L38" s="458">
        <v>6141080.4535325151</v>
      </c>
      <c r="M38" s="466">
        <v>1605.1188424718732</v>
      </c>
      <c r="N38" s="466">
        <v>34</v>
      </c>
      <c r="O38" s="467">
        <v>27287020.322021846</v>
      </c>
      <c r="P38" s="461"/>
      <c r="S38" s="463"/>
    </row>
    <row r="39" spans="1:19" s="65" customFormat="1" ht="19.5" customHeight="1" x14ac:dyDescent="0.25">
      <c r="A39" s="337" t="s">
        <v>230</v>
      </c>
      <c r="B39" s="336">
        <v>300</v>
      </c>
      <c r="C39" s="334">
        <v>270</v>
      </c>
      <c r="D39" s="335" t="s">
        <v>130</v>
      </c>
      <c r="E39" s="334"/>
      <c r="F39" s="333">
        <v>270</v>
      </c>
      <c r="G39" s="333">
        <f>SUM(E39:F39)</f>
        <v>270</v>
      </c>
      <c r="H39" s="332">
        <v>2.6609653361536076</v>
      </c>
      <c r="I39" s="331">
        <v>0.15</v>
      </c>
      <c r="J39" s="330">
        <f>(H39-I39)/H39</f>
        <v>0.94362947988761736</v>
      </c>
      <c r="K39" s="329">
        <v>7470</v>
      </c>
      <c r="L39" s="328">
        <f>(G39*K39)*J39</f>
        <v>1903206.2979853353</v>
      </c>
      <c r="M39" s="384">
        <f>G39*H39*J39</f>
        <v>677.96064076147411</v>
      </c>
      <c r="N39" s="384">
        <v>17</v>
      </c>
      <c r="O39" s="385">
        <f>M39*1000*17</f>
        <v>11525330.892945061</v>
      </c>
      <c r="P39" s="325"/>
      <c r="S39" s="311"/>
    </row>
    <row r="40" spans="1:19" s="65" customFormat="1" ht="19.5" customHeight="1" x14ac:dyDescent="0.25">
      <c r="A40" s="337" t="s">
        <v>71</v>
      </c>
      <c r="B40" s="336">
        <v>150</v>
      </c>
      <c r="C40" s="334">
        <v>138</v>
      </c>
      <c r="D40" s="335" t="s">
        <v>130</v>
      </c>
      <c r="E40" s="334">
        <v>138</v>
      </c>
      <c r="F40" s="333"/>
      <c r="G40" s="333">
        <f>F40+E40</f>
        <v>138</v>
      </c>
      <c r="H40" s="332">
        <v>2.6609653361536076</v>
      </c>
      <c r="I40" s="331"/>
      <c r="J40" s="330">
        <f>(H40-I40)/H40</f>
        <v>1</v>
      </c>
      <c r="K40" s="329">
        <v>7470</v>
      </c>
      <c r="L40" s="328">
        <f>(G40*K40)*J40</f>
        <v>1030860</v>
      </c>
      <c r="M40" s="384">
        <f>G40*H40*J40</f>
        <v>367.21321638919784</v>
      </c>
      <c r="N40" s="384">
        <v>17</v>
      </c>
      <c r="O40" s="385">
        <f>M40*1000*17</f>
        <v>6242624.6786163636</v>
      </c>
      <c r="P40" s="325"/>
      <c r="S40" s="311"/>
    </row>
    <row r="41" spans="1:19" s="65" customFormat="1" ht="19.5" customHeight="1" x14ac:dyDescent="0.25">
      <c r="A41" s="337" t="s">
        <v>136</v>
      </c>
      <c r="B41" s="336"/>
      <c r="C41" s="334">
        <v>82</v>
      </c>
      <c r="D41" s="335" t="s">
        <v>129</v>
      </c>
      <c r="E41" s="334">
        <v>7</v>
      </c>
      <c r="F41" s="333">
        <f>C41-E41</f>
        <v>75</v>
      </c>
      <c r="G41" s="333">
        <f>F41+E41</f>
        <v>82</v>
      </c>
      <c r="H41" s="332">
        <v>2.6609653361536076</v>
      </c>
      <c r="I41" s="331">
        <v>2.2000000000000002</v>
      </c>
      <c r="J41" s="330">
        <f>(H41-I41)/H41</f>
        <v>0.1732323716850544</v>
      </c>
      <c r="K41" s="329">
        <v>43768</v>
      </c>
      <c r="L41" s="339">
        <f>(G41*K41)*J41</f>
        <v>621726.82440073974</v>
      </c>
      <c r="M41" s="384">
        <f>G41*H41*J41</f>
        <v>37.799157564595809</v>
      </c>
      <c r="N41" s="384">
        <v>17</v>
      </c>
      <c r="O41" s="383">
        <f>M41*1000*17</f>
        <v>642585.67859812872</v>
      </c>
      <c r="P41" s="325"/>
      <c r="S41" s="311"/>
    </row>
    <row r="42" spans="1:19" s="65" customFormat="1" ht="19.5" customHeight="1" x14ac:dyDescent="0.25">
      <c r="A42" s="337" t="s">
        <v>69</v>
      </c>
      <c r="B42" s="336">
        <v>404</v>
      </c>
      <c r="C42" s="334">
        <v>740</v>
      </c>
      <c r="D42" s="335" t="s">
        <v>130</v>
      </c>
      <c r="E42" s="334">
        <v>81.760000000000005</v>
      </c>
      <c r="F42" s="333">
        <v>661.49</v>
      </c>
      <c r="G42" s="333">
        <f>SUM(E42:F42)</f>
        <v>743.25</v>
      </c>
      <c r="H42" s="332">
        <v>2.6609653361536076</v>
      </c>
      <c r="I42" s="331">
        <v>1.85</v>
      </c>
      <c r="J42" s="330">
        <f>(H42-I42)/H42</f>
        <v>0.30476358528061392</v>
      </c>
      <c r="K42" s="329">
        <v>7470</v>
      </c>
      <c r="L42" s="328">
        <f>(G42*K42)*J42</f>
        <v>1692071.0446558278</v>
      </c>
      <c r="M42" s="384">
        <f>G42*H42*J42</f>
        <v>602.74998609616875</v>
      </c>
      <c r="N42" s="384">
        <v>17</v>
      </c>
      <c r="O42" s="385">
        <f>M42*1000*17</f>
        <v>10246749.763634868</v>
      </c>
      <c r="P42" s="325"/>
      <c r="S42" s="311"/>
    </row>
    <row r="43" spans="1:19" s="462" customFormat="1" ht="19.5" customHeight="1" x14ac:dyDescent="0.25">
      <c r="A43" s="464" t="s">
        <v>68</v>
      </c>
      <c r="B43" s="449">
        <v>70</v>
      </c>
      <c r="C43" s="449">
        <v>54</v>
      </c>
      <c r="D43" s="449">
        <v>0</v>
      </c>
      <c r="E43" s="449">
        <v>21.75</v>
      </c>
      <c r="F43" s="449">
        <v>14</v>
      </c>
      <c r="G43" s="449">
        <v>35.75</v>
      </c>
      <c r="H43" s="449">
        <v>7.9828960084608234</v>
      </c>
      <c r="I43" s="449">
        <v>1.6</v>
      </c>
      <c r="J43" s="449">
        <v>2.3987144521345849</v>
      </c>
      <c r="K43" s="449">
        <v>84702</v>
      </c>
      <c r="L43" s="449">
        <v>516203.52697868843</v>
      </c>
      <c r="M43" s="449">
        <v>56.729510767491469</v>
      </c>
      <c r="N43" s="449">
        <v>51</v>
      </c>
      <c r="O43" s="449">
        <v>964401.68304735492</v>
      </c>
      <c r="P43" s="461"/>
      <c r="S43" s="463"/>
    </row>
    <row r="44" spans="1:19" s="65" customFormat="1" ht="19.5" customHeight="1" x14ac:dyDescent="0.25">
      <c r="A44" s="337"/>
      <c r="B44" s="336"/>
      <c r="C44" s="334"/>
      <c r="D44" s="335"/>
      <c r="E44" s="334"/>
      <c r="F44" s="341"/>
      <c r="G44" s="377"/>
      <c r="H44" s="376"/>
      <c r="I44" s="331"/>
      <c r="J44" s="330"/>
      <c r="K44" s="340"/>
      <c r="L44" s="339"/>
      <c r="M44" s="375"/>
      <c r="N44" s="375"/>
      <c r="O44" s="374"/>
      <c r="P44" s="338"/>
      <c r="S44" s="311"/>
    </row>
    <row r="45" spans="1:19" s="65" customFormat="1" ht="19.5" customHeight="1" x14ac:dyDescent="0.25">
      <c r="A45" s="378" t="s">
        <v>225</v>
      </c>
      <c r="B45" s="379">
        <f>SUM(B33:B44)</f>
        <v>4778</v>
      </c>
      <c r="C45" s="379">
        <f>SUM(C33:C44)</f>
        <v>5595</v>
      </c>
      <c r="D45" s="381"/>
      <c r="E45" s="380">
        <f>SUM(E33:E44)</f>
        <v>810.55</v>
      </c>
      <c r="F45" s="380">
        <f>SUM(F33:F44)</f>
        <v>4090.9399999999996</v>
      </c>
      <c r="G45" s="380">
        <f>F45+E45</f>
        <v>4901.49</v>
      </c>
      <c r="H45" s="376"/>
      <c r="I45" s="331"/>
      <c r="J45" s="330"/>
      <c r="K45" s="379">
        <f>SUM(K33:K44)</f>
        <v>376158</v>
      </c>
      <c r="L45" s="379">
        <f>SUM(L33:L44)</f>
        <v>20928540.324544679</v>
      </c>
      <c r="M45" s="379">
        <f>SUM(M33:M44)</f>
        <v>5413.1476030251079</v>
      </c>
      <c r="N45" s="382"/>
      <c r="O45" s="379">
        <f>SUM(O33:O44)</f>
        <v>92023509.251426846</v>
      </c>
      <c r="P45" s="338"/>
      <c r="S45" s="311"/>
    </row>
    <row r="46" spans="1:19" s="65" customFormat="1" ht="19.5" customHeight="1" x14ac:dyDescent="0.25">
      <c r="A46" s="378"/>
      <c r="B46" s="336"/>
      <c r="C46" s="334"/>
      <c r="D46" s="335"/>
      <c r="E46" s="334"/>
      <c r="F46" s="341"/>
      <c r="G46" s="377"/>
      <c r="H46" s="376"/>
      <c r="I46" s="331"/>
      <c r="J46" s="330"/>
      <c r="K46" s="340"/>
      <c r="L46" s="339"/>
      <c r="M46" s="375"/>
      <c r="N46" s="375"/>
      <c r="O46" s="374"/>
      <c r="P46" s="338"/>
      <c r="S46" s="311"/>
    </row>
    <row r="47" spans="1:19" s="65" customFormat="1" ht="19.5" customHeight="1" x14ac:dyDescent="0.25">
      <c r="A47" s="373" t="s">
        <v>74</v>
      </c>
      <c r="B47" s="372"/>
      <c r="C47" s="370"/>
      <c r="D47" s="371"/>
      <c r="E47" s="370"/>
      <c r="F47" s="369"/>
      <c r="G47" s="368"/>
      <c r="H47" s="367"/>
      <c r="I47" s="366"/>
      <c r="J47" s="365"/>
      <c r="K47" s="364"/>
      <c r="L47" s="363"/>
      <c r="M47" s="362"/>
      <c r="N47" s="362"/>
      <c r="O47" s="361"/>
      <c r="P47" s="360"/>
      <c r="S47" s="311"/>
    </row>
    <row r="48" spans="1:19" s="65" customFormat="1" ht="19.5" customHeight="1" x14ac:dyDescent="0.25">
      <c r="A48" s="337" t="s">
        <v>77</v>
      </c>
      <c r="B48" s="336">
        <v>300</v>
      </c>
      <c r="C48" s="334">
        <v>381</v>
      </c>
      <c r="D48" s="335" t="s">
        <v>130</v>
      </c>
      <c r="E48" s="334">
        <v>50</v>
      </c>
      <c r="F48" s="333">
        <v>331</v>
      </c>
      <c r="G48" s="341">
        <f>SUM(E48:F48)</f>
        <v>381</v>
      </c>
      <c r="H48" s="332">
        <v>2.9581715248210361</v>
      </c>
      <c r="I48" s="331">
        <v>1.77</v>
      </c>
      <c r="J48" s="330">
        <f t="shared" ref="J48:J53" si="0">(H48-I48)/H48</f>
        <v>0.40165741399762755</v>
      </c>
      <c r="K48" s="340">
        <v>7470</v>
      </c>
      <c r="L48" s="339">
        <f t="shared" ref="L48:L53" si="1">(G48*K48)*J48</f>
        <v>1143145.1162562279</v>
      </c>
      <c r="M48" s="327">
        <f t="shared" ref="M48:M53" si="2">G48*H48*J48</f>
        <v>452.6933509568147</v>
      </c>
      <c r="N48" s="327">
        <v>17</v>
      </c>
      <c r="O48" s="326">
        <f t="shared" ref="O48:O53" si="3">M48*1000*17</f>
        <v>7695786.9662658498</v>
      </c>
      <c r="P48" s="325"/>
      <c r="S48" s="311"/>
    </row>
    <row r="49" spans="1:19" s="65" customFormat="1" ht="19.5" customHeight="1" x14ac:dyDescent="0.25">
      <c r="A49" s="337" t="s">
        <v>110</v>
      </c>
      <c r="B49" s="336">
        <v>35</v>
      </c>
      <c r="C49" s="334">
        <v>23</v>
      </c>
      <c r="D49" s="335" t="s">
        <v>226</v>
      </c>
      <c r="E49" s="334">
        <v>23</v>
      </c>
      <c r="F49" s="333"/>
      <c r="G49" s="341">
        <f>SUM(E49:F49)</f>
        <v>23</v>
      </c>
      <c r="H49" s="332">
        <v>2.9581715248210361</v>
      </c>
      <c r="I49" s="331"/>
      <c r="J49" s="330">
        <f t="shared" si="0"/>
        <v>1</v>
      </c>
      <c r="K49" s="340">
        <v>33464</v>
      </c>
      <c r="L49" s="339">
        <f t="shared" si="1"/>
        <v>769672</v>
      </c>
      <c r="M49" s="327">
        <f t="shared" si="2"/>
        <v>68.037945070883836</v>
      </c>
      <c r="N49" s="327">
        <v>17</v>
      </c>
      <c r="O49" s="326">
        <f t="shared" si="3"/>
        <v>1156645.0662050252</v>
      </c>
      <c r="P49" s="325"/>
      <c r="S49" s="311"/>
    </row>
    <row r="50" spans="1:19" s="65" customFormat="1" ht="19.5" customHeight="1" x14ac:dyDescent="0.25">
      <c r="A50" s="337" t="s">
        <v>229</v>
      </c>
      <c r="B50" s="336">
        <v>306</v>
      </c>
      <c r="C50" s="334">
        <v>350</v>
      </c>
      <c r="D50" s="335" t="s">
        <v>130</v>
      </c>
      <c r="E50" s="334"/>
      <c r="F50" s="333">
        <v>350</v>
      </c>
      <c r="G50" s="341">
        <f>SUM(E50:F50)</f>
        <v>350</v>
      </c>
      <c r="H50" s="332">
        <v>2.9581715248210361</v>
      </c>
      <c r="I50" s="331">
        <v>1.77</v>
      </c>
      <c r="J50" s="330">
        <f t="shared" si="0"/>
        <v>0.40165741399762755</v>
      </c>
      <c r="K50" s="340">
        <v>7470</v>
      </c>
      <c r="L50" s="339">
        <f t="shared" si="1"/>
        <v>1050133.3088967972</v>
      </c>
      <c r="M50" s="327">
        <f t="shared" si="2"/>
        <v>415.8600336873626</v>
      </c>
      <c r="N50" s="327">
        <v>17</v>
      </c>
      <c r="O50" s="326">
        <f t="shared" si="3"/>
        <v>7069620.5726851644</v>
      </c>
      <c r="P50" s="325"/>
      <c r="S50" s="311"/>
    </row>
    <row r="51" spans="1:19" s="65" customFormat="1" ht="19.5" customHeight="1" x14ac:dyDescent="0.25">
      <c r="A51" s="337" t="s">
        <v>83</v>
      </c>
      <c r="B51" s="336"/>
      <c r="C51" s="334">
        <v>212</v>
      </c>
      <c r="D51" s="335" t="s">
        <v>130</v>
      </c>
      <c r="E51" s="334">
        <v>25.75</v>
      </c>
      <c r="F51" s="333">
        <f>C51-E51</f>
        <v>186.25</v>
      </c>
      <c r="G51" s="333">
        <f>F51+E51</f>
        <v>212</v>
      </c>
      <c r="H51" s="332">
        <v>2.9581715248210361</v>
      </c>
      <c r="I51" s="331">
        <v>1.66</v>
      </c>
      <c r="J51" s="330">
        <f t="shared" si="0"/>
        <v>0.43884254646105186</v>
      </c>
      <c r="K51" s="329">
        <v>7470</v>
      </c>
      <c r="L51" s="328">
        <f t="shared" si="1"/>
        <v>694968.61027758021</v>
      </c>
      <c r="M51" s="327">
        <f t="shared" si="2"/>
        <v>275.21236326205968</v>
      </c>
      <c r="N51" s="327">
        <v>17</v>
      </c>
      <c r="O51" s="326">
        <f t="shared" si="3"/>
        <v>4678610.1754550152</v>
      </c>
      <c r="P51" s="325"/>
      <c r="S51" s="311"/>
    </row>
    <row r="52" spans="1:19" s="65" customFormat="1" ht="19.5" customHeight="1" x14ac:dyDescent="0.25">
      <c r="A52" s="337" t="s">
        <v>123</v>
      </c>
      <c r="B52" s="336">
        <v>25</v>
      </c>
      <c r="C52" s="334">
        <v>20</v>
      </c>
      <c r="D52" s="335" t="s">
        <v>226</v>
      </c>
      <c r="E52" s="334"/>
      <c r="F52" s="333">
        <v>20</v>
      </c>
      <c r="G52" s="341">
        <f>SUM(E52:F52)</f>
        <v>20</v>
      </c>
      <c r="H52" s="332">
        <v>2.9581715248210361</v>
      </c>
      <c r="I52" s="331">
        <v>2.37</v>
      </c>
      <c r="J52" s="330">
        <f t="shared" si="0"/>
        <v>0.19882941874258603</v>
      </c>
      <c r="K52" s="340">
        <v>33464</v>
      </c>
      <c r="L52" s="339">
        <f t="shared" si="1"/>
        <v>133072.55337603798</v>
      </c>
      <c r="M52" s="327">
        <f t="shared" si="2"/>
        <v>11.763430496420721</v>
      </c>
      <c r="N52" s="327">
        <v>17</v>
      </c>
      <c r="O52" s="326">
        <f t="shared" si="3"/>
        <v>199978.31843915224</v>
      </c>
      <c r="P52" s="325"/>
      <c r="S52" s="311"/>
    </row>
    <row r="53" spans="1:19" s="65" customFormat="1" ht="19.5" customHeight="1" x14ac:dyDescent="0.25">
      <c r="A53" s="337" t="s">
        <v>85</v>
      </c>
      <c r="B53" s="336">
        <v>508</v>
      </c>
      <c r="C53" s="334">
        <v>53</v>
      </c>
      <c r="D53" s="335" t="s">
        <v>226</v>
      </c>
      <c r="E53" s="334">
        <v>40</v>
      </c>
      <c r="F53" s="333">
        <v>108</v>
      </c>
      <c r="G53" s="341">
        <f>SUM(E53:F53)</f>
        <v>148</v>
      </c>
      <c r="H53" s="332">
        <v>2.9581715248210361</v>
      </c>
      <c r="I53" s="331">
        <v>2.37</v>
      </c>
      <c r="J53" s="330">
        <f t="shared" si="0"/>
        <v>0.19882941874258603</v>
      </c>
      <c r="K53" s="340">
        <v>33464</v>
      </c>
      <c r="L53" s="339">
        <f t="shared" si="1"/>
        <v>984736.89498268103</v>
      </c>
      <c r="M53" s="327">
        <f t="shared" si="2"/>
        <v>87.049385673513328</v>
      </c>
      <c r="N53" s="327">
        <v>17</v>
      </c>
      <c r="O53" s="326">
        <f t="shared" si="3"/>
        <v>1479839.5564497267</v>
      </c>
      <c r="P53" s="325"/>
      <c r="S53" s="311"/>
    </row>
    <row r="54" spans="1:19" s="65" customFormat="1" ht="19.5" customHeight="1" x14ac:dyDescent="0.25">
      <c r="A54" s="378"/>
      <c r="B54" s="336"/>
      <c r="C54" s="334"/>
      <c r="D54" s="335"/>
      <c r="E54" s="334"/>
      <c r="F54" s="341"/>
      <c r="G54" s="377"/>
      <c r="H54" s="376"/>
      <c r="I54" s="331"/>
      <c r="J54" s="330"/>
      <c r="K54" s="340"/>
      <c r="L54" s="339"/>
      <c r="M54" s="375"/>
      <c r="N54" s="375"/>
      <c r="O54" s="374"/>
      <c r="P54" s="338"/>
      <c r="S54" s="311"/>
    </row>
    <row r="55" spans="1:19" s="65" customFormat="1" ht="19.5" customHeight="1" x14ac:dyDescent="0.25">
      <c r="A55" s="378" t="s">
        <v>225</v>
      </c>
      <c r="B55" s="380">
        <f>SUM(B48:B54)</f>
        <v>1174</v>
      </c>
      <c r="C55" s="380">
        <f>SUM(C48:C54)</f>
        <v>1039</v>
      </c>
      <c r="D55" s="381"/>
      <c r="E55" s="380">
        <f>SUM(E48:E54)</f>
        <v>138.75</v>
      </c>
      <c r="F55" s="380">
        <f>SUM(F48:F54)</f>
        <v>995.25</v>
      </c>
      <c r="G55" s="380">
        <f>SUM(G48:G54)</f>
        <v>1134</v>
      </c>
      <c r="H55" s="376"/>
      <c r="I55" s="331"/>
      <c r="J55" s="330"/>
      <c r="K55" s="379">
        <f>SUM(K48:K54)</f>
        <v>122802</v>
      </c>
      <c r="L55" s="379">
        <f>SUM(L48:L54)</f>
        <v>4775728.4837893248</v>
      </c>
      <c r="M55" s="379">
        <f>SUM(M48:M54)</f>
        <v>1310.616509147055</v>
      </c>
      <c r="N55" s="375"/>
      <c r="O55" s="379">
        <f>SUM(O48:O54)</f>
        <v>22280480.655499931</v>
      </c>
      <c r="P55" s="338"/>
      <c r="S55" s="311"/>
    </row>
    <row r="56" spans="1:19" s="65" customFormat="1" ht="19.5" customHeight="1" x14ac:dyDescent="0.25">
      <c r="A56" s="378"/>
      <c r="B56" s="336"/>
      <c r="C56" s="334"/>
      <c r="D56" s="335"/>
      <c r="E56" s="334"/>
      <c r="F56" s="341"/>
      <c r="G56" s="377"/>
      <c r="H56" s="376"/>
      <c r="I56" s="331"/>
      <c r="J56" s="330"/>
      <c r="K56" s="340"/>
      <c r="L56" s="339"/>
      <c r="M56" s="375"/>
      <c r="N56" s="375"/>
      <c r="O56" s="374"/>
      <c r="P56" s="338"/>
      <c r="S56" s="311"/>
    </row>
    <row r="57" spans="1:19" s="65" customFormat="1" ht="19.5" customHeight="1" x14ac:dyDescent="0.25">
      <c r="A57" s="373" t="s">
        <v>86</v>
      </c>
      <c r="B57" s="372"/>
      <c r="C57" s="370"/>
      <c r="D57" s="371"/>
      <c r="E57" s="370"/>
      <c r="F57" s="369"/>
      <c r="G57" s="368"/>
      <c r="H57" s="367"/>
      <c r="I57" s="366"/>
      <c r="J57" s="365"/>
      <c r="K57" s="364"/>
      <c r="L57" s="363"/>
      <c r="M57" s="362"/>
      <c r="N57" s="362"/>
      <c r="O57" s="361"/>
      <c r="P57" s="360"/>
      <c r="S57" s="311"/>
    </row>
    <row r="58" spans="1:19" s="342" customFormat="1" ht="19.5" customHeight="1" x14ac:dyDescent="0.25">
      <c r="A58" s="359" t="s">
        <v>87</v>
      </c>
      <c r="B58" s="353">
        <v>70</v>
      </c>
      <c r="C58" s="351">
        <v>101</v>
      </c>
      <c r="D58" s="352">
        <v>0</v>
      </c>
      <c r="E58" s="351">
        <v>0</v>
      </c>
      <c r="F58" s="350">
        <v>101</v>
      </c>
      <c r="G58" s="358">
        <v>101</v>
      </c>
      <c r="H58" s="357">
        <v>5.6867980607596174</v>
      </c>
      <c r="I58" s="348">
        <v>4.08</v>
      </c>
      <c r="J58" s="347">
        <v>0.56509763265446022</v>
      </c>
      <c r="K58" s="346">
        <v>40934</v>
      </c>
      <c r="L58" s="345">
        <v>584126.74618114554</v>
      </c>
      <c r="M58" s="356">
        <v>67.46330206836069</v>
      </c>
      <c r="N58" s="356">
        <v>34</v>
      </c>
      <c r="O58" s="355">
        <v>1146876.1351621319</v>
      </c>
      <c r="P58" s="344"/>
      <c r="S58" s="343"/>
    </row>
    <row r="59" spans="1:19" s="65" customFormat="1" ht="19.5" customHeight="1" x14ac:dyDescent="0.25">
      <c r="A59" s="337" t="s">
        <v>195</v>
      </c>
      <c r="B59" s="336">
        <v>110</v>
      </c>
      <c r="C59" s="334">
        <v>122</v>
      </c>
      <c r="D59" s="335" t="s">
        <v>130</v>
      </c>
      <c r="E59" s="334">
        <v>32.25</v>
      </c>
      <c r="F59" s="341">
        <v>89.75</v>
      </c>
      <c r="G59" s="341">
        <f>SUM(E59:F59)</f>
        <v>122</v>
      </c>
      <c r="H59" s="332">
        <v>2.8433990303798087</v>
      </c>
      <c r="I59" s="331">
        <v>1.7</v>
      </c>
      <c r="J59" s="330">
        <f>(H59-I59)/H59</f>
        <v>0.40212401360602507</v>
      </c>
      <c r="K59" s="340">
        <v>7470</v>
      </c>
      <c r="L59" s="339">
        <f>(G59*K59)*J59</f>
        <v>366471.69855971489</v>
      </c>
      <c r="M59" s="327">
        <f>G59*H59*J59</f>
        <v>139.49468170633665</v>
      </c>
      <c r="N59" s="327">
        <v>17</v>
      </c>
      <c r="O59" s="326">
        <f>M59*1000*17</f>
        <v>2371409.5890077231</v>
      </c>
      <c r="P59" s="338"/>
      <c r="S59" s="311"/>
    </row>
    <row r="60" spans="1:19" s="65" customFormat="1" ht="19.5" customHeight="1" x14ac:dyDescent="0.25">
      <c r="A60" s="337" t="s">
        <v>89</v>
      </c>
      <c r="B60" s="336">
        <v>77</v>
      </c>
      <c r="C60" s="334">
        <v>80</v>
      </c>
      <c r="D60" s="335" t="s">
        <v>226</v>
      </c>
      <c r="E60" s="334">
        <v>31</v>
      </c>
      <c r="F60" s="341">
        <v>49</v>
      </c>
      <c r="G60" s="341">
        <f>SUM(E60:F60)</f>
        <v>80</v>
      </c>
      <c r="H60" s="332">
        <v>2.8433990303798087</v>
      </c>
      <c r="I60" s="331">
        <v>2.2799999999999998</v>
      </c>
      <c r="J60" s="330">
        <f>(H60-I60)/H60</f>
        <v>0.198142794718669</v>
      </c>
      <c r="K60" s="340">
        <v>33464</v>
      </c>
      <c r="L60" s="339">
        <f>(G60*K60)*J60</f>
        <v>530452.03859724314</v>
      </c>
      <c r="M60" s="327">
        <f>G60*H60*J60</f>
        <v>45.07192243038471</v>
      </c>
      <c r="N60" s="327">
        <v>17</v>
      </c>
      <c r="O60" s="326">
        <f>M60*1000*17</f>
        <v>766222.68131653999</v>
      </c>
      <c r="P60" s="338"/>
      <c r="S60" s="311"/>
    </row>
    <row r="61" spans="1:19" s="65" customFormat="1" ht="19.5" hidden="1" customHeight="1" x14ac:dyDescent="0.25">
      <c r="A61" s="337"/>
      <c r="B61" s="336"/>
      <c r="C61" s="334"/>
      <c r="D61" s="335"/>
      <c r="E61" s="334"/>
      <c r="F61" s="341"/>
      <c r="G61" s="341"/>
      <c r="H61" s="332"/>
      <c r="I61" s="331"/>
      <c r="J61" s="330"/>
      <c r="K61" s="340"/>
      <c r="L61" s="339"/>
      <c r="M61" s="327"/>
      <c r="N61" s="327"/>
      <c r="O61" s="326"/>
      <c r="P61" s="338"/>
      <c r="S61" s="311"/>
    </row>
    <row r="62" spans="1:19" s="342" customFormat="1" ht="19.5" customHeight="1" x14ac:dyDescent="0.25">
      <c r="A62" s="354" t="s">
        <v>90</v>
      </c>
      <c r="B62" s="353">
        <v>376</v>
      </c>
      <c r="C62" s="351">
        <v>361</v>
      </c>
      <c r="D62" s="352">
        <v>0</v>
      </c>
      <c r="E62" s="351">
        <v>8</v>
      </c>
      <c r="F62" s="350">
        <v>353</v>
      </c>
      <c r="G62" s="350">
        <v>361</v>
      </c>
      <c r="H62" s="349">
        <v>5.6867980607596174</v>
      </c>
      <c r="I62" s="348">
        <v>3.25</v>
      </c>
      <c r="J62" s="347">
        <v>0.8570017907174009</v>
      </c>
      <c r="K62" s="346">
        <v>40934</v>
      </c>
      <c r="L62" s="345">
        <v>1679522.589240273</v>
      </c>
      <c r="M62" s="327">
        <v>160.16704996711087</v>
      </c>
      <c r="N62" s="327">
        <v>34</v>
      </c>
      <c r="O62" s="326">
        <v>2722839.8494408848</v>
      </c>
      <c r="P62" s="344"/>
      <c r="S62" s="343"/>
    </row>
    <row r="63" spans="1:19" s="342" customFormat="1" ht="19.5" customHeight="1" x14ac:dyDescent="0.25">
      <c r="A63" s="354" t="s">
        <v>91</v>
      </c>
      <c r="B63" s="353">
        <v>467</v>
      </c>
      <c r="C63" s="351">
        <v>694</v>
      </c>
      <c r="D63" s="352">
        <v>0</v>
      </c>
      <c r="E63" s="351">
        <v>50</v>
      </c>
      <c r="F63" s="350">
        <v>644</v>
      </c>
      <c r="G63" s="350">
        <v>694</v>
      </c>
      <c r="H63" s="349">
        <v>5.6867980607596174</v>
      </c>
      <c r="I63" s="348">
        <v>3.9799999999999995</v>
      </c>
      <c r="J63" s="347">
        <v>0.60026680832469403</v>
      </c>
      <c r="K63" s="346">
        <v>40934</v>
      </c>
      <c r="L63" s="345">
        <v>3669587.9209181517</v>
      </c>
      <c r="M63" s="327">
        <v>540.05892708358738</v>
      </c>
      <c r="N63" s="327">
        <v>34</v>
      </c>
      <c r="O63" s="326">
        <v>9181001.7604209855</v>
      </c>
      <c r="P63" s="344"/>
      <c r="S63" s="343"/>
    </row>
    <row r="64" spans="1:19" s="342" customFormat="1" ht="19.5" customHeight="1" x14ac:dyDescent="0.25">
      <c r="A64" s="354" t="s">
        <v>106</v>
      </c>
      <c r="B64" s="353">
        <v>486</v>
      </c>
      <c r="C64" s="351">
        <v>546</v>
      </c>
      <c r="D64" s="352">
        <v>0</v>
      </c>
      <c r="E64" s="351">
        <v>164</v>
      </c>
      <c r="F64" s="350">
        <v>382</v>
      </c>
      <c r="G64" s="350">
        <v>546</v>
      </c>
      <c r="H64" s="349">
        <v>5.6867980607596174</v>
      </c>
      <c r="I64" s="348">
        <v>3.9799999999999995</v>
      </c>
      <c r="J64" s="347">
        <v>0.60026680832469403</v>
      </c>
      <c r="K64" s="346">
        <v>40934</v>
      </c>
      <c r="L64" s="345">
        <v>2728146.2746223658</v>
      </c>
      <c r="M64" s="327">
        <v>450.29587058737559</v>
      </c>
      <c r="N64" s="327">
        <v>34</v>
      </c>
      <c r="O64" s="326">
        <v>7655029.7999853846</v>
      </c>
      <c r="P64" s="344"/>
      <c r="S64" s="343"/>
    </row>
    <row r="65" spans="1:20" s="342" customFormat="1" ht="19.5" customHeight="1" x14ac:dyDescent="0.25">
      <c r="A65" s="354" t="s">
        <v>119</v>
      </c>
      <c r="B65" s="353">
        <v>233</v>
      </c>
      <c r="C65" s="351">
        <v>339</v>
      </c>
      <c r="D65" s="352">
        <v>0</v>
      </c>
      <c r="E65" s="351">
        <v>30</v>
      </c>
      <c r="F65" s="350">
        <v>309</v>
      </c>
      <c r="G65" s="350">
        <v>339</v>
      </c>
      <c r="H65" s="349">
        <v>5.6867980607596174</v>
      </c>
      <c r="I65" s="348">
        <v>3.53</v>
      </c>
      <c r="J65" s="347">
        <v>0.75852809884074623</v>
      </c>
      <c r="K65" s="346">
        <v>40934</v>
      </c>
      <c r="L65" s="345">
        <v>2115783.6114794421</v>
      </c>
      <c r="M65" s="327">
        <v>246.61227129875522</v>
      </c>
      <c r="N65" s="327">
        <v>34</v>
      </c>
      <c r="O65" s="326">
        <v>4192408.6120788385</v>
      </c>
      <c r="P65" s="344"/>
      <c r="S65" s="343"/>
    </row>
    <row r="66" spans="1:20" s="342" customFormat="1" ht="19.5" customHeight="1" x14ac:dyDescent="0.25">
      <c r="A66" s="354" t="s">
        <v>118</v>
      </c>
      <c r="B66" s="353">
        <v>232</v>
      </c>
      <c r="C66" s="351">
        <v>289</v>
      </c>
      <c r="D66" s="352">
        <v>0</v>
      </c>
      <c r="E66" s="351">
        <v>37.25</v>
      </c>
      <c r="F66" s="350">
        <v>251.75</v>
      </c>
      <c r="G66" s="350">
        <v>289</v>
      </c>
      <c r="H66" s="349">
        <v>5.6867980607596174</v>
      </c>
      <c r="I66" s="348">
        <v>3.9799999999999995</v>
      </c>
      <c r="J66" s="347">
        <v>0.60026680832469403</v>
      </c>
      <c r="K66" s="346">
        <v>40934</v>
      </c>
      <c r="L66" s="345">
        <v>1669636.6705762008</v>
      </c>
      <c r="M66" s="327">
        <v>202.26231977976477</v>
      </c>
      <c r="N66" s="327">
        <v>34</v>
      </c>
      <c r="O66" s="326">
        <v>3438459.4362560008</v>
      </c>
      <c r="P66" s="344"/>
      <c r="S66" s="343"/>
    </row>
    <row r="67" spans="1:20" s="342" customFormat="1" ht="19.5" customHeight="1" x14ac:dyDescent="0.25">
      <c r="A67" s="354" t="s">
        <v>92</v>
      </c>
      <c r="B67" s="353">
        <v>75</v>
      </c>
      <c r="C67" s="351">
        <v>174</v>
      </c>
      <c r="D67" s="352">
        <v>0</v>
      </c>
      <c r="E67" s="351">
        <v>129</v>
      </c>
      <c r="F67" s="350">
        <v>45</v>
      </c>
      <c r="G67" s="350">
        <v>174</v>
      </c>
      <c r="H67" s="349">
        <v>5.6867980607596174</v>
      </c>
      <c r="I67" s="348">
        <v>2.2799999999999998</v>
      </c>
      <c r="J67" s="347">
        <v>1.1981427947186689</v>
      </c>
      <c r="K67" s="346">
        <v>40934</v>
      </c>
      <c r="L67" s="345">
        <v>1257812.524123277</v>
      </c>
      <c r="M67" s="327">
        <v>380.7514312860867</v>
      </c>
      <c r="N67" s="327">
        <v>34</v>
      </c>
      <c r="O67" s="326">
        <v>6472774.3318634732</v>
      </c>
      <c r="P67" s="344"/>
      <c r="S67" s="343"/>
    </row>
    <row r="68" spans="1:20" s="65" customFormat="1" ht="19.5" customHeight="1" x14ac:dyDescent="0.25">
      <c r="A68" s="337" t="s">
        <v>112</v>
      </c>
      <c r="B68" s="336">
        <v>120</v>
      </c>
      <c r="C68" s="334">
        <v>159</v>
      </c>
      <c r="D68" s="335" t="s">
        <v>130</v>
      </c>
      <c r="E68" s="334">
        <v>54.5</v>
      </c>
      <c r="F68" s="341">
        <v>104.5</v>
      </c>
      <c r="G68" s="341">
        <f>SUM(E68:F68)</f>
        <v>159</v>
      </c>
      <c r="H68" s="332">
        <v>2.8433990303798087</v>
      </c>
      <c r="I68" s="331">
        <v>1.7</v>
      </c>
      <c r="J68" s="330">
        <f>(H68-I68)/H68</f>
        <v>0.40212401360602507</v>
      </c>
      <c r="K68" s="340">
        <v>7470</v>
      </c>
      <c r="L68" s="339">
        <f>(G68*K68)*J68</f>
        <v>477614.75468028412</v>
      </c>
      <c r="M68" s="327">
        <f>G68*H68*J68</f>
        <v>181.80044583038958</v>
      </c>
      <c r="N68" s="327">
        <v>17</v>
      </c>
      <c r="O68" s="326">
        <f>M68*1000*17</f>
        <v>3090607.5791166225</v>
      </c>
      <c r="P68" s="338"/>
      <c r="S68" s="311"/>
    </row>
    <row r="69" spans="1:20" s="65" customFormat="1" ht="19.5" customHeight="1" x14ac:dyDescent="0.25">
      <c r="A69" s="354" t="s">
        <v>94</v>
      </c>
      <c r="B69" s="353">
        <v>152</v>
      </c>
      <c r="C69" s="351">
        <v>203</v>
      </c>
      <c r="D69" s="352">
        <v>0</v>
      </c>
      <c r="E69" s="351">
        <v>27</v>
      </c>
      <c r="F69" s="350">
        <v>176</v>
      </c>
      <c r="G69" s="350">
        <v>203</v>
      </c>
      <c r="H69" s="349">
        <v>5.6867980607596174</v>
      </c>
      <c r="I69" s="348">
        <v>4.08</v>
      </c>
      <c r="J69" s="347">
        <v>0.56509763265446022</v>
      </c>
      <c r="K69" s="346">
        <v>14940</v>
      </c>
      <c r="L69" s="345">
        <v>522406.28479775187</v>
      </c>
      <c r="M69" s="327">
        <v>198.85000316710119</v>
      </c>
      <c r="N69" s="327">
        <v>34</v>
      </c>
      <c r="O69" s="326">
        <v>3380450.0538407201</v>
      </c>
      <c r="P69" s="344"/>
      <c r="Q69" s="342"/>
      <c r="R69" s="342"/>
      <c r="S69" s="343"/>
      <c r="T69" s="342"/>
    </row>
    <row r="70" spans="1:20" s="65" customFormat="1" ht="19.5" customHeight="1" x14ac:dyDescent="0.25">
      <c r="A70" s="337" t="s">
        <v>117</v>
      </c>
      <c r="B70" s="336">
        <v>60</v>
      </c>
      <c r="C70" s="334">
        <v>72</v>
      </c>
      <c r="D70" s="335" t="s">
        <v>130</v>
      </c>
      <c r="E70" s="334">
        <v>22</v>
      </c>
      <c r="F70" s="341">
        <v>50</v>
      </c>
      <c r="G70" s="341">
        <f>SUM(E70:F70)</f>
        <v>72</v>
      </c>
      <c r="H70" s="332">
        <v>2.8433990303798087</v>
      </c>
      <c r="I70" s="331">
        <v>1.7</v>
      </c>
      <c r="J70" s="330">
        <f>(H70-I70)/H70</f>
        <v>0.40212401360602507</v>
      </c>
      <c r="K70" s="340">
        <v>7470</v>
      </c>
      <c r="L70" s="339">
        <f>(G70*K70)*J70</f>
        <v>216278.37947786451</v>
      </c>
      <c r="M70" s="327">
        <f>G70*H70*J70</f>
        <v>82.324730187346219</v>
      </c>
      <c r="N70" s="327">
        <v>17</v>
      </c>
      <c r="O70" s="326">
        <f>M70*1000*17</f>
        <v>1399520.4131848856</v>
      </c>
      <c r="P70" s="338"/>
      <c r="S70" s="311"/>
    </row>
    <row r="71" spans="1:20" s="65" customFormat="1" ht="19.5" customHeight="1" x14ac:dyDescent="0.25">
      <c r="A71" s="337" t="s">
        <v>227</v>
      </c>
      <c r="B71" s="336">
        <v>28</v>
      </c>
      <c r="C71" s="334">
        <v>24</v>
      </c>
      <c r="D71" s="335" t="s">
        <v>130</v>
      </c>
      <c r="E71" s="334">
        <v>24</v>
      </c>
      <c r="F71" s="341"/>
      <c r="G71" s="341">
        <f>SUM(E71:F71)</f>
        <v>24</v>
      </c>
      <c r="H71" s="332">
        <v>2.8433990303798087</v>
      </c>
      <c r="I71" s="331"/>
      <c r="J71" s="330">
        <f>(H71-I71)/H71</f>
        <v>1</v>
      </c>
      <c r="K71" s="340">
        <v>7470</v>
      </c>
      <c r="L71" s="339">
        <f>(G71*K71)*J71</f>
        <v>179280</v>
      </c>
      <c r="M71" s="327">
        <f>G71*H71*J71</f>
        <v>68.241576729115408</v>
      </c>
      <c r="N71" s="327">
        <v>17</v>
      </c>
      <c r="O71" s="326">
        <f>M71*1000*17</f>
        <v>1160106.8043949618</v>
      </c>
      <c r="P71" s="338"/>
      <c r="S71" s="311"/>
    </row>
    <row r="72" spans="1:20" s="342" customFormat="1" ht="19.5" customHeight="1" x14ac:dyDescent="0.25">
      <c r="A72" s="337" t="s">
        <v>95</v>
      </c>
      <c r="B72" s="336">
        <v>20</v>
      </c>
      <c r="C72" s="334">
        <v>33</v>
      </c>
      <c r="D72" s="335" t="s">
        <v>226</v>
      </c>
      <c r="E72" s="334"/>
      <c r="F72" s="341">
        <v>33</v>
      </c>
      <c r="G72" s="341">
        <f>SUM(E72:F72)</f>
        <v>33</v>
      </c>
      <c r="H72" s="332">
        <v>2.8433990303798087</v>
      </c>
      <c r="I72" s="331">
        <v>2.2799999999999998</v>
      </c>
      <c r="J72" s="330">
        <f>(H72-I72)/H72</f>
        <v>0.198142794718669</v>
      </c>
      <c r="K72" s="340">
        <v>33464</v>
      </c>
      <c r="L72" s="339">
        <f>(G72*K72)*J72</f>
        <v>218811.4659213628</v>
      </c>
      <c r="M72" s="327">
        <f>G72*H72*J72</f>
        <v>18.592168002533693</v>
      </c>
      <c r="N72" s="327">
        <v>17</v>
      </c>
      <c r="O72" s="326">
        <f>M72*1000*17</f>
        <v>316066.85604307277</v>
      </c>
      <c r="P72" s="338"/>
      <c r="Q72" s="65"/>
      <c r="R72" s="65"/>
      <c r="S72" s="311"/>
      <c r="T72" s="65"/>
    </row>
    <row r="73" spans="1:20" s="342" customFormat="1" ht="19.5" customHeight="1" x14ac:dyDescent="0.25">
      <c r="A73" s="337" t="s">
        <v>3</v>
      </c>
      <c r="B73" s="336">
        <v>50</v>
      </c>
      <c r="C73" s="334">
        <v>48</v>
      </c>
      <c r="D73" s="335" t="s">
        <v>130</v>
      </c>
      <c r="E73" s="334">
        <v>16</v>
      </c>
      <c r="F73" s="341">
        <v>32</v>
      </c>
      <c r="G73" s="341">
        <f>SUM(E73:F73)</f>
        <v>48</v>
      </c>
      <c r="H73" s="332">
        <v>2.8433990303798087</v>
      </c>
      <c r="I73" s="331">
        <v>1.7</v>
      </c>
      <c r="J73" s="330">
        <f>(H73-I73)/H73</f>
        <v>0.40212401360602507</v>
      </c>
      <c r="K73" s="340">
        <v>7470</v>
      </c>
      <c r="L73" s="339">
        <f>(G73*K73)*J73</f>
        <v>144185.58631857636</v>
      </c>
      <c r="M73" s="327">
        <f>G73*H73*J73</f>
        <v>54.883153458230815</v>
      </c>
      <c r="N73" s="327">
        <v>17</v>
      </c>
      <c r="O73" s="326">
        <f>M73*1000*17</f>
        <v>933013.60878992383</v>
      </c>
      <c r="P73" s="338"/>
      <c r="Q73" s="65"/>
      <c r="R73" s="65"/>
      <c r="S73" s="311"/>
      <c r="T73" s="65"/>
    </row>
    <row r="74" spans="1:20" s="65" customFormat="1" ht="19.5" customHeight="1" x14ac:dyDescent="0.25">
      <c r="A74" s="337" t="s">
        <v>116</v>
      </c>
      <c r="B74" s="336">
        <v>305</v>
      </c>
      <c r="C74" s="334">
        <v>345</v>
      </c>
      <c r="D74" s="335">
        <v>0</v>
      </c>
      <c r="E74" s="334">
        <v>65</v>
      </c>
      <c r="F74" s="333">
        <v>278</v>
      </c>
      <c r="G74" s="333">
        <v>343</v>
      </c>
      <c r="H74" s="332">
        <v>5.6867980607596174</v>
      </c>
      <c r="I74" s="331">
        <v>1.9</v>
      </c>
      <c r="J74" s="330">
        <v>1.3317856622655575</v>
      </c>
      <c r="K74" s="329">
        <v>66928</v>
      </c>
      <c r="L74" s="328">
        <v>4507954.0825614976</v>
      </c>
      <c r="M74" s="327">
        <v>383.03586742027437</v>
      </c>
      <c r="N74" s="327">
        <v>34</v>
      </c>
      <c r="O74" s="326">
        <v>6511609.7461446645</v>
      </c>
      <c r="P74" s="325"/>
      <c r="S74" s="311"/>
    </row>
    <row r="75" spans="1:20" s="65" customFormat="1" ht="19.5" customHeight="1" x14ac:dyDescent="0.25">
      <c r="A75" s="354" t="s">
        <v>97</v>
      </c>
      <c r="B75" s="353">
        <v>27</v>
      </c>
      <c r="C75" s="351">
        <v>27</v>
      </c>
      <c r="D75" s="352">
        <v>0</v>
      </c>
      <c r="E75" s="351">
        <v>5</v>
      </c>
      <c r="F75" s="350">
        <v>22</v>
      </c>
      <c r="G75" s="350">
        <v>27</v>
      </c>
      <c r="H75" s="349">
        <v>5.6867980607596174</v>
      </c>
      <c r="I75" s="348">
        <v>2.4500000000000002</v>
      </c>
      <c r="J75" s="347">
        <v>1.1383551960792713</v>
      </c>
      <c r="K75" s="346">
        <v>40934</v>
      </c>
      <c r="L75" s="345">
        <v>139208.20219512819</v>
      </c>
      <c r="M75" s="327">
        <v>22.87177382025483</v>
      </c>
      <c r="N75" s="327">
        <v>34</v>
      </c>
      <c r="O75" s="326">
        <v>388820.15494433214</v>
      </c>
      <c r="P75" s="344"/>
      <c r="Q75" s="342"/>
      <c r="R75" s="342"/>
      <c r="S75" s="343"/>
      <c r="T75" s="342"/>
    </row>
    <row r="76" spans="1:20" s="65" customFormat="1" ht="19.5" customHeight="1" x14ac:dyDescent="0.25">
      <c r="A76" s="324" t="s">
        <v>225</v>
      </c>
      <c r="B76" s="318">
        <f>SUM(B59:B75)</f>
        <v>2818</v>
      </c>
      <c r="C76" s="318">
        <f>SUM(C59:C75)</f>
        <v>3516</v>
      </c>
      <c r="D76" s="323"/>
      <c r="E76" s="318">
        <f>SUM(E59:E75)</f>
        <v>695</v>
      </c>
      <c r="F76" s="318">
        <f>SUM(F59:F75)</f>
        <v>2819</v>
      </c>
      <c r="G76" s="318">
        <f>SUM(G59:G75)</f>
        <v>3514</v>
      </c>
      <c r="H76" s="322"/>
      <c r="I76" s="321"/>
      <c r="J76" s="320"/>
      <c r="K76" s="318">
        <f>SUM(K59:K75)</f>
        <v>472684</v>
      </c>
      <c r="L76" s="318">
        <f>SUM(L59:L75)</f>
        <v>20423152.084069133</v>
      </c>
      <c r="M76" s="318">
        <f>SUM(M59:M75)</f>
        <v>3175.3141927546476</v>
      </c>
      <c r="N76" s="319"/>
      <c r="O76" s="318">
        <f>SUM(O59:O75)</f>
        <v>53980341.276829004</v>
      </c>
      <c r="P76" s="317"/>
      <c r="S76" s="311"/>
    </row>
    <row r="77" spans="1:20" s="65" customFormat="1" ht="19.5" customHeight="1" thickBot="1" x14ac:dyDescent="0.3">
      <c r="A77" s="276"/>
      <c r="B77" s="313"/>
      <c r="C77" s="313"/>
      <c r="D77" s="316"/>
      <c r="E77" s="313"/>
      <c r="F77" s="313"/>
      <c r="G77" s="313"/>
      <c r="H77" s="315"/>
      <c r="I77" s="270"/>
      <c r="J77" s="314"/>
      <c r="K77" s="313"/>
      <c r="L77" s="313"/>
      <c r="M77" s="313"/>
      <c r="N77" s="267"/>
      <c r="O77" s="313"/>
      <c r="P77" s="312"/>
      <c r="S77" s="311"/>
    </row>
    <row r="78" spans="1:20" s="65" customFormat="1" ht="19.5" customHeight="1" x14ac:dyDescent="0.2">
      <c r="A78" s="310" t="s">
        <v>224</v>
      </c>
      <c r="B78" s="308"/>
      <c r="C78" s="308"/>
      <c r="D78" s="309"/>
      <c r="E78" s="308"/>
      <c r="F78" s="307"/>
      <c r="G78" s="306"/>
      <c r="H78" s="305"/>
      <c r="I78" s="304"/>
      <c r="J78" s="301"/>
      <c r="K78" s="303"/>
      <c r="L78" s="302"/>
      <c r="M78" s="301"/>
      <c r="N78" s="301"/>
      <c r="O78" s="300"/>
      <c r="P78" s="299"/>
    </row>
    <row r="79" spans="1:20" s="65" customFormat="1" ht="19.5" customHeight="1" x14ac:dyDescent="0.2">
      <c r="A79" s="291" t="s">
        <v>223</v>
      </c>
      <c r="B79" s="274"/>
      <c r="C79" s="274"/>
      <c r="D79" s="275"/>
      <c r="E79" s="274"/>
      <c r="F79" s="298"/>
      <c r="G79" s="297"/>
      <c r="H79" s="296"/>
      <c r="I79" s="270"/>
      <c r="J79" s="267"/>
      <c r="K79" s="295"/>
      <c r="L79" s="294"/>
      <c r="M79" s="267"/>
      <c r="N79" s="267"/>
      <c r="O79" s="293"/>
      <c r="P79" s="265"/>
    </row>
    <row r="80" spans="1:20" s="65" customFormat="1" ht="19.5" customHeight="1" x14ac:dyDescent="0.2">
      <c r="A80" s="291" t="s">
        <v>222</v>
      </c>
      <c r="B80" s="274"/>
      <c r="C80" s="274"/>
      <c r="D80" s="275"/>
      <c r="E80" s="274"/>
      <c r="F80" s="298"/>
      <c r="G80" s="297"/>
      <c r="H80" s="296"/>
      <c r="I80" s="270"/>
      <c r="J80" s="267"/>
      <c r="K80" s="295"/>
      <c r="L80" s="294"/>
      <c r="M80" s="267"/>
      <c r="N80" s="267"/>
      <c r="O80" s="293"/>
      <c r="P80" s="265"/>
    </row>
    <row r="81" spans="1:16" s="65" customFormat="1" ht="19.5" customHeight="1" x14ac:dyDescent="0.2">
      <c r="A81" s="292" t="s">
        <v>221</v>
      </c>
      <c r="B81" s="274"/>
      <c r="C81" s="274"/>
      <c r="D81" s="275"/>
      <c r="E81" s="274"/>
      <c r="F81" s="298"/>
      <c r="G81" s="297"/>
      <c r="H81" s="296"/>
      <c r="I81" s="270"/>
      <c r="J81" s="267"/>
      <c r="K81" s="295"/>
      <c r="L81" s="294"/>
      <c r="M81" s="267"/>
      <c r="N81" s="267"/>
      <c r="O81" s="293"/>
      <c r="P81" s="265"/>
    </row>
    <row r="82" spans="1:16" s="65" customFormat="1" ht="19.5" customHeight="1" x14ac:dyDescent="0.2">
      <c r="A82" s="292" t="s">
        <v>220</v>
      </c>
      <c r="B82" s="274"/>
      <c r="C82" s="274"/>
      <c r="D82" s="275"/>
      <c r="E82" s="274"/>
      <c r="F82" s="298"/>
      <c r="G82" s="297"/>
      <c r="H82" s="296"/>
      <c r="I82" s="270"/>
      <c r="J82" s="267"/>
      <c r="K82" s="295"/>
      <c r="L82" s="294"/>
      <c r="M82" s="267"/>
      <c r="N82" s="267"/>
      <c r="O82" s="293"/>
      <c r="P82" s="265"/>
    </row>
    <row r="83" spans="1:16" s="65" customFormat="1" ht="19.5" customHeight="1" x14ac:dyDescent="0.2">
      <c r="A83" s="292" t="s">
        <v>219</v>
      </c>
      <c r="B83" s="274"/>
      <c r="C83" s="274"/>
      <c r="D83" s="275"/>
      <c r="E83" s="274"/>
      <c r="F83" s="298"/>
      <c r="G83" s="297"/>
      <c r="H83" s="296"/>
      <c r="I83" s="270"/>
      <c r="J83" s="267"/>
      <c r="K83" s="295"/>
      <c r="L83" s="294"/>
      <c r="M83" s="267"/>
      <c r="N83" s="267"/>
      <c r="O83" s="293"/>
      <c r="P83" s="265"/>
    </row>
    <row r="84" spans="1:16" s="65" customFormat="1" ht="19.5" customHeight="1" x14ac:dyDescent="0.2">
      <c r="A84" s="292" t="s">
        <v>218</v>
      </c>
      <c r="B84" s="274"/>
      <c r="C84" s="274"/>
      <c r="D84" s="275"/>
      <c r="E84" s="274"/>
      <c r="F84" s="298"/>
      <c r="G84" s="297"/>
      <c r="H84" s="296"/>
      <c r="I84" s="270"/>
      <c r="J84" s="267"/>
      <c r="K84" s="295"/>
      <c r="L84" s="294"/>
      <c r="M84" s="267"/>
      <c r="N84" s="267"/>
      <c r="O84" s="293"/>
      <c r="P84" s="265"/>
    </row>
    <row r="85" spans="1:16" s="65" customFormat="1" ht="19.5" customHeight="1" x14ac:dyDescent="0.2">
      <c r="A85" s="292" t="s">
        <v>217</v>
      </c>
      <c r="B85" s="274"/>
      <c r="C85" s="274"/>
      <c r="D85" s="275"/>
      <c r="E85" s="274"/>
      <c r="F85" s="298"/>
      <c r="G85" s="297"/>
      <c r="H85" s="296"/>
      <c r="I85" s="270"/>
      <c r="J85" s="267"/>
      <c r="K85" s="295"/>
      <c r="L85" s="294"/>
      <c r="M85" s="267"/>
      <c r="N85" s="267"/>
      <c r="O85" s="293"/>
      <c r="P85" s="265"/>
    </row>
    <row r="86" spans="1:16" s="65" customFormat="1" ht="19.5" customHeight="1" x14ac:dyDescent="0.2">
      <c r="A86" s="292" t="s">
        <v>216</v>
      </c>
      <c r="B86" s="274"/>
      <c r="C86" s="274"/>
      <c r="D86" s="275"/>
      <c r="E86" s="274"/>
      <c r="F86" s="298"/>
      <c r="G86" s="297"/>
      <c r="H86" s="296"/>
      <c r="I86" s="270"/>
      <c r="J86" s="267"/>
      <c r="K86" s="295"/>
      <c r="L86" s="294"/>
      <c r="M86" s="267"/>
      <c r="N86" s="267"/>
      <c r="O86" s="293"/>
      <c r="P86" s="265"/>
    </row>
    <row r="87" spans="1:16" s="65" customFormat="1" ht="19.5" customHeight="1" x14ac:dyDescent="0.2">
      <c r="A87" s="291"/>
      <c r="B87" s="274"/>
      <c r="C87" s="274"/>
      <c r="D87" s="275"/>
      <c r="E87" s="274"/>
      <c r="F87" s="298"/>
      <c r="G87" s="297"/>
      <c r="H87" s="296"/>
      <c r="I87" s="270"/>
      <c r="J87" s="267"/>
      <c r="K87" s="295"/>
      <c r="L87" s="294"/>
      <c r="M87" s="267"/>
      <c r="N87" s="267"/>
      <c r="O87" s="293"/>
      <c r="P87" s="265"/>
    </row>
    <row r="88" spans="1:16" s="65" customFormat="1" ht="19.5" customHeight="1" x14ac:dyDescent="0.25">
      <c r="A88" s="291" t="s">
        <v>215</v>
      </c>
      <c r="B88" s="283"/>
      <c r="C88" s="283"/>
      <c r="D88" s="286"/>
      <c r="E88" s="290"/>
      <c r="F88" s="290"/>
      <c r="G88" s="289"/>
      <c r="H88" s="187"/>
      <c r="I88" s="286"/>
      <c r="J88" s="286"/>
      <c r="K88" s="288"/>
      <c r="L88" s="287"/>
      <c r="M88" s="287"/>
      <c r="N88" s="286"/>
      <c r="O88" s="285"/>
      <c r="P88" s="280"/>
    </row>
    <row r="89" spans="1:16" s="65" customFormat="1" ht="19.5" customHeight="1" x14ac:dyDescent="0.25">
      <c r="A89" s="292" t="s">
        <v>214</v>
      </c>
      <c r="B89" s="283"/>
      <c r="C89" s="283"/>
      <c r="D89" s="286"/>
      <c r="E89" s="290"/>
      <c r="F89" s="290"/>
      <c r="G89" s="289"/>
      <c r="H89" s="187"/>
      <c r="I89" s="286"/>
      <c r="J89" s="286"/>
      <c r="K89" s="288"/>
      <c r="L89" s="287"/>
      <c r="M89" s="287"/>
      <c r="N89" s="286"/>
      <c r="O89" s="285"/>
      <c r="P89" s="280"/>
    </row>
    <row r="90" spans="1:16" s="65" customFormat="1" ht="19.5" customHeight="1" x14ac:dyDescent="0.25">
      <c r="A90" s="292" t="s">
        <v>213</v>
      </c>
      <c r="B90" s="283"/>
      <c r="C90" s="283"/>
      <c r="D90" s="286"/>
      <c r="E90" s="290"/>
      <c r="F90" s="290"/>
      <c r="G90" s="289"/>
      <c r="H90" s="187"/>
      <c r="I90" s="286"/>
      <c r="J90" s="286"/>
      <c r="K90" s="288"/>
      <c r="L90" s="287"/>
      <c r="M90" s="287"/>
      <c r="N90" s="286"/>
      <c r="O90" s="285"/>
      <c r="P90" s="280"/>
    </row>
    <row r="91" spans="1:16" s="65" customFormat="1" ht="19.5" customHeight="1" x14ac:dyDescent="0.25">
      <c r="A91" s="292" t="s">
        <v>212</v>
      </c>
      <c r="B91" s="283"/>
      <c r="C91" s="283"/>
      <c r="D91" s="286"/>
      <c r="E91" s="290"/>
      <c r="F91" s="290"/>
      <c r="G91" s="289"/>
      <c r="H91" s="187"/>
      <c r="I91" s="286"/>
      <c r="J91" s="286"/>
      <c r="K91" s="288"/>
      <c r="L91" s="287"/>
      <c r="M91" s="287"/>
      <c r="N91" s="286"/>
      <c r="O91" s="285"/>
      <c r="P91" s="280"/>
    </row>
    <row r="92" spans="1:16" s="65" customFormat="1" ht="19.5" customHeight="1" x14ac:dyDescent="0.25">
      <c r="A92" s="292" t="s">
        <v>211</v>
      </c>
      <c r="B92" s="283"/>
      <c r="C92" s="283"/>
      <c r="D92" s="286"/>
      <c r="E92" s="290"/>
      <c r="F92" s="290"/>
      <c r="G92" s="289"/>
      <c r="H92" s="187"/>
      <c r="I92" s="286"/>
      <c r="J92" s="286"/>
      <c r="K92" s="288"/>
      <c r="L92" s="287"/>
      <c r="M92" s="287"/>
      <c r="N92" s="286"/>
      <c r="O92" s="285"/>
      <c r="P92" s="280"/>
    </row>
    <row r="93" spans="1:16" s="65" customFormat="1" ht="19.5" customHeight="1" x14ac:dyDescent="0.25">
      <c r="A93" s="292" t="s">
        <v>210</v>
      </c>
      <c r="B93" s="283"/>
      <c r="C93" s="283"/>
      <c r="D93" s="286"/>
      <c r="E93" s="290"/>
      <c r="F93" s="290"/>
      <c r="G93" s="289"/>
      <c r="H93" s="187"/>
      <c r="I93" s="286"/>
      <c r="J93" s="286"/>
      <c r="K93" s="288"/>
      <c r="L93" s="287"/>
      <c r="M93" s="287"/>
      <c r="N93" s="286"/>
      <c r="O93" s="285"/>
      <c r="P93" s="280"/>
    </row>
    <row r="94" spans="1:16" s="65" customFormat="1" ht="19.5" customHeight="1" x14ac:dyDescent="0.25">
      <c r="A94" s="292" t="s">
        <v>210</v>
      </c>
      <c r="B94" s="283"/>
      <c r="C94" s="283"/>
      <c r="D94" s="286"/>
      <c r="E94" s="290"/>
      <c r="F94" s="290"/>
      <c r="G94" s="289"/>
      <c r="H94" s="187"/>
      <c r="I94" s="286"/>
      <c r="J94" s="286"/>
      <c r="K94" s="288"/>
      <c r="L94" s="287"/>
      <c r="M94" s="287"/>
      <c r="N94" s="286"/>
      <c r="O94" s="285"/>
      <c r="P94" s="280"/>
    </row>
    <row r="95" spans="1:16" s="65" customFormat="1" ht="19.5" customHeight="1" x14ac:dyDescent="0.25">
      <c r="A95" s="292" t="s">
        <v>204</v>
      </c>
      <c r="B95" s="283"/>
      <c r="C95" s="283"/>
      <c r="D95" s="286"/>
      <c r="E95" s="290"/>
      <c r="F95" s="290"/>
      <c r="G95" s="289"/>
      <c r="H95" s="187"/>
      <c r="I95" s="286"/>
      <c r="J95" s="286"/>
      <c r="K95" s="288"/>
      <c r="L95" s="287"/>
      <c r="M95" s="287"/>
      <c r="N95" s="286"/>
      <c r="O95" s="285"/>
      <c r="P95" s="280"/>
    </row>
    <row r="96" spans="1:16" s="65" customFormat="1" ht="19.5" customHeight="1" x14ac:dyDescent="0.25">
      <c r="A96" s="292" t="s">
        <v>209</v>
      </c>
      <c r="B96" s="283"/>
      <c r="C96" s="283"/>
      <c r="D96" s="286"/>
      <c r="E96" s="290"/>
      <c r="F96" s="290"/>
      <c r="G96" s="289"/>
      <c r="H96" s="187"/>
      <c r="I96" s="286"/>
      <c r="J96" s="286"/>
      <c r="K96" s="288"/>
      <c r="L96" s="287"/>
      <c r="M96" s="287"/>
      <c r="N96" s="286"/>
      <c r="O96" s="285"/>
      <c r="P96" s="280"/>
    </row>
    <row r="97" spans="1:16" s="65" customFormat="1" ht="19.5" customHeight="1" x14ac:dyDescent="0.25">
      <c r="A97" s="292" t="s">
        <v>208</v>
      </c>
      <c r="B97" s="283"/>
      <c r="C97" s="283"/>
      <c r="D97" s="286"/>
      <c r="E97" s="290"/>
      <c r="F97" s="290"/>
      <c r="G97" s="289"/>
      <c r="H97" s="187"/>
      <c r="I97" s="286"/>
      <c r="J97" s="286"/>
      <c r="K97" s="288"/>
      <c r="L97" s="287"/>
      <c r="M97" s="287"/>
      <c r="N97" s="286"/>
      <c r="O97" s="285"/>
      <c r="P97" s="280"/>
    </row>
    <row r="98" spans="1:16" s="65" customFormat="1" ht="19.5" customHeight="1" x14ac:dyDescent="0.25">
      <c r="A98" s="291"/>
      <c r="B98" s="283"/>
      <c r="C98" s="283"/>
      <c r="D98" s="286"/>
      <c r="E98" s="290"/>
      <c r="F98" s="290"/>
      <c r="G98" s="289"/>
      <c r="H98" s="187"/>
      <c r="I98" s="286"/>
      <c r="J98" s="286"/>
      <c r="K98" s="288"/>
      <c r="L98" s="287"/>
      <c r="M98" s="287"/>
      <c r="N98" s="286"/>
      <c r="O98" s="285"/>
      <c r="P98" s="280"/>
    </row>
    <row r="99" spans="1:16" s="65" customFormat="1" ht="19.5" customHeight="1" x14ac:dyDescent="0.25">
      <c r="A99" s="291" t="s">
        <v>207</v>
      </c>
      <c r="B99" s="283"/>
      <c r="C99" s="283"/>
      <c r="D99" s="286"/>
      <c r="E99" s="290"/>
      <c r="F99" s="290"/>
      <c r="G99" s="289"/>
      <c r="H99" s="187"/>
      <c r="I99" s="286"/>
      <c r="J99" s="286"/>
      <c r="K99" s="288"/>
      <c r="L99" s="287"/>
      <c r="M99" s="287"/>
      <c r="N99" s="286"/>
      <c r="O99" s="285"/>
      <c r="P99" s="280"/>
    </row>
    <row r="100" spans="1:16" s="65" customFormat="1" ht="19.5" customHeight="1" x14ac:dyDescent="0.25">
      <c r="A100" s="292" t="s">
        <v>206</v>
      </c>
      <c r="B100" s="283"/>
      <c r="C100" s="283"/>
      <c r="D100" s="286"/>
      <c r="E100" s="290"/>
      <c r="F100" s="290"/>
      <c r="G100" s="289"/>
      <c r="H100" s="187"/>
      <c r="I100" s="286"/>
      <c r="J100" s="286"/>
      <c r="K100" s="288"/>
      <c r="L100" s="287"/>
      <c r="M100" s="287"/>
      <c r="N100" s="286"/>
      <c r="O100" s="285"/>
      <c r="P100" s="280"/>
    </row>
    <row r="101" spans="1:16" s="65" customFormat="1" ht="19.5" customHeight="1" x14ac:dyDescent="0.25">
      <c r="A101" s="292" t="s">
        <v>205</v>
      </c>
      <c r="B101" s="283"/>
      <c r="C101" s="283"/>
      <c r="D101" s="286"/>
      <c r="E101" s="290"/>
      <c r="F101" s="290"/>
      <c r="G101" s="289"/>
      <c r="H101" s="187"/>
      <c r="I101" s="286"/>
      <c r="J101" s="286"/>
      <c r="K101" s="288"/>
      <c r="L101" s="287"/>
      <c r="M101" s="287"/>
      <c r="N101" s="286"/>
      <c r="O101" s="285"/>
      <c r="P101" s="280"/>
    </row>
    <row r="102" spans="1:16" s="65" customFormat="1" ht="19.5" customHeight="1" x14ac:dyDescent="0.25">
      <c r="A102" s="292" t="s">
        <v>204</v>
      </c>
      <c r="B102" s="283"/>
      <c r="C102" s="283"/>
      <c r="D102" s="286"/>
      <c r="E102" s="290"/>
      <c r="F102" s="290"/>
      <c r="G102" s="289"/>
      <c r="H102" s="187"/>
      <c r="I102" s="286"/>
      <c r="J102" s="286"/>
      <c r="K102" s="288"/>
      <c r="L102" s="287"/>
      <c r="M102" s="287"/>
      <c r="N102" s="286"/>
      <c r="O102" s="285"/>
      <c r="P102" s="280"/>
    </row>
    <row r="103" spans="1:16" s="65" customFormat="1" ht="19.5" customHeight="1" x14ac:dyDescent="0.25">
      <c r="A103" s="292" t="s">
        <v>203</v>
      </c>
      <c r="B103" s="283"/>
      <c r="C103" s="283"/>
      <c r="D103" s="286"/>
      <c r="E103" s="290"/>
      <c r="F103" s="290"/>
      <c r="G103" s="289"/>
      <c r="H103" s="187"/>
      <c r="I103" s="286"/>
      <c r="J103" s="286"/>
      <c r="K103" s="288"/>
      <c r="L103" s="287"/>
      <c r="M103" s="287"/>
      <c r="N103" s="286"/>
      <c r="O103" s="285"/>
      <c r="P103" s="280"/>
    </row>
    <row r="104" spans="1:16" s="65" customFormat="1" ht="19.5" customHeight="1" x14ac:dyDescent="0.25">
      <c r="A104" s="292"/>
      <c r="B104" s="283"/>
      <c r="C104" s="283"/>
      <c r="D104" s="286"/>
      <c r="E104" s="290"/>
      <c r="F104" s="290"/>
      <c r="G104" s="289"/>
      <c r="H104" s="187"/>
      <c r="I104" s="286"/>
      <c r="J104" s="286"/>
      <c r="K104" s="288"/>
      <c r="L104" s="287"/>
      <c r="M104" s="287"/>
      <c r="N104" s="286"/>
      <c r="O104" s="285"/>
      <c r="P104" s="280"/>
    </row>
    <row r="105" spans="1:16" s="65" customFormat="1" ht="19.5" customHeight="1" x14ac:dyDescent="0.25">
      <c r="A105" s="292"/>
      <c r="B105" s="283"/>
      <c r="C105" s="283"/>
      <c r="D105" s="286"/>
      <c r="E105" s="290"/>
      <c r="F105" s="290"/>
      <c r="G105" s="289"/>
      <c r="H105" s="187"/>
      <c r="I105" s="286"/>
      <c r="J105" s="286"/>
      <c r="K105" s="288"/>
      <c r="L105" s="287"/>
      <c r="M105" s="287"/>
      <c r="N105" s="286"/>
      <c r="O105" s="285"/>
      <c r="P105" s="280"/>
    </row>
    <row r="106" spans="1:16" s="65" customFormat="1" ht="19.5" customHeight="1" x14ac:dyDescent="0.25">
      <c r="A106" s="291"/>
      <c r="B106" s="283"/>
      <c r="C106" s="283"/>
      <c r="D106" s="286"/>
      <c r="E106" s="290"/>
      <c r="F106" s="290"/>
      <c r="G106" s="289"/>
      <c r="H106" s="187"/>
      <c r="I106" s="286"/>
      <c r="J106" s="286"/>
      <c r="K106" s="288"/>
      <c r="L106" s="287"/>
      <c r="M106" s="287"/>
      <c r="N106" s="286"/>
      <c r="O106" s="285"/>
      <c r="P106" s="280"/>
    </row>
    <row r="107" spans="1:16" s="65" customFormat="1" ht="19.5" customHeight="1" x14ac:dyDescent="0.25">
      <c r="A107" s="291"/>
      <c r="B107" s="283"/>
      <c r="C107" s="283"/>
      <c r="D107" s="286"/>
      <c r="E107" s="290"/>
      <c r="F107" s="290"/>
      <c r="G107" s="289"/>
      <c r="H107" s="187"/>
      <c r="I107" s="286"/>
      <c r="J107" s="286"/>
      <c r="K107" s="288"/>
      <c r="L107" s="287"/>
      <c r="M107" s="287"/>
      <c r="N107" s="286"/>
      <c r="O107" s="285"/>
      <c r="P107" s="280"/>
    </row>
    <row r="108" spans="1:16" s="65" customFormat="1" ht="19.5" customHeight="1" x14ac:dyDescent="0.25">
      <c r="A108" s="291"/>
      <c r="B108" s="283"/>
      <c r="C108" s="283"/>
      <c r="D108" s="286"/>
      <c r="E108" s="290"/>
      <c r="F108" s="290"/>
      <c r="G108" s="289"/>
      <c r="H108" s="187"/>
      <c r="I108" s="286"/>
      <c r="J108" s="286"/>
      <c r="K108" s="288"/>
      <c r="L108" s="287"/>
      <c r="M108" s="287"/>
      <c r="N108" s="286"/>
      <c r="O108" s="285"/>
      <c r="P108" s="280"/>
    </row>
    <row r="109" spans="1:16" s="65" customFormat="1" ht="19.5" customHeight="1" x14ac:dyDescent="0.25">
      <c r="A109" s="291"/>
      <c r="B109" s="283"/>
      <c r="C109" s="283"/>
      <c r="D109" s="286"/>
      <c r="E109" s="290"/>
      <c r="F109" s="290"/>
      <c r="G109" s="289"/>
      <c r="H109" s="187"/>
      <c r="I109" s="286"/>
      <c r="J109" s="286"/>
      <c r="K109" s="288"/>
      <c r="L109" s="287"/>
      <c r="M109" s="287"/>
      <c r="N109" s="286"/>
      <c r="O109" s="285"/>
      <c r="P109" s="280"/>
    </row>
    <row r="110" spans="1:16" s="65" customFormat="1" ht="19.5" customHeight="1" x14ac:dyDescent="0.25">
      <c r="A110" s="291"/>
      <c r="B110" s="283"/>
      <c r="C110" s="283"/>
      <c r="D110" s="286"/>
      <c r="E110" s="290"/>
      <c r="F110" s="290"/>
      <c r="G110" s="289"/>
      <c r="H110" s="187"/>
      <c r="I110" s="286"/>
      <c r="J110" s="286"/>
      <c r="K110" s="288"/>
      <c r="L110" s="287"/>
      <c r="M110" s="287"/>
      <c r="N110" s="286"/>
      <c r="O110" s="285"/>
      <c r="P110" s="280"/>
    </row>
    <row r="111" spans="1:16" s="65" customFormat="1" ht="19.5" customHeight="1" x14ac:dyDescent="0.25">
      <c r="A111" s="291"/>
      <c r="B111" s="283"/>
      <c r="C111" s="283"/>
      <c r="D111" s="286"/>
      <c r="E111" s="290"/>
      <c r="F111" s="290"/>
      <c r="G111" s="289"/>
      <c r="H111" s="187"/>
      <c r="I111" s="286"/>
      <c r="J111" s="286"/>
      <c r="K111" s="288"/>
      <c r="L111" s="287"/>
      <c r="M111" s="287"/>
      <c r="N111" s="286"/>
      <c r="O111" s="285"/>
      <c r="P111" s="280"/>
    </row>
    <row r="112" spans="1:16" s="65" customFormat="1" ht="19.5" customHeight="1" x14ac:dyDescent="0.25">
      <c r="A112" s="291"/>
      <c r="B112" s="283"/>
      <c r="C112" s="283"/>
      <c r="D112" s="286"/>
      <c r="E112" s="290"/>
      <c r="F112" s="290"/>
      <c r="G112" s="289"/>
      <c r="H112" s="187"/>
      <c r="I112" s="286"/>
      <c r="J112" s="286"/>
      <c r="K112" s="288"/>
      <c r="L112" s="287"/>
      <c r="M112" s="287"/>
      <c r="N112" s="286"/>
      <c r="O112" s="285"/>
      <c r="P112" s="280"/>
    </row>
    <row r="113" spans="1:16" s="65" customFormat="1" ht="19.5" customHeight="1" x14ac:dyDescent="0.25">
      <c r="A113" s="291"/>
      <c r="B113" s="283"/>
      <c r="C113" s="283"/>
      <c r="D113" s="286"/>
      <c r="E113" s="290"/>
      <c r="F113" s="290"/>
      <c r="G113" s="289"/>
      <c r="H113" s="187"/>
      <c r="I113" s="286"/>
      <c r="J113" s="286"/>
      <c r="K113" s="288"/>
      <c r="L113" s="287"/>
      <c r="M113" s="287"/>
      <c r="N113" s="286"/>
      <c r="O113" s="285"/>
      <c r="P113" s="280"/>
    </row>
    <row r="114" spans="1:16" s="65" customFormat="1" ht="19.5" customHeight="1" x14ac:dyDescent="0.25">
      <c r="A114" s="291"/>
      <c r="B114" s="283"/>
      <c r="C114" s="283"/>
      <c r="D114" s="286"/>
      <c r="E114" s="290"/>
      <c r="F114" s="290"/>
      <c r="G114" s="289"/>
      <c r="H114" s="187"/>
      <c r="I114" s="286"/>
      <c r="J114" s="286"/>
      <c r="K114" s="288"/>
      <c r="L114" s="287"/>
      <c r="M114" s="287"/>
      <c r="N114" s="286"/>
      <c r="O114" s="285"/>
      <c r="P114" s="280"/>
    </row>
    <row r="115" spans="1:16" s="65" customFormat="1" ht="19.5" customHeight="1" x14ac:dyDescent="0.25">
      <c r="A115" s="291"/>
      <c r="B115" s="283"/>
      <c r="C115" s="283"/>
      <c r="D115" s="286"/>
      <c r="E115" s="290"/>
      <c r="F115" s="290"/>
      <c r="G115" s="289"/>
      <c r="H115" s="187"/>
      <c r="I115" s="286"/>
      <c r="J115" s="286"/>
      <c r="K115" s="288"/>
      <c r="L115" s="287"/>
      <c r="M115" s="287"/>
      <c r="N115" s="286"/>
      <c r="O115" s="285"/>
      <c r="P115" s="280"/>
    </row>
    <row r="116" spans="1:16" s="65" customFormat="1" ht="19.5" customHeight="1" x14ac:dyDescent="0.25">
      <c r="A116" s="281" t="s">
        <v>202</v>
      </c>
      <c r="B116" s="283"/>
      <c r="C116" s="283"/>
      <c r="D116" s="284"/>
      <c r="E116" s="283" t="s">
        <v>201</v>
      </c>
      <c r="F116" s="283"/>
      <c r="G116" s="283"/>
      <c r="H116" s="281"/>
      <c r="I116" s="281"/>
      <c r="J116" s="279"/>
      <c r="K116" s="278"/>
      <c r="L116" s="281" t="s">
        <v>201</v>
      </c>
      <c r="M116" s="281"/>
      <c r="N116" s="281"/>
      <c r="O116" s="281"/>
      <c r="P116" s="15"/>
    </row>
    <row r="117" spans="1:16" s="65" customFormat="1" ht="19.5" customHeight="1" x14ac:dyDescent="0.25">
      <c r="A117" s="281"/>
      <c r="B117" s="283"/>
      <c r="C117" s="283"/>
      <c r="D117" s="284"/>
      <c r="E117" s="283"/>
      <c r="F117" s="283"/>
      <c r="G117" s="283"/>
      <c r="H117" s="281"/>
      <c r="I117" s="281"/>
      <c r="J117" s="279"/>
      <c r="K117" s="282"/>
      <c r="L117" s="281"/>
      <c r="M117" s="281"/>
      <c r="N117" s="281"/>
      <c r="O117" s="281"/>
      <c r="P117" s="280"/>
    </row>
    <row r="118" spans="1:16" s="65" customFormat="1" ht="19.5" customHeight="1" x14ac:dyDescent="0.25">
      <c r="A118" s="808" t="s">
        <v>200</v>
      </c>
      <c r="B118" s="808"/>
      <c r="C118" s="808"/>
      <c r="D118" s="279"/>
      <c r="E118" s="808" t="s">
        <v>199</v>
      </c>
      <c r="F118" s="808"/>
      <c r="G118" s="808"/>
      <c r="H118" s="808"/>
      <c r="I118" s="808"/>
      <c r="J118" s="279"/>
      <c r="K118" s="278"/>
      <c r="L118" s="808" t="s">
        <v>198</v>
      </c>
      <c r="M118" s="808"/>
      <c r="N118" s="808"/>
      <c r="O118" s="808"/>
      <c r="P118" s="277"/>
    </row>
    <row r="119" spans="1:16" s="65" customFormat="1" ht="19.5" customHeight="1" x14ac:dyDescent="0.25">
      <c r="A119" s="809"/>
      <c r="B119" s="809"/>
      <c r="C119" s="809"/>
      <c r="D119" s="279"/>
      <c r="E119" s="809" t="s">
        <v>197</v>
      </c>
      <c r="F119" s="809"/>
      <c r="G119" s="809"/>
      <c r="H119" s="809"/>
      <c r="I119" s="809"/>
      <c r="J119" s="279"/>
      <c r="K119" s="278"/>
      <c r="L119" s="809" t="s">
        <v>196</v>
      </c>
      <c r="M119" s="809"/>
      <c r="N119" s="809"/>
      <c r="O119" s="809"/>
      <c r="P119" s="277"/>
    </row>
    <row r="120" spans="1:16" s="65" customFormat="1" ht="19.5" customHeight="1" x14ac:dyDescent="0.2">
      <c r="A120" s="276"/>
      <c r="B120" s="274"/>
      <c r="C120" s="274"/>
      <c r="D120" s="275"/>
      <c r="E120" s="274"/>
      <c r="F120" s="273"/>
      <c r="G120" s="272"/>
      <c r="H120" s="271"/>
      <c r="I120" s="270"/>
      <c r="J120" s="267"/>
      <c r="K120" s="269"/>
      <c r="L120" s="268"/>
      <c r="M120" s="267"/>
      <c r="N120" s="267"/>
      <c r="O120" s="266"/>
      <c r="P120" s="265"/>
    </row>
    <row r="121" spans="1:16" ht="18.95" customHeight="1" x14ac:dyDescent="0.25">
      <c r="A121" s="833"/>
      <c r="B121" s="833"/>
      <c r="C121" s="833"/>
      <c r="D121" s="833"/>
      <c r="E121" s="833"/>
      <c r="F121" s="833"/>
      <c r="G121" s="833"/>
      <c r="H121" s="833"/>
      <c r="I121" s="833"/>
      <c r="J121" s="833"/>
      <c r="K121" s="833"/>
      <c r="L121" s="833"/>
      <c r="M121" s="833"/>
      <c r="N121" s="833"/>
      <c r="O121" s="833"/>
      <c r="P121" s="833"/>
    </row>
    <row r="122" spans="1:16" ht="18.95" customHeight="1" x14ac:dyDescent="0.25">
      <c r="A122" s="834"/>
      <c r="B122" s="834"/>
      <c r="C122" s="834"/>
      <c r="D122" s="834"/>
      <c r="E122" s="834"/>
      <c r="F122" s="834"/>
      <c r="G122" s="834"/>
      <c r="H122" s="834"/>
      <c r="I122" s="834"/>
      <c r="J122" s="834"/>
      <c r="K122" s="834"/>
      <c r="L122" s="834"/>
      <c r="M122" s="264"/>
      <c r="N122" s="264"/>
      <c r="O122" s="263"/>
      <c r="P122" s="20"/>
    </row>
    <row r="123" spans="1:16" ht="18.95" customHeight="1" x14ac:dyDescent="0.25">
      <c r="A123" s="262"/>
      <c r="B123" s="261"/>
      <c r="C123" s="261"/>
      <c r="D123" s="252"/>
      <c r="E123" s="261"/>
      <c r="F123" s="261"/>
      <c r="G123" s="260"/>
      <c r="H123" s="20"/>
      <c r="I123" s="252"/>
      <c r="J123" s="252"/>
      <c r="K123" s="259"/>
      <c r="P123" s="20"/>
    </row>
    <row r="131" spans="6:6" ht="18.95" customHeight="1" x14ac:dyDescent="0.2">
      <c r="F131" s="258"/>
    </row>
  </sheetData>
  <sortState xmlns:xlrd2="http://schemas.microsoft.com/office/spreadsheetml/2017/richdata2" ref="A58:T75">
    <sortCondition ref="A58:A75"/>
  </sortState>
  <mergeCells count="24">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 ref="A121:P121"/>
    <mergeCell ref="A122:L122"/>
    <mergeCell ref="A118:C118"/>
    <mergeCell ref="E118:I118"/>
    <mergeCell ref="L118:O118"/>
    <mergeCell ref="A119:C119"/>
    <mergeCell ref="E119:I119"/>
    <mergeCell ref="L119:O119"/>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 8</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marieke van brussel</cp:lastModifiedBy>
  <dcterms:created xsi:type="dcterms:W3CDTF">2018-07-23T01:57:49Z</dcterms:created>
  <dcterms:modified xsi:type="dcterms:W3CDTF">2021-08-12T12:14:02Z</dcterms:modified>
</cp:coreProperties>
</file>