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lm/Documents/Interests/Programming/Python/autodcf/autodcf/tests/data/"/>
    </mc:Choice>
  </mc:AlternateContent>
  <xr:revisionPtr revIDLastSave="0" documentId="13_ncr:1_{60967A96-8F9C-4447-91C8-5C8A56508E51}" xr6:coauthVersionLast="45" xr6:coauthVersionMax="45" xr10:uidLastSave="{00000000-0000-0000-0000-000000000000}"/>
  <bookViews>
    <workbookView xWindow="25600" yWindow="0" windowWidth="38400" windowHeight="21600" xr2:uid="{F59C2343-CAF4-9248-9F9B-A15401A49AE8}"/>
  </bookViews>
  <sheets>
    <sheet name="DCF" sheetId="1" r:id="rId1"/>
    <sheet name="Assumptio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G2" i="1" s="1"/>
  <c r="I2" i="1" s="1"/>
  <c r="K2" i="1" s="1"/>
  <c r="M2" i="1" s="1"/>
  <c r="O2" i="1" s="1"/>
  <c r="R2" i="1" s="1"/>
  <c r="J2" i="1"/>
  <c r="C3" i="1"/>
  <c r="D3" i="1"/>
  <c r="F3" i="1"/>
  <c r="F4" i="1" s="1"/>
  <c r="F5" i="1" s="1"/>
  <c r="F6" i="1" s="1"/>
  <c r="F7" i="1" s="1"/>
  <c r="F8" i="1" s="1"/>
  <c r="H3" i="1"/>
  <c r="J3" i="1"/>
  <c r="J4" i="1" s="1"/>
  <c r="J5" i="1" s="1"/>
  <c r="J6" i="1" s="1"/>
  <c r="J7" i="1" s="1"/>
  <c r="J8" i="1" s="1"/>
  <c r="L3" i="1"/>
  <c r="L4" i="1" s="1"/>
  <c r="L5" i="1" s="1"/>
  <c r="L6" i="1" s="1"/>
  <c r="L7" i="1" s="1"/>
  <c r="L8" i="1" s="1"/>
  <c r="P3" i="1"/>
  <c r="P4" i="1" s="1"/>
  <c r="P5" i="1" s="1"/>
  <c r="P6" i="1" s="1"/>
  <c r="P7" i="1" s="1"/>
  <c r="P8" i="1" s="1"/>
  <c r="Q3" i="1"/>
  <c r="A4" i="1"/>
  <c r="C4" i="1"/>
  <c r="D4" i="1"/>
  <c r="D5" i="1" s="1"/>
  <c r="D6" i="1" s="1"/>
  <c r="D7" i="1" s="1"/>
  <c r="D8" i="1" s="1"/>
  <c r="H4" i="1"/>
  <c r="A5" i="1"/>
  <c r="A6" i="1" s="1"/>
  <c r="A7" i="1" s="1"/>
  <c r="A8" i="1" s="1"/>
  <c r="H5" i="1"/>
  <c r="H6" i="1" s="1"/>
  <c r="H7" i="1" s="1"/>
  <c r="H8" i="1" s="1"/>
  <c r="B1" i="2"/>
  <c r="E3" i="1" l="1"/>
  <c r="G3" i="1" s="1"/>
  <c r="I3" i="1" s="1"/>
  <c r="K3" i="1" s="1"/>
  <c r="M3" i="1" s="1"/>
  <c r="E4" i="1"/>
  <c r="G4" i="1" s="1"/>
  <c r="I4" i="1" s="1"/>
  <c r="K4" i="1" s="1"/>
  <c r="M4" i="1" s="1"/>
  <c r="N4" i="1" s="1"/>
  <c r="O4" i="1" s="1"/>
  <c r="R4" i="1" s="1"/>
  <c r="S4" i="1" s="1"/>
  <c r="O3" i="1"/>
  <c r="R3" i="1" s="1"/>
  <c r="S3" i="1" s="1"/>
  <c r="N3" i="1"/>
  <c r="C5" i="1"/>
  <c r="B2" i="1"/>
  <c r="B3" i="1" s="1"/>
  <c r="B4" i="1" s="1"/>
  <c r="B5" i="1" s="1"/>
  <c r="B6" i="1" s="1"/>
  <c r="B7" i="1" s="1"/>
  <c r="B8" i="1" s="1"/>
  <c r="Q4" i="1"/>
  <c r="E5" i="1" l="1"/>
  <c r="G5" i="1" s="1"/>
  <c r="I5" i="1" s="1"/>
  <c r="K5" i="1" s="1"/>
  <c r="M5" i="1" s="1"/>
  <c r="Q5" i="1"/>
  <c r="C6" i="1"/>
  <c r="C7" i="1" l="1"/>
  <c r="Q6" i="1"/>
  <c r="E6" i="1"/>
  <c r="G6" i="1" s="1"/>
  <c r="I6" i="1" s="1"/>
  <c r="K6" i="1" s="1"/>
  <c r="M6" i="1" s="1"/>
  <c r="N5" i="1"/>
  <c r="O5" i="1" s="1"/>
  <c r="R5" i="1" s="1"/>
  <c r="S5" i="1" s="1"/>
  <c r="N6" i="1" l="1"/>
  <c r="O6" i="1" s="1"/>
  <c r="R6" i="1" s="1"/>
  <c r="S6" i="1" s="1"/>
  <c r="E7" i="1"/>
  <c r="G7" i="1" s="1"/>
  <c r="I7" i="1" s="1"/>
  <c r="K7" i="1" s="1"/>
  <c r="M7" i="1" s="1"/>
  <c r="Q7" i="1"/>
  <c r="C8" i="1"/>
  <c r="N7" i="1" l="1"/>
  <c r="O7" i="1" s="1"/>
  <c r="R7" i="1" s="1"/>
  <c r="S7" i="1" s="1"/>
  <c r="E8" i="1"/>
  <c r="G8" i="1" s="1"/>
  <c r="I8" i="1" s="1"/>
  <c r="K8" i="1" s="1"/>
  <c r="M8" i="1" s="1"/>
  <c r="Q8" i="1"/>
  <c r="N8" i="1" l="1"/>
  <c r="O8" i="1" s="1"/>
  <c r="R8" i="1" s="1"/>
  <c r="S8" i="1" s="1"/>
  <c r="B10" i="2"/>
  <c r="B9" i="2" l="1"/>
  <c r="B12" i="2" s="1"/>
</calcChain>
</file>

<file path=xl/sharedStrings.xml><?xml version="1.0" encoding="utf-8"?>
<sst xmlns="http://schemas.openxmlformats.org/spreadsheetml/2006/main" count="29" uniqueCount="29">
  <si>
    <t>Year</t>
  </si>
  <si>
    <t>Sales</t>
  </si>
  <si>
    <t>COGS</t>
  </si>
  <si>
    <t>Gross Profit</t>
  </si>
  <si>
    <t>SG&amp;A</t>
  </si>
  <si>
    <t>Operating Profit</t>
  </si>
  <si>
    <t>R&amp;D</t>
  </si>
  <si>
    <t>EBITDA</t>
  </si>
  <si>
    <t>D&amp;A</t>
  </si>
  <si>
    <t>EBIT</t>
  </si>
  <si>
    <t>Interest</t>
  </si>
  <si>
    <t>EBT</t>
  </si>
  <si>
    <t>Taxes</t>
  </si>
  <si>
    <t>Net Income</t>
  </si>
  <si>
    <t>Capex</t>
  </si>
  <si>
    <t>Change in NWC</t>
  </si>
  <si>
    <t>FCF</t>
  </si>
  <si>
    <t>Discounted FCF</t>
  </si>
  <si>
    <t>Change in NWC to Change in Sales</t>
  </si>
  <si>
    <t>Discount Rate</t>
  </si>
  <si>
    <t>Sales Growth</t>
  </si>
  <si>
    <t>Tax Rate</t>
  </si>
  <si>
    <t>Net Debt</t>
  </si>
  <si>
    <t>Discounted Cash Flows</t>
  </si>
  <si>
    <t>Discounted Terminal Cash Flow</t>
  </si>
  <si>
    <t>DCF</t>
  </si>
  <si>
    <t>Terminal Growth Rate</t>
  </si>
  <si>
    <t>Terminal Discount Rate</t>
  </si>
  <si>
    <t>Today's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</si>
</sst>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yyyy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1" applyNumberFormat="1" applyFont="1"/>
    <xf numFmtId="0" fontId="0" fillId="0" borderId="0" xfId="0" applyNumberFormat="1"/>
    <xf numFmtId="9" fontId="0" fillId="0" borderId="0" xfId="0" applyNumberFormat="1"/>
    <xf numFmtId="44" fontId="0" fillId="0" borderId="0" xfId="2" applyFont="1"/>
    <xf numFmtId="44" fontId="0" fillId="0" borderId="0" xfId="0" applyNumberFormat="1"/>
    <xf numFmtId="166" fontId="2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14D32-AA9A-A74F-9608-31C4FBD86A23}">
  <dimension ref="A1:S19"/>
  <sheetViews>
    <sheetView tabSelected="1" workbookViewId="0">
      <selection activeCell="G15" sqref="G15"/>
    </sheetView>
  </sheetViews>
  <sheetFormatPr baseColWidth="10" defaultRowHeight="16"/>
  <cols>
    <col min="1" max="1" width="6.33203125" bestFit="1" customWidth="1"/>
    <col min="2" max="2" width="5.1640625" bestFit="1" customWidth="1"/>
    <col min="3" max="3" width="9" bestFit="1" customWidth="1"/>
    <col min="4" max="4" width="8" bestFit="1" customWidth="1"/>
    <col min="5" max="5" width="10.83203125" bestFit="1" customWidth="1"/>
    <col min="6" max="6" width="8" bestFit="1" customWidth="1"/>
    <col min="7" max="7" width="14.33203125" bestFit="1" customWidth="1"/>
    <col min="8" max="8" width="7" bestFit="1" customWidth="1"/>
    <col min="9" max="9" width="8" bestFit="1" customWidth="1"/>
    <col min="10" max="10" width="7" bestFit="1" customWidth="1"/>
    <col min="11" max="11" width="8" bestFit="1" customWidth="1"/>
    <col min="12" max="12" width="7.5" bestFit="1" customWidth="1"/>
    <col min="13" max="13" width="8" bestFit="1" customWidth="1"/>
    <col min="14" max="14" width="7" bestFit="1" customWidth="1"/>
    <col min="15" max="15" width="10.6640625" bestFit="1" customWidth="1"/>
    <col min="16" max="16" width="7" bestFit="1" customWidth="1"/>
    <col min="17" max="17" width="13.83203125" bestFit="1" customWidth="1"/>
    <col min="18" max="18" width="8" bestFit="1" customWidth="1"/>
    <col min="19" max="19" width="13.6640625" bestFit="1" customWidth="1"/>
  </cols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s="2">
        <v>-1</v>
      </c>
      <c r="B2" s="1">
        <f ca="1">YEAR(Assumptions!$B$1)-1</f>
        <v>2019</v>
      </c>
      <c r="C2" s="4">
        <v>100</v>
      </c>
      <c r="D2" s="4">
        <v>50</v>
      </c>
      <c r="E2" s="4">
        <f>C2-D2</f>
        <v>50</v>
      </c>
      <c r="F2" s="4">
        <v>25</v>
      </c>
      <c r="G2" s="4">
        <f>E2-F2</f>
        <v>25</v>
      </c>
      <c r="H2" s="4">
        <v>2</v>
      </c>
      <c r="I2" s="4">
        <f>G2-H2</f>
        <v>23</v>
      </c>
      <c r="J2" s="4">
        <f>4+2</f>
        <v>6</v>
      </c>
      <c r="K2" s="4">
        <f>I2-J2</f>
        <v>17</v>
      </c>
      <c r="L2" s="4">
        <v>1</v>
      </c>
      <c r="M2" s="4">
        <f>K2-L2</f>
        <v>16</v>
      </c>
      <c r="N2" s="4">
        <v>4</v>
      </c>
      <c r="O2" s="4">
        <f>M2-N2</f>
        <v>12</v>
      </c>
      <c r="P2" s="4">
        <v>3</v>
      </c>
      <c r="Q2" s="4">
        <v>0</v>
      </c>
      <c r="R2" s="4">
        <f>O2+J2-P2-Q2</f>
        <v>15</v>
      </c>
      <c r="S2" s="4"/>
    </row>
    <row r="3" spans="1:19">
      <c r="A3">
        <v>0</v>
      </c>
      <c r="B3" s="2">
        <f ca="1">B2+1</f>
        <v>2020</v>
      </c>
      <c r="C3" s="4">
        <f>C2*(1+Assumptions!$B$4)</f>
        <v>103</v>
      </c>
      <c r="D3" s="4">
        <f>D2*(1+Assumptions!$B$4)</f>
        <v>51.5</v>
      </c>
      <c r="E3" s="4">
        <f>C3-D3</f>
        <v>51.5</v>
      </c>
      <c r="F3" s="4">
        <f>F2*(1+Assumptions!$B$4)</f>
        <v>25.75</v>
      </c>
      <c r="G3" s="4">
        <f>E3-F3</f>
        <v>25.75</v>
      </c>
      <c r="H3" s="4">
        <f>H2*(1+Assumptions!$B$4)</f>
        <v>2.06</v>
      </c>
      <c r="I3" s="4">
        <f>G3-H3</f>
        <v>23.69</v>
      </c>
      <c r="J3" s="4">
        <f>J2*(1+Assumptions!$B$4)</f>
        <v>6.18</v>
      </c>
      <c r="K3" s="4">
        <f>I3-J3</f>
        <v>17.510000000000002</v>
      </c>
      <c r="L3" s="4">
        <f>L2*(1+Assumptions!$B$4)</f>
        <v>1.03</v>
      </c>
      <c r="M3" s="4">
        <f>K3-L3</f>
        <v>16.48</v>
      </c>
      <c r="N3" s="4">
        <f>M3*Assumptions!$B$5</f>
        <v>3.4607999999999999</v>
      </c>
      <c r="O3" s="4">
        <f>M3-N3</f>
        <v>13.019200000000001</v>
      </c>
      <c r="P3" s="4">
        <f>P2*(1+Assumptions!$B$4)</f>
        <v>3.09</v>
      </c>
      <c r="Q3" s="4">
        <f>(C3-C2)*Assumptions!$B$2</f>
        <v>0.30000000000000004</v>
      </c>
      <c r="R3" s="4">
        <f>O3+J3-P3-Q3</f>
        <v>15.809200000000001</v>
      </c>
      <c r="S3" s="4">
        <f>R3/(1+Assumptions!$B$3)^A3</f>
        <v>15.809200000000001</v>
      </c>
    </row>
    <row r="4" spans="1:19">
      <c r="A4">
        <f>A3+1</f>
        <v>1</v>
      </c>
      <c r="B4" s="2">
        <f ca="1">B3+1</f>
        <v>2021</v>
      </c>
      <c r="C4" s="4">
        <f>C3*(1+Assumptions!$B$4)</f>
        <v>106.09</v>
      </c>
      <c r="D4" s="4">
        <f>D3*(1+Assumptions!$B$4)</f>
        <v>53.045000000000002</v>
      </c>
      <c r="E4" s="4">
        <f>C4-D4</f>
        <v>53.045000000000002</v>
      </c>
      <c r="F4" s="4">
        <f>F3*(1+Assumptions!$B$4)</f>
        <v>26.522500000000001</v>
      </c>
      <c r="G4" s="4">
        <f>E4-F4</f>
        <v>26.522500000000001</v>
      </c>
      <c r="H4" s="4">
        <f>H3*(1+Assumptions!$B$4)</f>
        <v>2.1217999999999999</v>
      </c>
      <c r="I4" s="4">
        <f>G4-H4</f>
        <v>24.400700000000001</v>
      </c>
      <c r="J4" s="4">
        <f>J3*(1+Assumptions!$B$4)</f>
        <v>6.3654000000000002</v>
      </c>
      <c r="K4" s="4">
        <f>I4-J4</f>
        <v>18.035299999999999</v>
      </c>
      <c r="L4" s="4">
        <f>L3*(1+Assumptions!$B$4)</f>
        <v>1.0609</v>
      </c>
      <c r="M4" s="4">
        <f>K4-L4</f>
        <v>16.974399999999999</v>
      </c>
      <c r="N4" s="4">
        <f>M4*Assumptions!$B$5</f>
        <v>3.5646239999999998</v>
      </c>
      <c r="O4" s="4">
        <f>M4-N4</f>
        <v>13.409775999999999</v>
      </c>
      <c r="P4" s="4">
        <f>P3*(1+Assumptions!$B$4)</f>
        <v>3.1827000000000001</v>
      </c>
      <c r="Q4" s="4">
        <f>(C4-C3)*Assumptions!$B$2</f>
        <v>0.30900000000000039</v>
      </c>
      <c r="R4" s="4">
        <f>O4+J4-P4-Q4</f>
        <v>16.283475999999997</v>
      </c>
      <c r="S4" s="4">
        <f>R4/(1+Assumptions!$B$3)^A4</f>
        <v>14.283750877192977</v>
      </c>
    </row>
    <row r="5" spans="1:19">
      <c r="A5">
        <f>A4+1</f>
        <v>2</v>
      </c>
      <c r="B5" s="2">
        <f ca="1">B4+1</f>
        <v>2022</v>
      </c>
      <c r="C5" s="4">
        <f>C4*(1+Assumptions!$B$4)</f>
        <v>109.2727</v>
      </c>
      <c r="D5" s="4">
        <f>D4*(1+Assumptions!$B$4)</f>
        <v>54.63635</v>
      </c>
      <c r="E5" s="4">
        <f>C5-D5</f>
        <v>54.63635</v>
      </c>
      <c r="F5" s="4">
        <f>F4*(1+Assumptions!$B$4)</f>
        <v>27.318175</v>
      </c>
      <c r="G5" s="4">
        <f>E5-F5</f>
        <v>27.318175</v>
      </c>
      <c r="H5" s="4">
        <f>H4*(1+Assumptions!$B$4)</f>
        <v>2.185454</v>
      </c>
      <c r="I5" s="4">
        <f>G5-H5</f>
        <v>25.132721</v>
      </c>
      <c r="J5" s="4">
        <f>J4*(1+Assumptions!$B$4)</f>
        <v>6.556362</v>
      </c>
      <c r="K5" s="4">
        <f>I5-J5</f>
        <v>18.576359</v>
      </c>
      <c r="L5" s="4">
        <f>L4*(1+Assumptions!$B$4)</f>
        <v>1.092727</v>
      </c>
      <c r="M5" s="4">
        <f>K5-L5</f>
        <v>17.483632</v>
      </c>
      <c r="N5" s="4">
        <f>M5*Assumptions!$B$5</f>
        <v>3.6715627199999998</v>
      </c>
      <c r="O5" s="4">
        <f>M5-N5</f>
        <v>13.812069279999999</v>
      </c>
      <c r="P5" s="4">
        <f>P4*(1+Assumptions!$B$4)</f>
        <v>3.278181</v>
      </c>
      <c r="Q5" s="4">
        <f>(C5-C4)*Assumptions!$B$2</f>
        <v>0.31826999999999972</v>
      </c>
      <c r="R5" s="4">
        <f>O5+J5-P5-Q5</f>
        <v>16.771980280000001</v>
      </c>
      <c r="S5" s="4">
        <f>R5/(1+Assumptions!$B$3)^A5</f>
        <v>12.905494213604184</v>
      </c>
    </row>
    <row r="6" spans="1:19">
      <c r="A6">
        <f>A5+1</f>
        <v>3</v>
      </c>
      <c r="B6" s="2">
        <f ca="1">B5+1</f>
        <v>2023</v>
      </c>
      <c r="C6" s="4">
        <f>C5*(1+Assumptions!$B$4)</f>
        <v>112.550881</v>
      </c>
      <c r="D6" s="4">
        <f>D5*(1+Assumptions!$B$4)</f>
        <v>56.275440500000002</v>
      </c>
      <c r="E6" s="4">
        <f>C6-D6</f>
        <v>56.275440500000002</v>
      </c>
      <c r="F6" s="4">
        <f>F5*(1+Assumptions!$B$4)</f>
        <v>28.137720250000001</v>
      </c>
      <c r="G6" s="4">
        <f>E6-F6</f>
        <v>28.137720250000001</v>
      </c>
      <c r="H6" s="4">
        <f>H5*(1+Assumptions!$B$4)</f>
        <v>2.2510176200000003</v>
      </c>
      <c r="I6" s="4">
        <f>G6-H6</f>
        <v>25.886702630000002</v>
      </c>
      <c r="J6" s="4">
        <f>J5*(1+Assumptions!$B$4)</f>
        <v>6.7530528600000004</v>
      </c>
      <c r="K6" s="4">
        <f>I6-J6</f>
        <v>19.133649770000002</v>
      </c>
      <c r="L6" s="4">
        <f>L5*(1+Assumptions!$B$4)</f>
        <v>1.1255088100000001</v>
      </c>
      <c r="M6" s="4">
        <f>K6-L6</f>
        <v>18.008140960000002</v>
      </c>
      <c r="N6" s="4">
        <f>M6*Assumptions!$B$5</f>
        <v>3.7817096016000002</v>
      </c>
      <c r="O6" s="4">
        <f>M6-N6</f>
        <v>14.226431358400003</v>
      </c>
      <c r="P6" s="4">
        <f>P5*(1+Assumptions!$B$4)</f>
        <v>3.3765264300000002</v>
      </c>
      <c r="Q6" s="4">
        <f>(C6-C5)*Assumptions!$B$2</f>
        <v>0.32781810000000039</v>
      </c>
      <c r="R6" s="4">
        <f>O6+J6-P6-Q6</f>
        <v>17.275139688400003</v>
      </c>
      <c r="S6" s="4">
        <f>R6/(1+Assumptions!$B$3)^A6</f>
        <v>11.660227228080974</v>
      </c>
    </row>
    <row r="7" spans="1:19">
      <c r="A7">
        <f>A6+1</f>
        <v>4</v>
      </c>
      <c r="B7" s="2">
        <f ca="1">B6+1</f>
        <v>2024</v>
      </c>
      <c r="C7" s="4">
        <f>C6*(1+Assumptions!$B$4)</f>
        <v>115.92740743</v>
      </c>
      <c r="D7" s="4">
        <f>D6*(1+Assumptions!$B$4)</f>
        <v>57.963703715000001</v>
      </c>
      <c r="E7" s="4">
        <f>C7-D7</f>
        <v>57.963703715000001</v>
      </c>
      <c r="F7" s="4">
        <f>F6*(1+Assumptions!$B$4)</f>
        <v>28.981851857500001</v>
      </c>
      <c r="G7" s="4">
        <f>E7-F7</f>
        <v>28.981851857500001</v>
      </c>
      <c r="H7" s="4">
        <f>H6*(1+Assumptions!$B$4)</f>
        <v>2.3185481486000001</v>
      </c>
      <c r="I7" s="4">
        <f>G7-H7</f>
        <v>26.663303708899999</v>
      </c>
      <c r="J7" s="4">
        <f>J6*(1+Assumptions!$B$4)</f>
        <v>6.9556444458000009</v>
      </c>
      <c r="K7" s="4">
        <f>I7-J7</f>
        <v>19.707659263099998</v>
      </c>
      <c r="L7" s="4">
        <f>L6*(1+Assumptions!$B$4)</f>
        <v>1.1592740743000001</v>
      </c>
      <c r="M7" s="4">
        <f>K7-L7</f>
        <v>18.548385188799998</v>
      </c>
      <c r="N7" s="4">
        <f>M7*Assumptions!$B$5</f>
        <v>3.8951608896479994</v>
      </c>
      <c r="O7" s="4">
        <f>M7-N7</f>
        <v>14.653224299151997</v>
      </c>
      <c r="P7" s="4">
        <f>P6*(1+Assumptions!$B$4)</f>
        <v>3.4778222229000004</v>
      </c>
      <c r="Q7" s="4">
        <f>(C7-C6)*Assumptions!$B$2</f>
        <v>0.33765264299999986</v>
      </c>
      <c r="R7" s="4">
        <f>O7+J7-P7-Q7</f>
        <v>17.793393879051997</v>
      </c>
      <c r="S7" s="4">
        <f>R7/(1+Assumptions!$B$3)^A7</f>
        <v>10.535117583266137</v>
      </c>
    </row>
    <row r="8" spans="1:19">
      <c r="A8">
        <f>A7+1</f>
        <v>5</v>
      </c>
      <c r="B8" s="2">
        <f ca="1">B7+1</f>
        <v>2025</v>
      </c>
      <c r="C8" s="4">
        <f>C7*(1+Assumptions!$B$4)</f>
        <v>119.4052296529</v>
      </c>
      <c r="D8" s="4">
        <f>D7*(1+Assumptions!$B$4)</f>
        <v>59.702614826450002</v>
      </c>
      <c r="E8" s="4">
        <f>C8-D8</f>
        <v>59.702614826450002</v>
      </c>
      <c r="F8" s="4">
        <f>F7*(1+Assumptions!$B$4)</f>
        <v>29.851307413225001</v>
      </c>
      <c r="G8" s="4">
        <f>E8-F8</f>
        <v>29.851307413225001</v>
      </c>
      <c r="H8" s="4">
        <f>H7*(1+Assumptions!$B$4)</f>
        <v>2.3881045930580003</v>
      </c>
      <c r="I8" s="4">
        <f>G8-H8</f>
        <v>27.463202820167002</v>
      </c>
      <c r="J8" s="4">
        <f>J7*(1+Assumptions!$B$4)</f>
        <v>7.1643137791740008</v>
      </c>
      <c r="K8" s="4">
        <f>I8-J8</f>
        <v>20.298889040993</v>
      </c>
      <c r="L8" s="4">
        <f>L7*(1+Assumptions!$B$4)</f>
        <v>1.1940522965290001</v>
      </c>
      <c r="M8" s="4">
        <f>K8-L8</f>
        <v>19.104836744463999</v>
      </c>
      <c r="N8" s="4">
        <f>M8*Assumptions!$B$5</f>
        <v>4.0120157163374399</v>
      </c>
      <c r="O8" s="4">
        <f>M8-N8</f>
        <v>15.092821028126558</v>
      </c>
      <c r="P8" s="4">
        <f>P7*(1+Assumptions!$B$4)</f>
        <v>3.5821568895870004</v>
      </c>
      <c r="Q8" s="4">
        <f>(C8-C7)*Assumptions!$B$2</f>
        <v>0.34778222229000022</v>
      </c>
      <c r="R8" s="4">
        <f>O8+J8-P8-Q8</f>
        <v>18.327195695423558</v>
      </c>
      <c r="S8" s="4">
        <f>R8/(1+Assumptions!$B$3)^A8</f>
        <v>9.5185711497930896</v>
      </c>
    </row>
    <row r="9" spans="1:19">
      <c r="B9" s="4"/>
      <c r="C9" s="4"/>
      <c r="D9" s="4"/>
      <c r="E9" s="4"/>
      <c r="F9" s="4"/>
      <c r="G9" s="4"/>
      <c r="H9" s="4"/>
    </row>
    <row r="10" spans="1:19">
      <c r="B10" s="4"/>
      <c r="C10" s="4"/>
      <c r="D10" s="4"/>
      <c r="E10" s="4"/>
      <c r="F10" s="4"/>
      <c r="G10" s="4"/>
      <c r="H10" s="4"/>
    </row>
    <row r="11" spans="1:19">
      <c r="B11" s="4"/>
      <c r="C11" s="4"/>
      <c r="D11" s="4"/>
      <c r="E11" s="4"/>
      <c r="F11" s="4"/>
      <c r="G11" s="4"/>
      <c r="H11" s="4"/>
    </row>
    <row r="12" spans="1:19">
      <c r="B12" s="4"/>
      <c r="C12" s="4"/>
      <c r="D12" s="4"/>
      <c r="E12" s="4"/>
      <c r="F12" s="4"/>
      <c r="G12" s="4"/>
      <c r="H12" s="4"/>
    </row>
    <row r="13" spans="1:19">
      <c r="B13" s="4"/>
      <c r="C13" s="4"/>
      <c r="D13" s="4"/>
      <c r="E13" s="4"/>
      <c r="F13" s="4"/>
      <c r="G13" s="4"/>
      <c r="H13" s="4"/>
    </row>
    <row r="14" spans="1:19">
      <c r="B14" s="4"/>
      <c r="C14" s="4"/>
      <c r="D14" s="4"/>
      <c r="E14" s="4"/>
      <c r="F14" s="4"/>
      <c r="G14" s="4"/>
      <c r="H14" s="4"/>
    </row>
    <row r="15" spans="1:19">
      <c r="B15" s="4"/>
      <c r="C15" s="4"/>
      <c r="D15" s="4"/>
      <c r="E15" s="4"/>
      <c r="F15" s="4"/>
      <c r="G15" s="4"/>
      <c r="H15" s="4"/>
    </row>
    <row r="16" spans="1:19">
      <c r="B16" s="4"/>
      <c r="C16" s="4"/>
      <c r="D16" s="4"/>
      <c r="E16" s="4"/>
      <c r="F16" s="4"/>
      <c r="G16" s="4"/>
      <c r="H16" s="4"/>
    </row>
    <row r="17" spans="2:8">
      <c r="B17" s="4"/>
      <c r="C17" s="4"/>
      <c r="D17" s="4"/>
      <c r="E17" s="4"/>
      <c r="F17" s="4"/>
      <c r="G17" s="4"/>
      <c r="H17" s="4"/>
    </row>
    <row r="18" spans="2:8">
      <c r="B18" s="4"/>
      <c r="C18" s="4"/>
      <c r="D18" s="4"/>
      <c r="E18" s="4"/>
      <c r="F18" s="4"/>
      <c r="G18" s="4"/>
      <c r="H18" s="4"/>
    </row>
    <row r="19" spans="2:8">
      <c r="B19" s="4"/>
      <c r="C19" s="4"/>
      <c r="D19" s="4"/>
      <c r="E19" s="4"/>
      <c r="F19" s="4"/>
      <c r="G19" s="4"/>
      <c r="H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4EA94-81AA-9149-9201-4E66100EA077}">
  <dimension ref="A1:B12"/>
  <sheetViews>
    <sheetView workbookViewId="0">
      <selection sqref="A1:B12"/>
    </sheetView>
  </sheetViews>
  <sheetFormatPr baseColWidth="10" defaultRowHeight="16"/>
  <sheetData>
    <row r="1" spans="1:2">
      <c r="A1" t="s">
        <v>28</v>
      </c>
      <c r="B1" s="6">
        <f ca="1">TODAY()</f>
        <v>43872</v>
      </c>
    </row>
    <row r="2" spans="1:2">
      <c r="A2" s="2" t="s">
        <v>18</v>
      </c>
      <c r="B2" s="3">
        <v>0.1</v>
      </c>
    </row>
    <row r="3" spans="1:2">
      <c r="A3" t="s">
        <v>19</v>
      </c>
      <c r="B3" s="3">
        <v>0.14000000000000001</v>
      </c>
    </row>
    <row r="4" spans="1:2">
      <c r="A4" t="s">
        <v>20</v>
      </c>
      <c r="B4" s="3">
        <v>0.03</v>
      </c>
    </row>
    <row r="5" spans="1:2">
      <c r="A5" t="s">
        <v>21</v>
      </c>
      <c r="B5" s="3">
        <v>0.21</v>
      </c>
    </row>
    <row r="6" spans="1:2">
      <c r="A6" t="s">
        <v>26</v>
      </c>
      <c r="B6" s="3">
        <v>0.03</v>
      </c>
    </row>
    <row r="7" spans="1:2">
      <c r="A7" t="s">
        <v>27</v>
      </c>
      <c r="B7" s="3">
        <v>0.16</v>
      </c>
    </row>
    <row r="8" spans="1:2">
      <c r="B8" s="3"/>
    </row>
    <row r="9" spans="1:2">
      <c r="A9" t="s">
        <v>23</v>
      </c>
      <c r="B9" s="4">
        <f>SUM(DCF!C19:H19)</f>
        <v>0</v>
      </c>
    </row>
    <row r="10" spans="1:2">
      <c r="A10" t="s">
        <v>24</v>
      </c>
      <c r="B10" s="4">
        <f>DCF!H19*(1+B6)/(B7-B6)</f>
        <v>0</v>
      </c>
    </row>
    <row r="11" spans="1:2">
      <c r="A11" t="s">
        <v>22</v>
      </c>
      <c r="B11" s="4">
        <v>50</v>
      </c>
    </row>
    <row r="12" spans="1:2">
      <c r="A12" t="s">
        <v>25</v>
      </c>
      <c r="B12" s="5">
        <f>B9+B10-B11</f>
        <v>-50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DCF</vt:lpstr>
      <vt:lpstr>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Moody, Jack Layton</dc:creator>
  <cp:lastModifiedBy>Moody, Jack Layton</cp:lastModifiedBy>
  <dcterms:created xsi:type="dcterms:W3CDTF">2020-02-11T16:44:34Z</dcterms:created>
  <dcterms:modified xsi:type="dcterms:W3CDTF">2020-02-12T02:50:26Z</dcterms:modified>
</cp:coreProperties>
</file>