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31094\OneDrive - IMPERIAL TOBACCO LTD\Desktop\"/>
    </mc:Choice>
  </mc:AlternateContent>
  <xr:revisionPtr revIDLastSave="897" documentId="6_{D27E4913-FCE9-4AB3-ADF0-CF190B71EFE0}" xr6:coauthVersionLast="40" xr6:coauthVersionMax="40" xr10:uidLastSave="{08F5C9AB-7881-45BF-99E7-7494FD90D092}"/>
  <bookViews>
    <workbookView xWindow="0" yWindow="0" windowWidth="27090" windowHeight="12810" activeTab="14" xr2:uid="{C793B773-2EEE-4B87-9BCF-812154805B36}"/>
  </bookViews>
  <sheets>
    <sheet name="6" sheetId="1" r:id="rId1"/>
    <sheet name="7" sheetId="4" r:id="rId2"/>
    <sheet name="8" sheetId="3" r:id="rId3"/>
    <sheet name="10" sheetId="2" r:id="rId4"/>
    <sheet name="11" sheetId="5" r:id="rId5"/>
    <sheet name="12" sheetId="7" r:id="rId6"/>
    <sheet name="13" sheetId="8" r:id="rId7"/>
    <sheet name="14" sheetId="9" r:id="rId8"/>
    <sheet name="15" sheetId="10" r:id="rId9"/>
    <sheet name="19" sheetId="11" r:id="rId10"/>
    <sheet name="20" sheetId="12" r:id="rId11"/>
    <sheet name="21" sheetId="13" r:id="rId12"/>
    <sheet name="22" sheetId="14" r:id="rId13"/>
    <sheet name="23" sheetId="15" r:id="rId14"/>
    <sheet name="24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0" l="1"/>
  <c r="N14" i="10"/>
  <c r="N5" i="10"/>
  <c r="H15" i="10"/>
  <c r="D18" i="5"/>
  <c r="D20" i="5"/>
  <c r="C7" i="5" l="1"/>
  <c r="C21" i="5"/>
  <c r="N72" i="1" l="1"/>
  <c r="N73" i="1"/>
  <c r="N74" i="1"/>
  <c r="N75" i="1"/>
  <c r="N71" i="1"/>
  <c r="L71" i="1"/>
  <c r="K71" i="1"/>
  <c r="C59" i="1"/>
  <c r="B59" i="1"/>
  <c r="E62" i="1"/>
  <c r="E61" i="1"/>
  <c r="E60" i="1"/>
  <c r="G37" i="1" l="1"/>
  <c r="E33" i="1"/>
  <c r="D25" i="1"/>
  <c r="G8" i="1"/>
  <c r="D8" i="1"/>
  <c r="D7" i="16" l="1"/>
  <c r="G6" i="16" l="1"/>
  <c r="H6" i="16" s="1"/>
  <c r="F6" i="16"/>
  <c r="G5" i="16"/>
  <c r="H5" i="16" s="1"/>
  <c r="F5" i="16"/>
  <c r="G4" i="16"/>
  <c r="H4" i="16" s="1"/>
  <c r="F4" i="16"/>
  <c r="D8" i="16"/>
  <c r="E7" i="16"/>
  <c r="G7" i="16" s="1"/>
  <c r="H7" i="16" s="1"/>
  <c r="D16" i="15"/>
  <c r="D15" i="15"/>
  <c r="D14" i="15"/>
  <c r="D18" i="15" s="1"/>
  <c r="D13" i="15"/>
  <c r="E8" i="15"/>
  <c r="D8" i="15"/>
  <c r="F5" i="15"/>
  <c r="G5" i="15"/>
  <c r="H5" i="15" s="1"/>
  <c r="F6" i="15"/>
  <c r="G6" i="15"/>
  <c r="H6" i="15" s="1"/>
  <c r="F7" i="15"/>
  <c r="G7" i="15"/>
  <c r="H7" i="15" s="1"/>
  <c r="G4" i="15"/>
  <c r="H4" i="15" s="1"/>
  <c r="F4" i="15"/>
  <c r="E8" i="14"/>
  <c r="G8" i="14" s="1"/>
  <c r="H8" i="14" s="1"/>
  <c r="D8" i="14"/>
  <c r="G7" i="14"/>
  <c r="H7" i="14" s="1"/>
  <c r="F7" i="14"/>
  <c r="G6" i="14"/>
  <c r="H6" i="14" s="1"/>
  <c r="F6" i="14"/>
  <c r="G5" i="14"/>
  <c r="H5" i="14" s="1"/>
  <c r="F5" i="14"/>
  <c r="G4" i="14"/>
  <c r="H4" i="14" s="1"/>
  <c r="F4" i="14"/>
  <c r="D8" i="13"/>
  <c r="D9" i="13" s="1"/>
  <c r="E8" i="13"/>
  <c r="G7" i="13"/>
  <c r="H7" i="13" s="1"/>
  <c r="F7" i="13"/>
  <c r="G6" i="13"/>
  <c r="H6" i="13" s="1"/>
  <c r="F6" i="13"/>
  <c r="G5" i="13"/>
  <c r="H5" i="13" s="1"/>
  <c r="F5" i="13"/>
  <c r="G4" i="13"/>
  <c r="H4" i="13" s="1"/>
  <c r="F4" i="13"/>
  <c r="H5" i="12"/>
  <c r="I5" i="12"/>
  <c r="H6" i="12"/>
  <c r="I6" i="12"/>
  <c r="I4" i="12"/>
  <c r="H4" i="12"/>
  <c r="F8" i="14" l="1"/>
  <c r="F7" i="16"/>
  <c r="E8" i="16"/>
  <c r="F8" i="15"/>
  <c r="G8" i="15"/>
  <c r="H8" i="15" s="1"/>
  <c r="G8" i="13"/>
  <c r="H8" i="13" s="1"/>
  <c r="E9" i="13"/>
  <c r="F8" i="13"/>
  <c r="H7" i="12"/>
  <c r="I7" i="12"/>
  <c r="E8" i="11"/>
  <c r="D8" i="11"/>
  <c r="G5" i="11"/>
  <c r="H5" i="11" s="1"/>
  <c r="G6" i="11"/>
  <c r="H6" i="11" s="1"/>
  <c r="G7" i="11"/>
  <c r="H7" i="11" s="1"/>
  <c r="G4" i="11"/>
  <c r="H4" i="11" s="1"/>
  <c r="F5" i="11"/>
  <c r="F6" i="11"/>
  <c r="F7" i="11"/>
  <c r="F4" i="11"/>
  <c r="H16" i="10"/>
  <c r="H17" i="10"/>
  <c r="E16" i="10"/>
  <c r="N13" i="10" s="1"/>
  <c r="E17" i="10"/>
  <c r="E15" i="10"/>
  <c r="D18" i="8"/>
  <c r="D19" i="8"/>
  <c r="D3" i="7"/>
  <c r="D16" i="11" l="1"/>
  <c r="D13" i="11"/>
  <c r="D14" i="11" s="1"/>
  <c r="D10" i="11"/>
  <c r="D19" i="11"/>
  <c r="G8" i="16"/>
  <c r="H8" i="16" s="1"/>
  <c r="F8" i="16"/>
  <c r="F10" i="13"/>
  <c r="G9" i="13"/>
  <c r="H9" i="13" s="1"/>
  <c r="F9" i="13"/>
  <c r="F8" i="11"/>
  <c r="D11" i="11"/>
  <c r="G8" i="11"/>
  <c r="H8" i="11" s="1"/>
  <c r="E19" i="8"/>
  <c r="D17" i="11" l="1"/>
  <c r="D20" i="11"/>
  <c r="H12" i="8"/>
  <c r="D20" i="8"/>
  <c r="E20" i="8" s="1"/>
  <c r="D21" i="8" s="1"/>
  <c r="E21" i="8" s="1"/>
  <c r="D22" i="8" s="1"/>
  <c r="E22" i="8" s="1"/>
  <c r="H9" i="8"/>
  <c r="H10" i="8"/>
  <c r="B21" i="5"/>
  <c r="C12" i="5"/>
  <c r="B12" i="5"/>
  <c r="C20" i="5"/>
  <c r="C22" i="5" s="1"/>
  <c r="B7" i="5"/>
  <c r="B20" i="5" s="1"/>
  <c r="B22" i="5" s="1"/>
  <c r="M27" i="4"/>
  <c r="L27" i="4"/>
  <c r="K27" i="4"/>
  <c r="I27" i="4"/>
  <c r="J27" i="4" s="1"/>
  <c r="H27" i="4"/>
  <c r="F27" i="4"/>
  <c r="M26" i="4"/>
  <c r="L26" i="4"/>
  <c r="K26" i="4"/>
  <c r="I26" i="4"/>
  <c r="J26" i="4" s="1"/>
  <c r="H26" i="4"/>
  <c r="F26" i="4"/>
  <c r="M25" i="4"/>
  <c r="L25" i="4"/>
  <c r="K25" i="4"/>
  <c r="I25" i="4"/>
  <c r="J25" i="4" s="1"/>
  <c r="H25" i="4"/>
  <c r="F25" i="4"/>
  <c r="M24" i="4"/>
  <c r="L24" i="4"/>
  <c r="K24" i="4"/>
  <c r="I24" i="4"/>
  <c r="J24" i="4" s="1"/>
  <c r="H24" i="4"/>
  <c r="F24" i="4"/>
  <c r="M23" i="4"/>
  <c r="L23" i="4"/>
  <c r="K23" i="4"/>
  <c r="I23" i="4"/>
  <c r="J23" i="4" s="1"/>
  <c r="H23" i="4"/>
  <c r="F23" i="4"/>
  <c r="G13" i="4"/>
  <c r="G14" i="4" s="1"/>
  <c r="F13" i="4"/>
  <c r="F14" i="4" s="1"/>
  <c r="E13" i="4"/>
  <c r="E14" i="4" s="1"/>
  <c r="D11" i="4"/>
  <c r="C11" i="4"/>
  <c r="B11" i="4"/>
  <c r="D10" i="4"/>
  <c r="C10" i="4"/>
  <c r="B10" i="4"/>
  <c r="G9" i="4"/>
  <c r="F9" i="4"/>
  <c r="E9" i="4"/>
  <c r="G8" i="4"/>
  <c r="F8" i="4"/>
  <c r="E8" i="4"/>
  <c r="G7" i="4"/>
  <c r="F7" i="4"/>
  <c r="E7" i="4"/>
  <c r="G6" i="4"/>
  <c r="F6" i="4"/>
  <c r="E6" i="4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F9" i="2"/>
  <c r="E9" i="2"/>
  <c r="H9" i="2" s="1"/>
  <c r="F8" i="2"/>
  <c r="F10" i="2" s="1"/>
  <c r="E8" i="2"/>
  <c r="H73" i="1"/>
  <c r="K72" i="1"/>
  <c r="L72" i="1"/>
  <c r="M72" i="1"/>
  <c r="K73" i="1"/>
  <c r="L73" i="1"/>
  <c r="M73" i="1"/>
  <c r="K74" i="1"/>
  <c r="L74" i="1"/>
  <c r="M74" i="1"/>
  <c r="K75" i="1"/>
  <c r="L75" i="1"/>
  <c r="M75" i="1"/>
  <c r="M71" i="1"/>
  <c r="I72" i="1"/>
  <c r="J72" i="1" s="1"/>
  <c r="I73" i="1"/>
  <c r="J73" i="1" s="1"/>
  <c r="I74" i="1"/>
  <c r="J74" i="1" s="1"/>
  <c r="I75" i="1"/>
  <c r="J75" i="1" s="1"/>
  <c r="I71" i="1"/>
  <c r="J71" i="1" s="1"/>
  <c r="H72" i="1"/>
  <c r="H74" i="1"/>
  <c r="H75" i="1"/>
  <c r="H71" i="1"/>
  <c r="D59" i="1"/>
  <c r="F72" i="1"/>
  <c r="F73" i="1"/>
  <c r="F74" i="1"/>
  <c r="F75" i="1"/>
  <c r="F71" i="1"/>
  <c r="F62" i="1"/>
  <c r="G60" i="1"/>
  <c r="F61" i="1"/>
  <c r="G61" i="1"/>
  <c r="G62" i="1" s="1"/>
  <c r="F54" i="1"/>
  <c r="F60" i="1" s="1"/>
  <c r="G54" i="1"/>
  <c r="F55" i="1"/>
  <c r="G55" i="1"/>
  <c r="F56" i="1"/>
  <c r="G56" i="1"/>
  <c r="F57" i="1"/>
  <c r="G57" i="1"/>
  <c r="E55" i="1"/>
  <c r="E56" i="1"/>
  <c r="E57" i="1"/>
  <c r="E54" i="1"/>
  <c r="D58" i="1"/>
  <c r="C58" i="1"/>
  <c r="B58" i="1"/>
  <c r="F12" i="4" l="1"/>
  <c r="I9" i="2"/>
  <c r="J8" i="2"/>
  <c r="D22" i="11"/>
  <c r="H5" i="8"/>
  <c r="H11" i="8"/>
  <c r="H6" i="8"/>
  <c r="H7" i="8"/>
  <c r="H13" i="8"/>
  <c r="H8" i="8"/>
  <c r="H14" i="8"/>
  <c r="G12" i="4"/>
  <c r="E12" i="4"/>
  <c r="I10" i="2"/>
  <c r="J9" i="2"/>
  <c r="H8" i="2"/>
  <c r="E10" i="2"/>
  <c r="I8" i="2"/>
  <c r="H10" i="2" l="1"/>
  <c r="J10" i="2"/>
  <c r="F37" i="1" l="1"/>
  <c r="E37" i="1"/>
  <c r="F33" i="1"/>
  <c r="G33" i="1"/>
  <c r="F34" i="1"/>
  <c r="G34" i="1"/>
  <c r="F35" i="1"/>
  <c r="G35" i="1"/>
  <c r="F36" i="1"/>
  <c r="G36" i="1"/>
  <c r="E34" i="1"/>
  <c r="E35" i="1"/>
  <c r="E36" i="1"/>
  <c r="J24" i="1"/>
  <c r="F24" i="1"/>
  <c r="I24" i="1" s="1"/>
  <c r="F23" i="1"/>
  <c r="I23" i="1" s="1"/>
  <c r="E24" i="1"/>
  <c r="H24" i="1" s="1"/>
  <c r="E23" i="1"/>
  <c r="E25" i="1" s="1"/>
  <c r="K8" i="1"/>
  <c r="J10" i="1"/>
  <c r="J9" i="1"/>
  <c r="J8" i="1"/>
  <c r="G9" i="1"/>
  <c r="G10" i="1"/>
  <c r="D9" i="1"/>
  <c r="Q9" i="1" s="1"/>
  <c r="D10" i="1"/>
  <c r="Q8" i="1" l="1"/>
  <c r="F25" i="1"/>
  <c r="I25" i="1" s="1"/>
  <c r="J25" i="1"/>
  <c r="H25" i="1"/>
  <c r="H23" i="1"/>
  <c r="J23" i="1"/>
  <c r="O10" i="1"/>
  <c r="K10" i="1"/>
  <c r="J11" i="1"/>
  <c r="G11" i="1"/>
  <c r="K9" i="1"/>
  <c r="P9" i="1"/>
  <c r="Q10" i="1"/>
  <c r="O9" i="1"/>
  <c r="P10" i="1"/>
  <c r="P8" i="1"/>
  <c r="O8" i="1"/>
  <c r="D11" i="1"/>
  <c r="Q11" i="1"/>
  <c r="K11" i="1" l="1"/>
  <c r="O11" i="1"/>
  <c r="P11" i="1"/>
</calcChain>
</file>

<file path=xl/sharedStrings.xml><?xml version="1.0" encoding="utf-8"?>
<sst xmlns="http://schemas.openxmlformats.org/spreadsheetml/2006/main" count="310" uniqueCount="156">
  <si>
    <t>Матеріали та сировина</t>
  </si>
  <si>
    <t>За планом</t>
  </si>
  <si>
    <t>Фактично</t>
  </si>
  <si>
    <t>Норма витрат, кг/т</t>
  </si>
  <si>
    <t>Ціна за 1 г, грн</t>
  </si>
  <si>
    <t>Сума</t>
  </si>
  <si>
    <t>1. Клінкер</t>
  </si>
  <si>
    <t>2. Шлак</t>
  </si>
  <si>
    <t>3. Гіпс</t>
  </si>
  <si>
    <t xml:space="preserve">Разом </t>
  </si>
  <si>
    <t>х</t>
  </si>
  <si>
    <t>Абсолютне відхилення</t>
  </si>
  <si>
    <t>Відносне відхилення</t>
  </si>
  <si>
    <t>Темп приросту</t>
  </si>
  <si>
    <t>Задача 6</t>
  </si>
  <si>
    <t>Задача 7</t>
  </si>
  <si>
    <t>Фактичні обсяги за плановими цінами</t>
  </si>
  <si>
    <t>Фактична норма витрат</t>
  </si>
  <si>
    <t>Планова ціна</t>
  </si>
  <si>
    <t>Величина впливу вартісного фактору</t>
  </si>
  <si>
    <t>Стільці</t>
  </si>
  <si>
    <t>Крісла</t>
  </si>
  <si>
    <t>Вид продукції</t>
  </si>
  <si>
    <t>Собівартість од. продукції, грн.</t>
  </si>
  <si>
    <t>Фактичний обсяг продукції, шт.</t>
  </si>
  <si>
    <t>Сума витрат на фактичний обсяг продукції, тис.грн</t>
  </si>
  <si>
    <t>план</t>
  </si>
  <si>
    <t>факт</t>
  </si>
  <si>
    <r>
      <t>План (Vф</t>
    </r>
    <r>
      <rPr>
        <vertAlign val="subscript"/>
        <sz val="12"/>
        <color rgb="FF000000"/>
        <rFont val="Times New Roman"/>
        <family val="1"/>
        <charset val="204"/>
      </rPr>
      <t>і</t>
    </r>
    <r>
      <rPr>
        <sz val="12"/>
        <color rgb="FF000000"/>
        <rFont val="Times New Roman"/>
        <family val="1"/>
        <charset val="204"/>
      </rPr>
      <t>Cпл</t>
    </r>
    <r>
      <rPr>
        <vertAlign val="subscript"/>
        <sz val="12"/>
        <color rgb="FF000000"/>
        <rFont val="Times New Roman"/>
        <family val="1"/>
        <charset val="204"/>
      </rPr>
      <t>і</t>
    </r>
    <r>
      <rPr>
        <sz val="12"/>
        <color rgb="FF000000"/>
        <rFont val="Times New Roman"/>
        <family val="1"/>
        <charset val="204"/>
      </rPr>
      <t>)</t>
    </r>
  </si>
  <si>
    <r>
      <t>факт (Vф</t>
    </r>
    <r>
      <rPr>
        <vertAlign val="subscript"/>
        <sz val="12"/>
        <color rgb="FF000000"/>
        <rFont val="Times New Roman"/>
        <family val="1"/>
        <charset val="204"/>
      </rPr>
      <t>і</t>
    </r>
    <r>
      <rPr>
        <sz val="12"/>
        <color rgb="FF000000"/>
        <rFont val="Times New Roman"/>
        <family val="1"/>
        <charset val="204"/>
      </rPr>
      <t>Cф</t>
    </r>
    <r>
      <rPr>
        <vertAlign val="subscript"/>
        <sz val="12"/>
        <color rgb="FF000000"/>
        <rFont val="Times New Roman"/>
        <family val="1"/>
        <charset val="204"/>
      </rPr>
      <t>і</t>
    </r>
    <r>
      <rPr>
        <sz val="12"/>
        <color rgb="FF000000"/>
        <rFont val="Times New Roman"/>
        <family val="1"/>
        <charset val="204"/>
      </rPr>
      <t>)</t>
    </r>
  </si>
  <si>
    <t>разом</t>
  </si>
  <si>
    <t>Задача 8</t>
  </si>
  <si>
    <t>Роки</t>
  </si>
  <si>
    <t>Випуск товарної продукції, млн.грн</t>
  </si>
  <si>
    <t>Кількість робітників, чол.</t>
  </si>
  <si>
    <t>Продуктивність праці, млн.грн</t>
  </si>
  <si>
    <t>Задача 10</t>
  </si>
  <si>
    <t>Минулі роки</t>
  </si>
  <si>
    <t>У середньому за 4 роки</t>
  </si>
  <si>
    <t>План на майбутній рік</t>
  </si>
  <si>
    <t>1-й</t>
  </si>
  <si>
    <t>2-й</t>
  </si>
  <si>
    <t>3-й</t>
  </si>
  <si>
    <t>4-й</t>
  </si>
  <si>
    <t>А</t>
  </si>
  <si>
    <t>В</t>
  </si>
  <si>
    <t>С</t>
  </si>
  <si>
    <t>Д</t>
  </si>
  <si>
    <t>Всього</t>
  </si>
  <si>
    <t>Середнє значення</t>
  </si>
  <si>
    <t>T1</t>
  </si>
  <si>
    <t>T2</t>
  </si>
  <si>
    <t>T3</t>
  </si>
  <si>
    <t>Середній темп приросту</t>
  </si>
  <si>
    <t>Темп росту</t>
  </si>
  <si>
    <t>Середній абсолютний приріст</t>
  </si>
  <si>
    <t>Показники</t>
  </si>
  <si>
    <t>План</t>
  </si>
  <si>
    <t>Факт</t>
  </si>
  <si>
    <t>1. Залишки прокату на початок року (Зпр)</t>
  </si>
  <si>
    <t xml:space="preserve">2. Надійшло прокату за рік (Нп): </t>
  </si>
  <si>
    <t xml:space="preserve">Від постачальників </t>
  </si>
  <si>
    <t>Від інших організацій</t>
  </si>
  <si>
    <t xml:space="preserve">Власне виробництво </t>
  </si>
  <si>
    <t xml:space="preserve">Інші джерела </t>
  </si>
  <si>
    <t>3.Витрати прокату за рік (Вп):</t>
  </si>
  <si>
    <t xml:space="preserve"> на основне виробництво </t>
  </si>
  <si>
    <t xml:space="preserve">будівництво та капітальний ремонт </t>
  </si>
  <si>
    <t>інструментальне виробництво</t>
  </si>
  <si>
    <t xml:space="preserve">інші потреби виробництва </t>
  </si>
  <si>
    <t xml:space="preserve">відпуск на сторону </t>
  </si>
  <si>
    <t>4. Залишки прокату на кінець року  (Зкр)</t>
  </si>
  <si>
    <t>Задача 11</t>
  </si>
  <si>
    <t>Зпр+Нп</t>
  </si>
  <si>
    <t>Вп+Зкр</t>
  </si>
  <si>
    <t>=</t>
  </si>
  <si>
    <r>
      <t>Задача 12.</t>
    </r>
    <r>
      <rPr>
        <sz val="14"/>
        <color rgb="FF000000"/>
        <rFont val="Times New Roman"/>
        <family val="1"/>
        <charset val="204"/>
      </rPr>
      <t xml:space="preserve"> Розрахувати залишки продукції на  кінець року, коли відомо, що за рік було виготовлено продукції на суму 96,0 млн. грн., реалізовано – 95,8 млн. грн. Залишки продукції на складі  на початок року становили 2,0 млн. грн. (балансовий метод).</t>
    </r>
  </si>
  <si>
    <t>Залишки на кінець року</t>
  </si>
  <si>
    <t>Виготовлено за рік</t>
  </si>
  <si>
    <t>Реалізовано</t>
  </si>
  <si>
    <t>Залишки на початок року</t>
  </si>
  <si>
    <t>РБУ</t>
  </si>
  <si>
    <t>Обсяг виконання робіт, млн.грн</t>
  </si>
  <si>
    <t>Рентабельність. %</t>
  </si>
  <si>
    <t>Кількість робітників</t>
  </si>
  <si>
    <t>Задача 13</t>
  </si>
  <si>
    <r>
      <t>Задача 14</t>
    </r>
    <r>
      <rPr>
        <sz val="14"/>
        <color rgb="FF000000"/>
        <rFont val="Times New Roman"/>
        <family val="1"/>
        <charset val="204"/>
      </rPr>
      <t>. Для розробки преміального положення за результатами річної діяльності необхідно суму винагороди –15,0 тис. грн. розподілити між робітниками підприємства. Розробіть шкалу винагород, коли відомо, що чисельність працівників із стажем роботи до 5 років складає 20 чол., до 10 років – 46 чол., понад 10 років – 14 чол. Процент винагород за стажем роботи визначте самостійно.</t>
    </r>
  </si>
  <si>
    <t>Розмір інтервалу</t>
  </si>
  <si>
    <t>Група 1</t>
  </si>
  <si>
    <t>Група 2</t>
  </si>
  <si>
    <t>Група 3</t>
  </si>
  <si>
    <t>Група 4</t>
  </si>
  <si>
    <t>Група виробництв за рентабельністю</t>
  </si>
  <si>
    <t xml:space="preserve">Група </t>
  </si>
  <si>
    <t>Задача 15</t>
  </si>
  <si>
    <t>Об'єднання 1</t>
  </si>
  <si>
    <t>Об'єднання 2</t>
  </si>
  <si>
    <t>Завод</t>
  </si>
  <si>
    <t>План випуску, тис.грн.</t>
  </si>
  <si>
    <t>Виконання плану, %</t>
  </si>
  <si>
    <t>Фактичний випуск, тис. грн.</t>
  </si>
  <si>
    <t>Середній відсоток виконання плану</t>
  </si>
  <si>
    <t>Чинники</t>
  </si>
  <si>
    <t>Обсяг товарної продукції, тис. грн.</t>
  </si>
  <si>
    <t>Кількість робочих, чол.</t>
  </si>
  <si>
    <t>Тривалість робочого дня, год.</t>
  </si>
  <si>
    <t>Кількість робочих днів</t>
  </si>
  <si>
    <t>Задача 19</t>
  </si>
  <si>
    <t>1) Ланцюгові підстановки</t>
  </si>
  <si>
    <t>Виконання влану</t>
  </si>
  <si>
    <t>Абсолютне відхилення від плану</t>
  </si>
  <si>
    <t>Відхилення</t>
  </si>
  <si>
    <t>Середньогодинний виробіток, тис. грн</t>
  </si>
  <si>
    <t>Вплив кількості робочих:</t>
  </si>
  <si>
    <t>тис. грн</t>
  </si>
  <si>
    <t>Вплив кількості робочих днів:</t>
  </si>
  <si>
    <t>Вплив тривалості робочого дня:</t>
  </si>
  <si>
    <t>Вплив середньогодинного виробітку</t>
  </si>
  <si>
    <t>Загальний вплив всіх факторів</t>
  </si>
  <si>
    <t>Види продукції</t>
  </si>
  <si>
    <t>Кількість ,т</t>
  </si>
  <si>
    <t>Ціна, грн/кг</t>
  </si>
  <si>
    <t>Обсяг реалізції,тис.грн.</t>
  </si>
  <si>
    <r>
      <t>За планом (g</t>
    </r>
    <r>
      <rPr>
        <vertAlign val="subscript"/>
        <sz val="12"/>
        <color rgb="FF000000"/>
        <rFont val="Times New Roman"/>
        <family val="1"/>
        <charset val="204"/>
      </rPr>
      <t>0</t>
    </r>
    <r>
      <rPr>
        <sz val="12"/>
        <color rgb="FF000000"/>
        <rFont val="Times New Roman"/>
        <family val="1"/>
        <charset val="204"/>
      </rPr>
      <t>)</t>
    </r>
  </si>
  <si>
    <r>
      <t>Фактично (g</t>
    </r>
    <r>
      <rPr>
        <vertAlign val="subscript"/>
        <sz val="12"/>
        <color rgb="FF000000"/>
        <rFont val="Times New Roman"/>
        <family val="1"/>
        <charset val="204"/>
      </rPr>
      <t xml:space="preserve">1 </t>
    </r>
    <r>
      <rPr>
        <sz val="12"/>
        <color rgb="FF000000"/>
        <rFont val="Times New Roman"/>
        <family val="1"/>
        <charset val="204"/>
      </rPr>
      <t>)</t>
    </r>
  </si>
  <si>
    <r>
      <t>За планом (р</t>
    </r>
    <r>
      <rPr>
        <vertAlign val="subscript"/>
        <sz val="12"/>
        <color rgb="FF000000"/>
        <rFont val="Times New Roman"/>
        <family val="1"/>
        <charset val="204"/>
      </rPr>
      <t xml:space="preserve">0 </t>
    </r>
    <r>
      <rPr>
        <sz val="12"/>
        <color rgb="FF000000"/>
        <rFont val="Times New Roman"/>
        <family val="1"/>
        <charset val="204"/>
      </rPr>
      <t>)</t>
    </r>
  </si>
  <si>
    <r>
      <t>Фактично (р</t>
    </r>
    <r>
      <rPr>
        <vertAlign val="subscript"/>
        <sz val="12"/>
        <color rgb="FF000000"/>
        <rFont val="Times New Roman"/>
        <family val="1"/>
        <charset val="204"/>
      </rPr>
      <t xml:space="preserve">1 </t>
    </r>
    <r>
      <rPr>
        <sz val="12"/>
        <color rgb="FF000000"/>
        <rFont val="Times New Roman"/>
        <family val="1"/>
        <charset val="204"/>
      </rPr>
      <t>)</t>
    </r>
  </si>
  <si>
    <r>
      <t>За планом (g</t>
    </r>
    <r>
      <rPr>
        <vertAlign val="subscript"/>
        <sz val="12"/>
        <color rgb="FF000000"/>
        <rFont val="Times New Roman"/>
        <family val="1"/>
        <charset val="204"/>
      </rPr>
      <t xml:space="preserve">0 </t>
    </r>
    <r>
      <rPr>
        <sz val="12"/>
        <color rgb="FF000000"/>
        <rFont val="Times New Roman"/>
        <family val="1"/>
        <charset val="204"/>
      </rPr>
      <t>р</t>
    </r>
    <r>
      <rPr>
        <vertAlign val="subscript"/>
        <sz val="12"/>
        <color rgb="FF000000"/>
        <rFont val="Times New Roman"/>
        <family val="1"/>
        <charset val="204"/>
      </rPr>
      <t>0</t>
    </r>
    <r>
      <rPr>
        <sz val="12"/>
        <color rgb="FF000000"/>
        <rFont val="Times New Roman"/>
        <family val="1"/>
        <charset val="204"/>
      </rPr>
      <t>)</t>
    </r>
  </si>
  <si>
    <r>
      <t>Фактично (g</t>
    </r>
    <r>
      <rPr>
        <vertAlign val="subscript"/>
        <sz val="12"/>
        <color rgb="FF000000"/>
        <rFont val="Times New Roman"/>
        <family val="1"/>
        <charset val="204"/>
      </rPr>
      <t>1</t>
    </r>
    <r>
      <rPr>
        <sz val="12"/>
        <color rgb="FF000000"/>
        <rFont val="Times New Roman"/>
        <family val="1"/>
        <charset val="204"/>
      </rPr>
      <t xml:space="preserve"> р</t>
    </r>
    <r>
      <rPr>
        <vertAlign val="subscript"/>
        <sz val="12"/>
        <color rgb="FF000000"/>
        <rFont val="Times New Roman"/>
        <family val="1"/>
        <charset val="204"/>
      </rPr>
      <t xml:space="preserve">1 </t>
    </r>
    <r>
      <rPr>
        <sz val="12"/>
        <color rgb="FF000000"/>
        <rFont val="Times New Roman"/>
        <family val="1"/>
        <charset val="204"/>
      </rPr>
      <t>)</t>
    </r>
  </si>
  <si>
    <t>Задача 20</t>
  </si>
  <si>
    <t>Задача 21</t>
  </si>
  <si>
    <t>Виконання плану</t>
  </si>
  <si>
    <t>Трифакторна модель:</t>
  </si>
  <si>
    <t>ОТ</t>
  </si>
  <si>
    <t>Кр</t>
  </si>
  <si>
    <t>Тр</t>
  </si>
  <si>
    <t>Кд</t>
  </si>
  <si>
    <t>Св</t>
  </si>
  <si>
    <t>Виробіток за день</t>
  </si>
  <si>
    <t>Кр Х Тр Х Св</t>
  </si>
  <si>
    <t>Виробіток за день, тис. грн</t>
  </si>
  <si>
    <t>Задача 22</t>
  </si>
  <si>
    <t>Завдання</t>
  </si>
  <si>
    <t xml:space="preserve">Середньоспискова чисельність робітників, чол. </t>
  </si>
  <si>
    <t xml:space="preserve">Середня кількість днів, відпрацьованих одним робітником за рік, дн. </t>
  </si>
  <si>
    <t xml:space="preserve">Тривалість робочого дня, годин </t>
  </si>
  <si>
    <t xml:space="preserve">Середньогодинний виробіток, грн. </t>
  </si>
  <si>
    <t>Задача 23</t>
  </si>
  <si>
    <t>Всього вироблено за рік. тис. грн</t>
  </si>
  <si>
    <t xml:space="preserve">Середньорічний виробіток робітника, грн. </t>
  </si>
  <si>
    <t xml:space="preserve">Питома вага чисельності робітників в чисельності працюючих </t>
  </si>
  <si>
    <t xml:space="preserve">Чисельність працюючих, чол. </t>
  </si>
  <si>
    <t>Задача 24</t>
  </si>
  <si>
    <t>Чисельність робітників, чол</t>
  </si>
  <si>
    <t>Обсяг за рік</t>
  </si>
  <si>
    <t>Планові показники відносно останнього року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</si>
</sst>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₴_-;\-* #,##0.00_₴_-;_-* &quot;-&quot;??_₴_-;_-@_-"/>
    <numFmt numFmtId="165" formatCode="_-* #,##0_₴_-;\-* #,##0_₴_-;_-* &quot;-&quot;??_₴_-;_-@_-"/>
    <numFmt numFmtId="166" formatCode="0.000%"/>
    <numFmt numFmtId="167" formatCode="0.0000"/>
    <numFmt numFmtId="168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u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9" fontId="0" fillId="0" borderId="0" xfId="2" applyFont="1"/>
    <xf numFmtId="9" fontId="3" fillId="0" borderId="1" xfId="2" applyFont="1" applyBorder="1" applyAlignment="1">
      <alignment horizontal="center" vertical="center" wrapText="1"/>
    </xf>
    <xf numFmtId="0" fontId="0" fillId="0" borderId="2" xfId="0" applyBorder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3" fillId="0" borderId="0" xfId="0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9" fontId="3" fillId="2" borderId="1" xfId="2" applyFont="1" applyFill="1" applyBorder="1" applyAlignment="1">
      <alignment horizontal="center" vertical="center" wrapText="1"/>
    </xf>
    <xf numFmtId="165" fontId="3" fillId="2" borderId="4" xfId="0" applyNumberFormat="1" applyFont="1" applyFill="1" applyBorder="1" applyAlignment="1">
      <alignment horizontal="center" vertical="center" wrapText="1"/>
    </xf>
    <xf numFmtId="9" fontId="3" fillId="2" borderId="5" xfId="2" applyFont="1" applyFill="1" applyBorder="1" applyAlignment="1">
      <alignment horizontal="center" vertical="center" wrapText="1"/>
    </xf>
    <xf numFmtId="166" fontId="5" fillId="2" borderId="3" xfId="2" applyNumberFormat="1" applyFont="1" applyFill="1" applyBorder="1" applyAlignment="1">
      <alignment horizontal="center" vertical="center" wrapText="1"/>
    </xf>
    <xf numFmtId="9" fontId="0" fillId="0" borderId="1" xfId="2" applyFont="1" applyBorder="1"/>
    <xf numFmtId="9" fontId="0" fillId="0" borderId="6" xfId="2" applyFont="1" applyBorder="1"/>
    <xf numFmtId="9" fontId="0" fillId="0" borderId="7" xfId="2" applyFont="1" applyBorder="1"/>
    <xf numFmtId="9" fontId="0" fillId="0" borderId="8" xfId="2" applyFont="1" applyBorder="1"/>
    <xf numFmtId="0" fontId="5" fillId="0" borderId="0" xfId="0" applyFont="1" applyAlignment="1">
      <alignment horizontal="center" vertical="center" wrapText="1"/>
    </xf>
    <xf numFmtId="0" fontId="0" fillId="0" borderId="1" xfId="0" applyBorder="1"/>
    <xf numFmtId="2" fontId="5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9" fontId="5" fillId="0" borderId="1" xfId="2" applyFont="1" applyBorder="1" applyAlignment="1">
      <alignment horizontal="center" vertical="center" wrapText="1"/>
    </xf>
    <xf numFmtId="9" fontId="2" fillId="0" borderId="1" xfId="2" applyFont="1" applyBorder="1"/>
    <xf numFmtId="0" fontId="5" fillId="2" borderId="1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justify" vertical="center" wrapText="1"/>
    </xf>
    <xf numFmtId="0" fontId="5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justify" vertical="center" wrapText="1"/>
    </xf>
    <xf numFmtId="0" fontId="3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justify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justify" vertical="center"/>
    </xf>
    <xf numFmtId="0" fontId="8" fillId="0" borderId="1" xfId="0" applyFont="1" applyBorder="1" applyAlignment="1">
      <alignment horizontal="justify" vertical="center"/>
    </xf>
    <xf numFmtId="0" fontId="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167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164" fontId="3" fillId="3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2" fontId="3" fillId="0" borderId="0" xfId="0" applyNumberFormat="1" applyFont="1" applyAlignment="1">
      <alignment horizontal="center" vertical="center" wrapText="1"/>
    </xf>
    <xf numFmtId="168" fontId="3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</cellXfs>
  <cellStyles count="3">
    <cellStyle name="Відсотковий" xfId="2" builtinId="5"/>
    <cellStyle name="Звичайний" xfId="0" builtinId="0"/>
    <cellStyle name="Фінансови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'6'!$B$31</c:f>
              <c:strCache>
                <c:ptCount val="1"/>
                <c:pt idx="0">
                  <c:v>Випуск товарної продукції, млн.грн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'6'!$A$32:$A$36</c:f>
              <c:numCache>
                <c:formatCode>General</c:formatCode>
                <c:ptCount val="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</c:numCache>
            </c:numRef>
          </c:cat>
          <c:val>
            <c:numRef>
              <c:f>'6'!$B$32:$B$36</c:f>
              <c:numCache>
                <c:formatCode>General</c:formatCode>
                <c:ptCount val="5"/>
                <c:pt idx="0">
                  <c:v>3830</c:v>
                </c:pt>
                <c:pt idx="1">
                  <c:v>3910</c:v>
                </c:pt>
                <c:pt idx="2">
                  <c:v>4030</c:v>
                </c:pt>
                <c:pt idx="3">
                  <c:v>4150</c:v>
                </c:pt>
                <c:pt idx="4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D-41EB-B873-F1492356C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67744"/>
        <c:axId val="366075968"/>
      </c:lineChart>
      <c:catAx>
        <c:axId val="4953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6075968"/>
        <c:crosses val="autoZero"/>
        <c:auto val="1"/>
        <c:lblAlgn val="ctr"/>
        <c:lblOffset val="100"/>
        <c:noMultiLvlLbl val="0"/>
      </c:catAx>
      <c:valAx>
        <c:axId val="3660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95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'6'!$A$72</c:f>
              <c:strCache>
                <c:ptCount val="1"/>
                <c:pt idx="0">
                  <c:v>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'6'!$B$68:$E$68</c:f>
              <c:numCache>
                <c:formatCode>General</c:formatCode>
                <c:ptCount val="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</c:numCache>
            </c:numRef>
          </c:cat>
          <c:val>
            <c:numRef>
              <c:f>'6'!$B$72:$E$72</c:f>
              <c:numCache>
                <c:formatCode>General</c:formatCode>
                <c:ptCount val="4"/>
                <c:pt idx="0">
                  <c:v>200</c:v>
                </c:pt>
                <c:pt idx="1">
                  <c:v>205</c:v>
                </c:pt>
                <c:pt idx="2">
                  <c:v>218</c:v>
                </c:pt>
                <c:pt idx="3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2-48CC-901C-7BFAAB560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67744"/>
        <c:axId val="366075968"/>
      </c:lineChart>
      <c:catAx>
        <c:axId val="4953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6075968"/>
        <c:crosses val="autoZero"/>
        <c:auto val="1"/>
        <c:lblAlgn val="ctr"/>
        <c:lblOffset val="100"/>
        <c:noMultiLvlLbl val="0"/>
      </c:catAx>
      <c:valAx>
        <c:axId val="3660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95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'6'!$A$73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'6'!$B$68:$E$68</c:f>
              <c:numCache>
                <c:formatCode>General</c:formatCode>
                <c:ptCount val="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</c:numCache>
            </c:numRef>
          </c:cat>
          <c:val>
            <c:numRef>
              <c:f>'6'!$B$73:$E$73</c:f>
              <c:numCache>
                <c:formatCode>General</c:formatCode>
                <c:ptCount val="4"/>
                <c:pt idx="0">
                  <c:v>1330</c:v>
                </c:pt>
                <c:pt idx="1">
                  <c:v>1910</c:v>
                </c:pt>
                <c:pt idx="2">
                  <c:v>2030</c:v>
                </c:pt>
                <c:pt idx="3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B-465A-B427-D083ABC3C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67744"/>
        <c:axId val="366075968"/>
      </c:lineChart>
      <c:catAx>
        <c:axId val="4953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6075968"/>
        <c:crosses val="autoZero"/>
        <c:auto val="1"/>
        <c:lblAlgn val="ctr"/>
        <c:lblOffset val="100"/>
        <c:noMultiLvlLbl val="0"/>
      </c:catAx>
      <c:valAx>
        <c:axId val="3660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95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'6'!$A$74</c:f>
              <c:strCache>
                <c:ptCount val="1"/>
                <c:pt idx="0">
                  <c:v>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'6'!$B$68:$E$68</c:f>
              <c:numCache>
                <c:formatCode>General</c:formatCode>
                <c:ptCount val="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</c:numCache>
            </c:numRef>
          </c:cat>
          <c:val>
            <c:numRef>
              <c:f>'6'!$B$74:$E$74</c:f>
              <c:numCache>
                <c:formatCode>General</c:formatCode>
                <c:ptCount val="4"/>
                <c:pt idx="0">
                  <c:v>2020</c:v>
                </c:pt>
                <c:pt idx="1">
                  <c:v>1495</c:v>
                </c:pt>
                <c:pt idx="2">
                  <c:v>1482</c:v>
                </c:pt>
                <c:pt idx="3">
                  <c:v>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E-430D-B0BD-3E7D3CC4A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67744"/>
        <c:axId val="366075968"/>
      </c:lineChart>
      <c:catAx>
        <c:axId val="4953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6075968"/>
        <c:crosses val="autoZero"/>
        <c:auto val="1"/>
        <c:lblAlgn val="ctr"/>
        <c:lblOffset val="100"/>
        <c:noMultiLvlLbl val="0"/>
      </c:catAx>
      <c:valAx>
        <c:axId val="3660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95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'6'!$A$75</c:f>
              <c:strCache>
                <c:ptCount val="1"/>
                <c:pt idx="0">
                  <c:v>Всього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'6'!$B$68:$E$68</c:f>
              <c:numCache>
                <c:formatCode>General</c:formatCode>
                <c:ptCount val="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</c:numCache>
            </c:numRef>
          </c:cat>
          <c:val>
            <c:numRef>
              <c:f>'6'!$B$75:$E$75</c:f>
              <c:numCache>
                <c:formatCode>General</c:formatCode>
                <c:ptCount val="4"/>
                <c:pt idx="0">
                  <c:v>3830</c:v>
                </c:pt>
                <c:pt idx="1">
                  <c:v>3910</c:v>
                </c:pt>
                <c:pt idx="2">
                  <c:v>4030</c:v>
                </c:pt>
                <c:pt idx="3">
                  <c:v>4150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9-4A33-BA2C-9A32C1925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67744"/>
        <c:axId val="366075968"/>
      </c:lineChart>
      <c:catAx>
        <c:axId val="4953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6075968"/>
        <c:crosses val="autoZero"/>
        <c:auto val="1"/>
        <c:lblAlgn val="ctr"/>
        <c:lblOffset val="100"/>
        <c:noMultiLvlLbl val="0"/>
      </c:catAx>
      <c:valAx>
        <c:axId val="3660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95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'6'!$A$71</c:f>
              <c:strCache>
                <c:ptCount val="1"/>
                <c:pt idx="0">
                  <c:v>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'6'!$B$68:$E$68</c:f>
              <c:numCache>
                <c:formatCode>General</c:formatCode>
                <c:ptCount val="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</c:numCache>
            </c:numRef>
          </c:cat>
          <c:val>
            <c:numRef>
              <c:f>'6'!$B$71:$E$71</c:f>
              <c:numCache>
                <c:formatCode>General</c:formatCode>
                <c:ptCount val="4"/>
                <c:pt idx="0">
                  <c:v>280</c:v>
                </c:pt>
                <c:pt idx="1">
                  <c:v>300</c:v>
                </c:pt>
                <c:pt idx="2">
                  <c:v>300</c:v>
                </c:pt>
                <c:pt idx="3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E-4D5D-8F6B-C3134E345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67744"/>
        <c:axId val="366075968"/>
      </c:lineChart>
      <c:catAx>
        <c:axId val="4953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6075968"/>
        <c:crosses val="autoZero"/>
        <c:auto val="1"/>
        <c:lblAlgn val="ctr"/>
        <c:lblOffset val="100"/>
        <c:noMultiLvlLbl val="0"/>
      </c:catAx>
      <c:valAx>
        <c:axId val="3660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95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'6'!$A$72</c:f>
              <c:strCache>
                <c:ptCount val="1"/>
                <c:pt idx="0">
                  <c:v>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'6'!$B$68:$E$68</c:f>
              <c:numCache>
                <c:formatCode>General</c:formatCode>
                <c:ptCount val="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</c:numCache>
            </c:numRef>
          </c:cat>
          <c:val>
            <c:numRef>
              <c:f>'6'!$B$72:$E$72</c:f>
              <c:numCache>
                <c:formatCode>General</c:formatCode>
                <c:ptCount val="4"/>
                <c:pt idx="0">
                  <c:v>200</c:v>
                </c:pt>
                <c:pt idx="1">
                  <c:v>205</c:v>
                </c:pt>
                <c:pt idx="2">
                  <c:v>218</c:v>
                </c:pt>
                <c:pt idx="3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1-4A90-86A0-89432CE3F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67744"/>
        <c:axId val="366075968"/>
      </c:lineChart>
      <c:catAx>
        <c:axId val="4953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6075968"/>
        <c:crosses val="autoZero"/>
        <c:auto val="1"/>
        <c:lblAlgn val="ctr"/>
        <c:lblOffset val="100"/>
        <c:noMultiLvlLbl val="0"/>
      </c:catAx>
      <c:valAx>
        <c:axId val="3660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95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'6'!$A$73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'6'!$B$68:$E$68</c:f>
              <c:numCache>
                <c:formatCode>General</c:formatCode>
                <c:ptCount val="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</c:numCache>
            </c:numRef>
          </c:cat>
          <c:val>
            <c:numRef>
              <c:f>'6'!$B$73:$E$73</c:f>
              <c:numCache>
                <c:formatCode>General</c:formatCode>
                <c:ptCount val="4"/>
                <c:pt idx="0">
                  <c:v>1330</c:v>
                </c:pt>
                <c:pt idx="1">
                  <c:v>1910</c:v>
                </c:pt>
                <c:pt idx="2">
                  <c:v>2030</c:v>
                </c:pt>
                <c:pt idx="3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6-47E0-B294-7F560C42E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67744"/>
        <c:axId val="366075968"/>
      </c:lineChart>
      <c:catAx>
        <c:axId val="4953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6075968"/>
        <c:crosses val="autoZero"/>
        <c:auto val="1"/>
        <c:lblAlgn val="ctr"/>
        <c:lblOffset val="100"/>
        <c:noMultiLvlLbl val="0"/>
      </c:catAx>
      <c:valAx>
        <c:axId val="3660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95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'6'!$A$74</c:f>
              <c:strCache>
                <c:ptCount val="1"/>
                <c:pt idx="0">
                  <c:v>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'6'!$B$68:$E$68</c:f>
              <c:numCache>
                <c:formatCode>General</c:formatCode>
                <c:ptCount val="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</c:numCache>
            </c:numRef>
          </c:cat>
          <c:val>
            <c:numRef>
              <c:f>'6'!$B$74:$E$74</c:f>
              <c:numCache>
                <c:formatCode>General</c:formatCode>
                <c:ptCount val="4"/>
                <c:pt idx="0">
                  <c:v>2020</c:v>
                </c:pt>
                <c:pt idx="1">
                  <c:v>1495</c:v>
                </c:pt>
                <c:pt idx="2">
                  <c:v>1482</c:v>
                </c:pt>
                <c:pt idx="3">
                  <c:v>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8-4F29-8D05-487820BA9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67744"/>
        <c:axId val="366075968"/>
      </c:lineChart>
      <c:catAx>
        <c:axId val="4953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6075968"/>
        <c:crosses val="autoZero"/>
        <c:auto val="1"/>
        <c:lblAlgn val="ctr"/>
        <c:lblOffset val="100"/>
        <c:noMultiLvlLbl val="0"/>
      </c:catAx>
      <c:valAx>
        <c:axId val="3660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95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'6'!$A$75</c:f>
              <c:strCache>
                <c:ptCount val="1"/>
                <c:pt idx="0">
                  <c:v>Всього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'6'!$B$68:$E$68</c:f>
              <c:numCache>
                <c:formatCode>General</c:formatCode>
                <c:ptCount val="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</c:numCache>
            </c:numRef>
          </c:cat>
          <c:val>
            <c:numRef>
              <c:f>'6'!$B$75:$E$75</c:f>
              <c:numCache>
                <c:formatCode>General</c:formatCode>
                <c:ptCount val="4"/>
                <c:pt idx="0">
                  <c:v>3830</c:v>
                </c:pt>
                <c:pt idx="1">
                  <c:v>3910</c:v>
                </c:pt>
                <c:pt idx="2">
                  <c:v>4030</c:v>
                </c:pt>
                <c:pt idx="3">
                  <c:v>4150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5-48CD-9F8A-8BA60D6C9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67744"/>
        <c:axId val="366075968"/>
      </c:lineChart>
      <c:catAx>
        <c:axId val="4953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6075968"/>
        <c:crosses val="autoZero"/>
        <c:auto val="1"/>
        <c:lblAlgn val="ctr"/>
        <c:lblOffset val="100"/>
        <c:noMultiLvlLbl val="0"/>
      </c:catAx>
      <c:valAx>
        <c:axId val="3660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95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'6'!$A$71</c:f>
              <c:strCache>
                <c:ptCount val="1"/>
                <c:pt idx="0">
                  <c:v>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'6'!$B$68:$E$68</c:f>
              <c:numCache>
                <c:formatCode>General</c:formatCode>
                <c:ptCount val="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</c:numCache>
            </c:numRef>
          </c:cat>
          <c:val>
            <c:numRef>
              <c:f>'6'!$B$71:$E$71</c:f>
              <c:numCache>
                <c:formatCode>General</c:formatCode>
                <c:ptCount val="4"/>
                <c:pt idx="0">
                  <c:v>280</c:v>
                </c:pt>
                <c:pt idx="1">
                  <c:v>300</c:v>
                </c:pt>
                <c:pt idx="2">
                  <c:v>300</c:v>
                </c:pt>
                <c:pt idx="3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4-484E-8EE5-476E275DD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67744"/>
        <c:axId val="366075968"/>
      </c:lineChart>
      <c:catAx>
        <c:axId val="4953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6075968"/>
        <c:crosses val="autoZero"/>
        <c:auto val="1"/>
        <c:lblAlgn val="ctr"/>
        <c:lblOffset val="100"/>
        <c:noMultiLvlLbl val="0"/>
      </c:catAx>
      <c:valAx>
        <c:axId val="3660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95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8.3335468308521787E-2"/>
          <c:y val="0.12655529921416603"/>
          <c:w val="0.89528984578996296"/>
          <c:h val="0.79428957239229203"/>
        </c:manualLayout>
      </c:layout>
      <c:lineChart>
        <c:grouping val="standard"/>
        <c:varyColors val="0"/>
        <c:ser>
          <c:idx val="0"/>
          <c:order val="0"/>
          <c:tx>
            <c:strRef>
              <c:f>'6'!$C$31</c:f>
              <c:strCache>
                <c:ptCount val="1"/>
                <c:pt idx="0">
                  <c:v>Кількість робітників, чол.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'6'!$A$32:$A$36</c:f>
              <c:numCache>
                <c:formatCode>General</c:formatCode>
                <c:ptCount val="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</c:numCache>
            </c:numRef>
          </c:cat>
          <c:val>
            <c:numRef>
              <c:f>'6'!$C$32:$C$36</c:f>
              <c:numCache>
                <c:formatCode>General</c:formatCode>
                <c:ptCount val="5"/>
                <c:pt idx="0">
                  <c:v>1094</c:v>
                </c:pt>
                <c:pt idx="1">
                  <c:v>1087</c:v>
                </c:pt>
                <c:pt idx="2">
                  <c:v>1075</c:v>
                </c:pt>
                <c:pt idx="3">
                  <c:v>1064</c:v>
                </c:pt>
                <c:pt idx="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D-4036-BB07-CE935C9E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67744"/>
        <c:axId val="366075968"/>
      </c:lineChart>
      <c:catAx>
        <c:axId val="4953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6075968"/>
        <c:crosses val="autoZero"/>
        <c:auto val="1"/>
        <c:lblAlgn val="ctr"/>
        <c:lblOffset val="100"/>
        <c:noMultiLvlLbl val="0"/>
      </c:catAx>
      <c:valAx>
        <c:axId val="3660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95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'6'!$A$72</c:f>
              <c:strCache>
                <c:ptCount val="1"/>
                <c:pt idx="0">
                  <c:v>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'6'!$B$68:$E$68</c:f>
              <c:numCache>
                <c:formatCode>General</c:formatCode>
                <c:ptCount val="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</c:numCache>
            </c:numRef>
          </c:cat>
          <c:val>
            <c:numRef>
              <c:f>'6'!$B$72:$E$72</c:f>
              <c:numCache>
                <c:formatCode>General</c:formatCode>
                <c:ptCount val="4"/>
                <c:pt idx="0">
                  <c:v>200</c:v>
                </c:pt>
                <c:pt idx="1">
                  <c:v>205</c:v>
                </c:pt>
                <c:pt idx="2">
                  <c:v>218</c:v>
                </c:pt>
                <c:pt idx="3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3-481D-89F0-909E0048A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67744"/>
        <c:axId val="366075968"/>
      </c:lineChart>
      <c:catAx>
        <c:axId val="4953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6075968"/>
        <c:crosses val="autoZero"/>
        <c:auto val="1"/>
        <c:lblAlgn val="ctr"/>
        <c:lblOffset val="100"/>
        <c:noMultiLvlLbl val="0"/>
      </c:catAx>
      <c:valAx>
        <c:axId val="3660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95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'6'!$A$73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'6'!$B$68:$E$68</c:f>
              <c:numCache>
                <c:formatCode>General</c:formatCode>
                <c:ptCount val="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</c:numCache>
            </c:numRef>
          </c:cat>
          <c:val>
            <c:numRef>
              <c:f>'6'!$B$73:$E$73</c:f>
              <c:numCache>
                <c:formatCode>General</c:formatCode>
                <c:ptCount val="4"/>
                <c:pt idx="0">
                  <c:v>1330</c:v>
                </c:pt>
                <c:pt idx="1">
                  <c:v>1910</c:v>
                </c:pt>
                <c:pt idx="2">
                  <c:v>2030</c:v>
                </c:pt>
                <c:pt idx="3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F-48FB-90BA-3E4B65BD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67744"/>
        <c:axId val="366075968"/>
      </c:lineChart>
      <c:catAx>
        <c:axId val="4953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6075968"/>
        <c:crosses val="autoZero"/>
        <c:auto val="1"/>
        <c:lblAlgn val="ctr"/>
        <c:lblOffset val="100"/>
        <c:noMultiLvlLbl val="0"/>
      </c:catAx>
      <c:valAx>
        <c:axId val="3660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95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'6'!$A$74</c:f>
              <c:strCache>
                <c:ptCount val="1"/>
                <c:pt idx="0">
                  <c:v>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'6'!$B$68:$E$68</c:f>
              <c:numCache>
                <c:formatCode>General</c:formatCode>
                <c:ptCount val="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</c:numCache>
            </c:numRef>
          </c:cat>
          <c:val>
            <c:numRef>
              <c:f>'6'!$B$74:$E$74</c:f>
              <c:numCache>
                <c:formatCode>General</c:formatCode>
                <c:ptCount val="4"/>
                <c:pt idx="0">
                  <c:v>2020</c:v>
                </c:pt>
                <c:pt idx="1">
                  <c:v>1495</c:v>
                </c:pt>
                <c:pt idx="2">
                  <c:v>1482</c:v>
                </c:pt>
                <c:pt idx="3">
                  <c:v>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7-4443-9D9F-4261037CF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67744"/>
        <c:axId val="366075968"/>
      </c:lineChart>
      <c:catAx>
        <c:axId val="4953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6075968"/>
        <c:crosses val="autoZero"/>
        <c:auto val="1"/>
        <c:lblAlgn val="ctr"/>
        <c:lblOffset val="100"/>
        <c:noMultiLvlLbl val="0"/>
      </c:catAx>
      <c:valAx>
        <c:axId val="3660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95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'6'!$A$75</c:f>
              <c:strCache>
                <c:ptCount val="1"/>
                <c:pt idx="0">
                  <c:v>Всього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'6'!$B$68:$E$68</c:f>
              <c:numCache>
                <c:formatCode>General</c:formatCode>
                <c:ptCount val="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</c:numCache>
            </c:numRef>
          </c:cat>
          <c:val>
            <c:numRef>
              <c:f>'6'!$B$75:$E$75</c:f>
              <c:numCache>
                <c:formatCode>General</c:formatCode>
                <c:ptCount val="4"/>
                <c:pt idx="0">
                  <c:v>3830</c:v>
                </c:pt>
                <c:pt idx="1">
                  <c:v>3910</c:v>
                </c:pt>
                <c:pt idx="2">
                  <c:v>4030</c:v>
                </c:pt>
                <c:pt idx="3">
                  <c:v>4150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7-44D5-B6FD-5996FEF2C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67744"/>
        <c:axId val="366075968"/>
      </c:lineChart>
      <c:catAx>
        <c:axId val="4953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6075968"/>
        <c:crosses val="autoZero"/>
        <c:auto val="1"/>
        <c:lblAlgn val="ctr"/>
        <c:lblOffset val="100"/>
        <c:noMultiLvlLbl val="0"/>
      </c:catAx>
      <c:valAx>
        <c:axId val="3660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95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'6'!$B$31</c:f>
              <c:strCache>
                <c:ptCount val="1"/>
                <c:pt idx="0">
                  <c:v>Випуск товарної продукції, млн.грн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'6'!$A$32:$A$36</c:f>
              <c:numCache>
                <c:formatCode>General</c:formatCode>
                <c:ptCount val="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</c:numCache>
            </c:numRef>
          </c:cat>
          <c:val>
            <c:numRef>
              <c:f>'6'!$B$32:$B$36</c:f>
              <c:numCache>
                <c:formatCode>General</c:formatCode>
                <c:ptCount val="5"/>
                <c:pt idx="0">
                  <c:v>3830</c:v>
                </c:pt>
                <c:pt idx="1">
                  <c:v>3910</c:v>
                </c:pt>
                <c:pt idx="2">
                  <c:v>4030</c:v>
                </c:pt>
                <c:pt idx="3">
                  <c:v>4150</c:v>
                </c:pt>
                <c:pt idx="4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C-47A8-88AE-4D6F06482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67744"/>
        <c:axId val="366075968"/>
      </c:lineChart>
      <c:catAx>
        <c:axId val="4953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6075968"/>
        <c:crosses val="autoZero"/>
        <c:auto val="1"/>
        <c:lblAlgn val="ctr"/>
        <c:lblOffset val="100"/>
        <c:noMultiLvlLbl val="0"/>
      </c:catAx>
      <c:valAx>
        <c:axId val="3660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95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'6'!$C$31</c:f>
              <c:strCache>
                <c:ptCount val="1"/>
                <c:pt idx="0">
                  <c:v>Кількість робітників, чол.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'6'!$A$32:$A$36</c:f>
              <c:numCache>
                <c:formatCode>General</c:formatCode>
                <c:ptCount val="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</c:numCache>
            </c:numRef>
          </c:cat>
          <c:val>
            <c:numRef>
              <c:f>'6'!$C$32:$C$36</c:f>
              <c:numCache>
                <c:formatCode>General</c:formatCode>
                <c:ptCount val="5"/>
                <c:pt idx="0">
                  <c:v>1094</c:v>
                </c:pt>
                <c:pt idx="1">
                  <c:v>1087</c:v>
                </c:pt>
                <c:pt idx="2">
                  <c:v>1075</c:v>
                </c:pt>
                <c:pt idx="3">
                  <c:v>1064</c:v>
                </c:pt>
                <c:pt idx="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4-43B6-9711-CD2EC08A2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67744"/>
        <c:axId val="366075968"/>
      </c:lineChart>
      <c:catAx>
        <c:axId val="4953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6075968"/>
        <c:crosses val="autoZero"/>
        <c:auto val="1"/>
        <c:lblAlgn val="ctr"/>
        <c:lblOffset val="100"/>
        <c:noMultiLvlLbl val="0"/>
      </c:catAx>
      <c:valAx>
        <c:axId val="3660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95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'6'!$D$31</c:f>
              <c:strCache>
                <c:ptCount val="1"/>
                <c:pt idx="0">
                  <c:v>Продуктивність праці, млн.грн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'6'!$A$32:$A$36</c:f>
              <c:numCache>
                <c:formatCode>General</c:formatCode>
                <c:ptCount val="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</c:numCache>
            </c:numRef>
          </c:cat>
          <c:val>
            <c:numRef>
              <c:f>'6'!$D$32:$D$36</c:f>
              <c:numCache>
                <c:formatCode>General</c:formatCode>
                <c:ptCount val="5"/>
                <c:pt idx="0">
                  <c:v>3.5</c:v>
                </c:pt>
                <c:pt idx="1">
                  <c:v>3.6</c:v>
                </c:pt>
                <c:pt idx="2">
                  <c:v>3.75</c:v>
                </c:pt>
                <c:pt idx="3">
                  <c:v>3.9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F-4B33-878F-38FC18FBB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67744"/>
        <c:axId val="366075968"/>
      </c:lineChart>
      <c:catAx>
        <c:axId val="4953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6075968"/>
        <c:crosses val="autoZero"/>
        <c:auto val="1"/>
        <c:lblAlgn val="ctr"/>
        <c:lblOffset val="100"/>
        <c:noMultiLvlLbl val="0"/>
      </c:catAx>
      <c:valAx>
        <c:axId val="3660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95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'6'!$D$31</c:f>
              <c:strCache>
                <c:ptCount val="1"/>
                <c:pt idx="0">
                  <c:v>Продуктивність праці, млн.грн</c:v>
                </c:pt>
              </c:strCache>
            </c:strRef>
          </c:tx>
          <c:marker>
            <c:symbol val="none"/>
          </c:marker>
          <c:cat>
            <c:numRef>
              <c:f>'6'!$A$32:$A$36</c:f>
              <c:numCache>
                <c:formatCode>General</c:formatCode>
                <c:ptCount val="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</c:numCache>
            </c:numRef>
          </c:cat>
          <c:val>
            <c:numRef>
              <c:f>'6'!$D$32:$D$36</c:f>
              <c:numCache>
                <c:formatCode>General</c:formatCode>
                <c:ptCount val="5"/>
                <c:pt idx="0">
                  <c:v>3.5</c:v>
                </c:pt>
                <c:pt idx="1">
                  <c:v>3.6</c:v>
                </c:pt>
                <c:pt idx="2">
                  <c:v>3.75</c:v>
                </c:pt>
                <c:pt idx="3">
                  <c:v>3.9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29-4040-BB11-C84B5850E47F}"/>
            </c:ext>
          </c:extLst>
        </c:ser>
        <c:ser>
          <c:idx val="0"/>
          <c:order val="1"/>
          <c:tx>
            <c:strRef>
              <c:f>'6'!$D$31</c:f>
              <c:strCache>
                <c:ptCount val="1"/>
                <c:pt idx="0">
                  <c:v>Продуктивність праці, млн.грн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'6'!$A$32:$A$36</c:f>
              <c:numCache>
                <c:formatCode>General</c:formatCode>
                <c:ptCount val="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</c:numCache>
            </c:numRef>
          </c:cat>
          <c:val>
            <c:numRef>
              <c:f>'6'!$D$32:$D$36</c:f>
              <c:numCache>
                <c:formatCode>General</c:formatCode>
                <c:ptCount val="5"/>
                <c:pt idx="0">
                  <c:v>3.5</c:v>
                </c:pt>
                <c:pt idx="1">
                  <c:v>3.6</c:v>
                </c:pt>
                <c:pt idx="2">
                  <c:v>3.75</c:v>
                </c:pt>
                <c:pt idx="3">
                  <c:v>3.9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29-4040-BB11-C84B5850E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67744"/>
        <c:axId val="366075968"/>
      </c:lineChart>
      <c:catAx>
        <c:axId val="4953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6075968"/>
        <c:crosses val="autoZero"/>
        <c:auto val="1"/>
        <c:lblAlgn val="ctr"/>
        <c:lblOffset val="100"/>
        <c:noMultiLvlLbl val="0"/>
      </c:catAx>
      <c:valAx>
        <c:axId val="3660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953677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'6'!$A$71</c:f>
              <c:strCache>
                <c:ptCount val="1"/>
                <c:pt idx="0">
                  <c:v>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'6'!$B$68:$E$68</c:f>
              <c:numCache>
                <c:formatCode>General</c:formatCode>
                <c:ptCount val="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</c:numCache>
            </c:numRef>
          </c:cat>
          <c:val>
            <c:numRef>
              <c:f>'6'!$B$71:$E$71</c:f>
              <c:numCache>
                <c:formatCode>General</c:formatCode>
                <c:ptCount val="4"/>
                <c:pt idx="0">
                  <c:v>280</c:v>
                </c:pt>
                <c:pt idx="1">
                  <c:v>300</c:v>
                </c:pt>
                <c:pt idx="2">
                  <c:v>300</c:v>
                </c:pt>
                <c:pt idx="3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4-4C8D-AE71-4A8E47407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67744"/>
        <c:axId val="366075968"/>
      </c:lineChart>
      <c:catAx>
        <c:axId val="4953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6075968"/>
        <c:crosses val="autoZero"/>
        <c:auto val="1"/>
        <c:lblAlgn val="ctr"/>
        <c:lblOffset val="100"/>
        <c:noMultiLvlLbl val="0"/>
      </c:catAx>
      <c:valAx>
        <c:axId val="3660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95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'6'!$A$72</c:f>
              <c:strCache>
                <c:ptCount val="1"/>
                <c:pt idx="0">
                  <c:v>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'6'!$B$68:$E$68</c:f>
              <c:numCache>
                <c:formatCode>General</c:formatCode>
                <c:ptCount val="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</c:numCache>
            </c:numRef>
          </c:cat>
          <c:val>
            <c:numRef>
              <c:f>'6'!$B$72:$E$72</c:f>
              <c:numCache>
                <c:formatCode>General</c:formatCode>
                <c:ptCount val="4"/>
                <c:pt idx="0">
                  <c:v>200</c:v>
                </c:pt>
                <c:pt idx="1">
                  <c:v>205</c:v>
                </c:pt>
                <c:pt idx="2">
                  <c:v>218</c:v>
                </c:pt>
                <c:pt idx="3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C-43FB-9E76-C830A7C54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67744"/>
        <c:axId val="366075968"/>
      </c:lineChart>
      <c:catAx>
        <c:axId val="4953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6075968"/>
        <c:crosses val="autoZero"/>
        <c:auto val="1"/>
        <c:lblAlgn val="ctr"/>
        <c:lblOffset val="100"/>
        <c:noMultiLvlLbl val="0"/>
      </c:catAx>
      <c:valAx>
        <c:axId val="3660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95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'6'!$A$73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'6'!$B$68:$E$68</c:f>
              <c:numCache>
                <c:formatCode>General</c:formatCode>
                <c:ptCount val="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</c:numCache>
            </c:numRef>
          </c:cat>
          <c:val>
            <c:numRef>
              <c:f>'6'!$B$73:$E$73</c:f>
              <c:numCache>
                <c:formatCode>General</c:formatCode>
                <c:ptCount val="4"/>
                <c:pt idx="0">
                  <c:v>1330</c:v>
                </c:pt>
                <c:pt idx="1">
                  <c:v>1910</c:v>
                </c:pt>
                <c:pt idx="2">
                  <c:v>2030</c:v>
                </c:pt>
                <c:pt idx="3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9-4937-9F76-790CA5A6D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67744"/>
        <c:axId val="366075968"/>
      </c:lineChart>
      <c:catAx>
        <c:axId val="4953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6075968"/>
        <c:crosses val="autoZero"/>
        <c:auto val="1"/>
        <c:lblAlgn val="ctr"/>
        <c:lblOffset val="100"/>
        <c:noMultiLvlLbl val="0"/>
      </c:catAx>
      <c:valAx>
        <c:axId val="3660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95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'6'!$A$74</c:f>
              <c:strCache>
                <c:ptCount val="1"/>
                <c:pt idx="0">
                  <c:v>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'6'!$B$68:$E$68</c:f>
              <c:numCache>
                <c:formatCode>General</c:formatCode>
                <c:ptCount val="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</c:numCache>
            </c:numRef>
          </c:cat>
          <c:val>
            <c:numRef>
              <c:f>'6'!$B$74:$E$74</c:f>
              <c:numCache>
                <c:formatCode>General</c:formatCode>
                <c:ptCount val="4"/>
                <c:pt idx="0">
                  <c:v>2020</c:v>
                </c:pt>
                <c:pt idx="1">
                  <c:v>1495</c:v>
                </c:pt>
                <c:pt idx="2">
                  <c:v>1482</c:v>
                </c:pt>
                <c:pt idx="3">
                  <c:v>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4-473C-840A-BF98D4713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67744"/>
        <c:axId val="366075968"/>
      </c:lineChart>
      <c:catAx>
        <c:axId val="4953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6075968"/>
        <c:crosses val="autoZero"/>
        <c:auto val="1"/>
        <c:lblAlgn val="ctr"/>
        <c:lblOffset val="100"/>
        <c:noMultiLvlLbl val="0"/>
      </c:catAx>
      <c:valAx>
        <c:axId val="3660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95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'6'!$A$75</c:f>
              <c:strCache>
                <c:ptCount val="1"/>
                <c:pt idx="0">
                  <c:v>Всього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'6'!$B$68:$E$68</c:f>
              <c:numCache>
                <c:formatCode>General</c:formatCode>
                <c:ptCount val="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</c:numCache>
            </c:numRef>
          </c:cat>
          <c:val>
            <c:numRef>
              <c:f>'6'!$B$75:$E$75</c:f>
              <c:numCache>
                <c:formatCode>General</c:formatCode>
                <c:ptCount val="4"/>
                <c:pt idx="0">
                  <c:v>3830</c:v>
                </c:pt>
                <c:pt idx="1">
                  <c:v>3910</c:v>
                </c:pt>
                <c:pt idx="2">
                  <c:v>4030</c:v>
                </c:pt>
                <c:pt idx="3">
                  <c:v>4150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3-4ED2-B8E3-50E069200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67744"/>
        <c:axId val="366075968"/>
      </c:lineChart>
      <c:catAx>
        <c:axId val="4953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6075968"/>
        <c:crosses val="autoZero"/>
        <c:auto val="1"/>
        <c:lblAlgn val="ctr"/>
        <c:lblOffset val="100"/>
        <c:noMultiLvlLbl val="0"/>
      </c:catAx>
      <c:valAx>
        <c:axId val="3660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95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'6'!$A$71</c:f>
              <c:strCache>
                <c:ptCount val="1"/>
                <c:pt idx="0">
                  <c:v>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'6'!$B$68:$E$68</c:f>
              <c:numCache>
                <c:formatCode>General</c:formatCode>
                <c:ptCount val="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</c:numCache>
            </c:numRef>
          </c:cat>
          <c:val>
            <c:numRef>
              <c:f>'6'!$B$71:$E$71</c:f>
              <c:numCache>
                <c:formatCode>General</c:formatCode>
                <c:ptCount val="4"/>
                <c:pt idx="0">
                  <c:v>280</c:v>
                </c:pt>
                <c:pt idx="1">
                  <c:v>300</c:v>
                </c:pt>
                <c:pt idx="2">
                  <c:v>300</c:v>
                </c:pt>
                <c:pt idx="3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3-4561-9FC3-A66CB3EF3221}"/>
            </c:ext>
          </c:extLst>
        </c:ser>
        <c:ser>
          <c:idx val="1"/>
          <c:order val="1"/>
          <c:tx>
            <c:strRef>
              <c:f>'6'!$A$72</c:f>
              <c:strCache>
                <c:ptCount val="1"/>
                <c:pt idx="0">
                  <c:v>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'6'!$B$72:$E$72</c:f>
              <c:numCache>
                <c:formatCode>General</c:formatCode>
                <c:ptCount val="4"/>
                <c:pt idx="0">
                  <c:v>200</c:v>
                </c:pt>
                <c:pt idx="1">
                  <c:v>205</c:v>
                </c:pt>
                <c:pt idx="2">
                  <c:v>218</c:v>
                </c:pt>
                <c:pt idx="3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9-4D86-B3FF-99DDFD2F95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95367744"/>
        <c:axId val="366075968"/>
      </c:lineChart>
      <c:catAx>
        <c:axId val="4953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6075968"/>
        <c:crosses val="autoZero"/>
        <c:auto val="1"/>
        <c:lblAlgn val="ctr"/>
        <c:lblOffset val="100"/>
        <c:noMultiLvlLbl val="0"/>
      </c:catAx>
      <c:valAx>
        <c:axId val="3660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95367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104775</xdr:rowOff>
    </xdr:from>
    <xdr:to>
      <xdr:col>0</xdr:col>
      <xdr:colOff>0</xdr:colOff>
      <xdr:row>5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0AE718-9C74-412B-A486-F8C4CF9E5642}"/>
            </a:ext>
          </a:extLst>
        </xdr:cNvPr>
        <xdr:cNvSpPr txBox="1"/>
      </xdr:nvSpPr>
      <xdr:spPr>
        <a:xfrm>
          <a:off x="600075" y="485775"/>
          <a:ext cx="5257800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k-U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Порівняти планові і фактичні дані. Розрахувати фактори, які вплинули на змінувитрат на основні матеріали і сировину. Дані для розрахунків наведено у табл. 5. </a:t>
          </a:r>
          <a:endParaRPr lang="uk-UA" sz="1100"/>
        </a:p>
      </xdr:txBody>
    </xdr:sp>
    <xdr:clientData/>
  </xdr:twoCellAnchor>
  <xdr:twoCellAnchor>
    <xdr:from>
      <xdr:col>12</xdr:col>
      <xdr:colOff>26893</xdr:colOff>
      <xdr:row>27</xdr:row>
      <xdr:rowOff>25773</xdr:rowOff>
    </xdr:from>
    <xdr:to>
      <xdr:col>16</xdr:col>
      <xdr:colOff>841561</xdr:colOff>
      <xdr:row>43</xdr:row>
      <xdr:rowOff>16248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515AC7-6A9F-40C5-B60F-0CD0826D5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229160</xdr:colOff>
      <xdr:row>28</xdr:row>
      <xdr:rowOff>56030</xdr:rowOff>
    </xdr:from>
    <xdr:to>
      <xdr:col>11</xdr:col>
      <xdr:colOff>724460</xdr:colOff>
      <xdr:row>44</xdr:row>
      <xdr:rowOff>35299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8B3348-48DA-49FE-8365-210C95162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847725</xdr:colOff>
      <xdr:row>27</xdr:row>
      <xdr:rowOff>171450</xdr:rowOff>
    </xdr:from>
    <xdr:to>
      <xdr:col>25</xdr:col>
      <xdr:colOff>161925</xdr:colOff>
      <xdr:row>43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6196E5-9428-4DEF-83C3-EEEC1123A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276225</xdr:colOff>
      <xdr:row>76</xdr:row>
      <xdr:rowOff>76200</xdr:rowOff>
    </xdr:from>
    <xdr:to>
      <xdr:col>4</xdr:col>
      <xdr:colOff>733425</xdr:colOff>
      <xdr:row>94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5AA9D3-F795-4975-AAFC-5BC80F57B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57150</xdr:colOff>
      <xdr:row>76</xdr:row>
      <xdr:rowOff>47625</xdr:rowOff>
    </xdr:from>
    <xdr:to>
      <xdr:col>10</xdr:col>
      <xdr:colOff>47625</xdr:colOff>
      <xdr:row>94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FE4B58-7860-4186-85C2-D2D90AAED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75</xdr:row>
      <xdr:rowOff>171450</xdr:rowOff>
    </xdr:from>
    <xdr:to>
      <xdr:col>15</xdr:col>
      <xdr:colOff>266700</xdr:colOff>
      <xdr:row>94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24FC23-E22B-4160-B4C0-DC007641A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481853</xdr:colOff>
      <xdr:row>76</xdr:row>
      <xdr:rowOff>11206</xdr:rowOff>
    </xdr:from>
    <xdr:to>
      <xdr:col>22</xdr:col>
      <xdr:colOff>571500</xdr:colOff>
      <xdr:row>94</xdr:row>
      <xdr:rowOff>123264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E5010B7-D8A1-47E3-BAD2-39F826553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257735</xdr:colOff>
      <xdr:row>95</xdr:row>
      <xdr:rowOff>179295</xdr:rowOff>
    </xdr:from>
    <xdr:to>
      <xdr:col>4</xdr:col>
      <xdr:colOff>974912</xdr:colOff>
      <xdr:row>114</xdr:row>
      <xdr:rowOff>100853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0EB17AF-1FFA-4A70-A99A-7CA148E7D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276225</xdr:colOff>
      <xdr:row>76</xdr:row>
      <xdr:rowOff>76200</xdr:rowOff>
    </xdr:from>
    <xdr:to>
      <xdr:col>4</xdr:col>
      <xdr:colOff>733425</xdr:colOff>
      <xdr:row>94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A2D58C5-8F7F-47CD-A649-1E62101F2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57150</xdr:colOff>
      <xdr:row>76</xdr:row>
      <xdr:rowOff>47625</xdr:rowOff>
    </xdr:from>
    <xdr:to>
      <xdr:col>10</xdr:col>
      <xdr:colOff>47625</xdr:colOff>
      <xdr:row>94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388351-7AC7-4A21-9BD2-FE38F249C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276225</xdr:colOff>
      <xdr:row>75</xdr:row>
      <xdr:rowOff>171450</xdr:rowOff>
    </xdr:from>
    <xdr:to>
      <xdr:col>15</xdr:col>
      <xdr:colOff>266700</xdr:colOff>
      <xdr:row>94</xdr:row>
      <xdr:rowOff>66675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6DA1BEC-9D55-4EBD-B4BA-E39837949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481853</xdr:colOff>
      <xdr:row>76</xdr:row>
      <xdr:rowOff>11206</xdr:rowOff>
    </xdr:from>
    <xdr:to>
      <xdr:col>22</xdr:col>
      <xdr:colOff>571500</xdr:colOff>
      <xdr:row>94</xdr:row>
      <xdr:rowOff>123264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9C1D4AB-3827-4762-BFD8-6C5A4A01C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257735</xdr:colOff>
      <xdr:row>95</xdr:row>
      <xdr:rowOff>179295</xdr:rowOff>
    </xdr:from>
    <xdr:to>
      <xdr:col>4</xdr:col>
      <xdr:colOff>974912</xdr:colOff>
      <xdr:row>114</xdr:row>
      <xdr:rowOff>100853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1C3805B-811A-4888-A5CF-FEBC6F813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28</xdr:row>
      <xdr:rowOff>76200</xdr:rowOff>
    </xdr:from>
    <xdr:to>
      <xdr:col>4</xdr:col>
      <xdr:colOff>733425</xdr:colOff>
      <xdr:row>46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8D1FEA-D90F-4B8E-9CA5-CADC95556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28</xdr:row>
      <xdr:rowOff>47625</xdr:rowOff>
    </xdr:from>
    <xdr:to>
      <xdr:col>10</xdr:col>
      <xdr:colOff>47625</xdr:colOff>
      <xdr:row>46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E9EDC0-BF21-4F11-8FBA-A188D3FE2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276225</xdr:colOff>
      <xdr:row>27</xdr:row>
      <xdr:rowOff>171450</xdr:rowOff>
    </xdr:from>
    <xdr:to>
      <xdr:col>15</xdr:col>
      <xdr:colOff>266700</xdr:colOff>
      <xdr:row>46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0AD7B5-EA9A-4800-9525-76090F25A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481853</xdr:colOff>
      <xdr:row>28</xdr:row>
      <xdr:rowOff>11206</xdr:rowOff>
    </xdr:from>
    <xdr:to>
      <xdr:col>22</xdr:col>
      <xdr:colOff>571500</xdr:colOff>
      <xdr:row>46</xdr:row>
      <xdr:rowOff>123264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0B7710-2AEE-41FA-A1D8-5AA58A529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257735</xdr:colOff>
      <xdr:row>47</xdr:row>
      <xdr:rowOff>179295</xdr:rowOff>
    </xdr:from>
    <xdr:to>
      <xdr:col>4</xdr:col>
      <xdr:colOff>974912</xdr:colOff>
      <xdr:row>66</xdr:row>
      <xdr:rowOff>100853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0AE313-F58F-4AD7-AA35-5D87C63E4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276225</xdr:colOff>
      <xdr:row>28</xdr:row>
      <xdr:rowOff>76200</xdr:rowOff>
    </xdr:from>
    <xdr:to>
      <xdr:col>4</xdr:col>
      <xdr:colOff>733425</xdr:colOff>
      <xdr:row>46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1DEA94-7646-4E3C-88A9-EB4C48F65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57150</xdr:colOff>
      <xdr:row>28</xdr:row>
      <xdr:rowOff>47625</xdr:rowOff>
    </xdr:from>
    <xdr:to>
      <xdr:col>10</xdr:col>
      <xdr:colOff>47625</xdr:colOff>
      <xdr:row>46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E107C6-1FC0-4CF6-80CB-F97FB21D7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276225</xdr:colOff>
      <xdr:row>27</xdr:row>
      <xdr:rowOff>171450</xdr:rowOff>
    </xdr:from>
    <xdr:to>
      <xdr:col>15</xdr:col>
      <xdr:colOff>266700</xdr:colOff>
      <xdr:row>46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132CDF-2F12-401F-9317-4CFE295BA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481853</xdr:colOff>
      <xdr:row>28</xdr:row>
      <xdr:rowOff>11206</xdr:rowOff>
    </xdr:from>
    <xdr:to>
      <xdr:col>22</xdr:col>
      <xdr:colOff>571500</xdr:colOff>
      <xdr:row>46</xdr:row>
      <xdr:rowOff>123264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3542A1-4622-4B02-B4D6-13AB4023B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257735</xdr:colOff>
      <xdr:row>47</xdr:row>
      <xdr:rowOff>179295</xdr:rowOff>
    </xdr:from>
    <xdr:to>
      <xdr:col>4</xdr:col>
      <xdr:colOff>974912</xdr:colOff>
      <xdr:row>66</xdr:row>
      <xdr:rowOff>100853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97FC51A-E2D6-46FE-9195-1FDC447D1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19049</xdr:colOff>
      <xdr:row>0</xdr:row>
      <xdr:rowOff>66675</xdr:rowOff>
    </xdr:from>
    <xdr:to>
      <xdr:col>17</xdr:col>
      <xdr:colOff>19049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97E0D-BF5D-496C-A7CB-3D0F18B68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0</xdr:row>
      <xdr:rowOff>66675</xdr:rowOff>
    </xdr:from>
    <xdr:to>
      <xdr:col>11</xdr:col>
      <xdr:colOff>571500</xdr:colOff>
      <xdr:row>16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966B85-4BA0-44EE-8246-E1CB4D654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171450</xdr:colOff>
      <xdr:row>0</xdr:row>
      <xdr:rowOff>38100</xdr:rowOff>
    </xdr:from>
    <xdr:to>
      <xdr:col>25</xdr:col>
      <xdr:colOff>333375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C3F22B-8E9F-43BA-B2CC-ABCE81F60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5D3F-3A32-4793-A133-64E410B1ECC0}">
  <dimension ref="A2:Q77"/>
  <sheetViews>
    <sheetView topLeftCell="A55" zoomScale="85" zoomScaleNormal="85" workbookViewId="0">
      <selection activeCell="N69" activeCellId="3" sqref="A69:A75 E69:E75 G69:G75 N69:N75"/>
    </sheetView>
  </sheetViews>
  <sheetFormatPr defaultRowHeight="15" x14ac:dyDescent="0.25"/>
  <cols>
    <col min="1" max="1" width="25.7109375" customWidth="1"/>
    <col min="2" max="2" width="12" customWidth="1"/>
    <col min="3" max="3" width="11" customWidth="1"/>
    <col min="4" max="4" width="14.5703125" customWidth="1"/>
    <col min="5" max="5" width="11.140625" customWidth="1"/>
    <col min="6" max="6" width="9" customWidth="1"/>
    <col min="7" max="7" width="14.140625" customWidth="1"/>
    <col min="8" max="8" width="13.7109375" customWidth="1"/>
    <col min="9" max="9" width="18.85546875" customWidth="1"/>
    <col min="10" max="10" width="25.28515625" customWidth="1"/>
    <col min="11" max="11" width="15" customWidth="1"/>
    <col min="12" max="13" width="12" bestFit="1" customWidth="1"/>
    <col min="14" max="14" width="20.7109375" customWidth="1"/>
    <col min="15" max="15" width="22.5703125" bestFit="1" customWidth="1"/>
    <col min="16" max="16" width="20.42578125" bestFit="1" customWidth="1"/>
    <col min="17" max="17" width="14.7109375" bestFit="1" customWidth="1"/>
  </cols>
  <sheetData>
    <row r="2" spans="1:17" x14ac:dyDescent="0.25">
      <c r="A2" t="s">
        <v>14</v>
      </c>
    </row>
    <row r="6" spans="1:17" ht="31.5" customHeight="1" x14ac:dyDescent="0.25">
      <c r="A6" s="65" t="s">
        <v>0</v>
      </c>
      <c r="B6" s="65" t="s">
        <v>1</v>
      </c>
      <c r="C6" s="65"/>
      <c r="D6" s="65"/>
      <c r="E6" s="65" t="s">
        <v>2</v>
      </c>
      <c r="F6" s="65"/>
      <c r="G6" s="65"/>
      <c r="H6" s="65" t="s">
        <v>16</v>
      </c>
      <c r="I6" s="65"/>
      <c r="J6" s="65"/>
      <c r="K6" s="65" t="s">
        <v>19</v>
      </c>
      <c r="L6" s="10"/>
      <c r="M6" s="10"/>
      <c r="O6" s="2" t="s">
        <v>11</v>
      </c>
      <c r="P6" s="2" t="s">
        <v>12</v>
      </c>
      <c r="Q6" s="2" t="s">
        <v>13</v>
      </c>
    </row>
    <row r="7" spans="1:17" s="46" customFormat="1" ht="45" x14ac:dyDescent="0.25">
      <c r="A7" s="65"/>
      <c r="B7" s="64" t="s">
        <v>3</v>
      </c>
      <c r="C7" s="64" t="s">
        <v>4</v>
      </c>
      <c r="D7" s="64" t="s">
        <v>5</v>
      </c>
      <c r="E7" s="64" t="s">
        <v>3</v>
      </c>
      <c r="F7" s="64" t="s">
        <v>4</v>
      </c>
      <c r="G7" s="64" t="s">
        <v>5</v>
      </c>
      <c r="H7" s="64" t="s">
        <v>17</v>
      </c>
      <c r="I7" s="64" t="s">
        <v>18</v>
      </c>
      <c r="J7" s="64" t="s">
        <v>5</v>
      </c>
      <c r="K7" s="65"/>
      <c r="O7" s="2"/>
      <c r="P7" s="2"/>
      <c r="Q7" s="2"/>
    </row>
    <row r="8" spans="1:17" ht="15.75" x14ac:dyDescent="0.25">
      <c r="A8" s="1" t="s">
        <v>6</v>
      </c>
      <c r="B8" s="2">
        <v>620</v>
      </c>
      <c r="C8" s="2">
        <v>65</v>
      </c>
      <c r="D8" s="3">
        <f>B8*C8*1000</f>
        <v>40300000</v>
      </c>
      <c r="E8" s="2">
        <v>625</v>
      </c>
      <c r="F8" s="2">
        <v>62</v>
      </c>
      <c r="G8" s="3">
        <f>E8*F8*1000</f>
        <v>38750000</v>
      </c>
      <c r="H8" s="8">
        <v>625</v>
      </c>
      <c r="I8" s="8">
        <v>65</v>
      </c>
      <c r="J8" s="3">
        <f>H8*I8*1000</f>
        <v>40625000</v>
      </c>
      <c r="K8" s="13">
        <f>(J8-D8)/D8</f>
        <v>8.0645161290322578E-3</v>
      </c>
      <c r="L8" s="11"/>
      <c r="M8" s="11"/>
      <c r="O8" s="2">
        <f>D8-G8</f>
        <v>1550000</v>
      </c>
      <c r="P8" s="6">
        <f>D8/G8</f>
        <v>1.04</v>
      </c>
      <c r="Q8" s="6">
        <f>(D8-G8)/G8</f>
        <v>0.04</v>
      </c>
    </row>
    <row r="9" spans="1:17" ht="15.75" x14ac:dyDescent="0.25">
      <c r="A9" s="1" t="s">
        <v>7</v>
      </c>
      <c r="B9" s="2">
        <v>351</v>
      </c>
      <c r="C9" s="2">
        <v>9</v>
      </c>
      <c r="D9" s="3">
        <f t="shared" ref="D9:D10" si="0">B9*C9*1000</f>
        <v>3159000</v>
      </c>
      <c r="E9" s="2">
        <v>363</v>
      </c>
      <c r="F9" s="2">
        <v>12</v>
      </c>
      <c r="G9" s="3">
        <f t="shared" ref="G9:G10" si="1">E9*F9*1000</f>
        <v>4356000</v>
      </c>
      <c r="H9" s="8">
        <v>363</v>
      </c>
      <c r="I9" s="8">
        <v>9</v>
      </c>
      <c r="J9" s="3">
        <f t="shared" ref="J9:J10" si="2">H9*I9*1000</f>
        <v>3267000</v>
      </c>
      <c r="K9" s="13">
        <f t="shared" ref="K9:K11" si="3">(J9-D9)/D9</f>
        <v>3.4188034188034191E-2</v>
      </c>
      <c r="L9" s="11"/>
      <c r="M9" s="11"/>
      <c r="O9" s="2">
        <f t="shared" ref="O9:O11" si="4">D9-G9</f>
        <v>-1197000</v>
      </c>
      <c r="P9" s="6">
        <f t="shared" ref="P9:P11" si="5">D9/G9</f>
        <v>0.72520661157024791</v>
      </c>
      <c r="Q9" s="6">
        <f t="shared" ref="Q9:Q11" si="6">(D9-G9)/G9</f>
        <v>-0.27479338842975204</v>
      </c>
    </row>
    <row r="10" spans="1:17" ht="16.5" thickBot="1" x14ac:dyDescent="0.3">
      <c r="A10" s="1" t="s">
        <v>8</v>
      </c>
      <c r="B10" s="2">
        <v>60</v>
      </c>
      <c r="C10" s="2">
        <v>22</v>
      </c>
      <c r="D10" s="3">
        <f t="shared" si="0"/>
        <v>1320000</v>
      </c>
      <c r="E10" s="2">
        <v>40</v>
      </c>
      <c r="F10" s="2">
        <v>25</v>
      </c>
      <c r="G10" s="3">
        <f t="shared" si="1"/>
        <v>1000000</v>
      </c>
      <c r="H10" s="8">
        <v>40</v>
      </c>
      <c r="I10" s="8">
        <v>22</v>
      </c>
      <c r="J10" s="3">
        <f t="shared" si="2"/>
        <v>880000</v>
      </c>
      <c r="K10" s="15">
        <f t="shared" si="3"/>
        <v>-0.33333333333333331</v>
      </c>
      <c r="L10" s="11"/>
      <c r="M10" s="11"/>
      <c r="O10" s="2">
        <f t="shared" si="4"/>
        <v>320000</v>
      </c>
      <c r="P10" s="6">
        <f t="shared" si="5"/>
        <v>1.32</v>
      </c>
      <c r="Q10" s="6">
        <f t="shared" si="6"/>
        <v>0.32</v>
      </c>
    </row>
    <row r="11" spans="1:17" ht="16.5" thickBot="1" x14ac:dyDescent="0.3">
      <c r="A11" s="1" t="s">
        <v>9</v>
      </c>
      <c r="B11" s="2">
        <v>1031</v>
      </c>
      <c r="C11" s="2" t="s">
        <v>10</v>
      </c>
      <c r="D11" s="4">
        <f>SUM(D8:D10)</f>
        <v>44779000</v>
      </c>
      <c r="E11" s="2">
        <v>1028</v>
      </c>
      <c r="F11" s="2" t="s">
        <v>10</v>
      </c>
      <c r="G11" s="4">
        <f>SUM(G8:G10)</f>
        <v>44106000</v>
      </c>
      <c r="H11" s="8">
        <v>1031</v>
      </c>
      <c r="I11" s="9"/>
      <c r="J11" s="14">
        <f>SUM(J8:J10)</f>
        <v>44772000</v>
      </c>
      <c r="K11" s="16">
        <f t="shared" si="3"/>
        <v>-1.5632327653587619E-4</v>
      </c>
      <c r="L11" s="12"/>
      <c r="M11" s="12"/>
      <c r="O11" s="2">
        <f t="shared" si="4"/>
        <v>673000</v>
      </c>
      <c r="P11" s="6">
        <f t="shared" si="5"/>
        <v>1.0152586949621367</v>
      </c>
      <c r="Q11" s="6">
        <f t="shared" si="6"/>
        <v>1.525869496213667E-2</v>
      </c>
    </row>
    <row r="15" spans="1:17" s="7" customFormat="1" ht="15.75" customHeight="1" x14ac:dyDescent="0.25"/>
    <row r="17" spans="1:10" x14ac:dyDescent="0.25">
      <c r="A17" t="s">
        <v>15</v>
      </c>
    </row>
    <row r="20" spans="1:10" ht="0.75" customHeight="1" x14ac:dyDescent="0.25"/>
    <row r="21" spans="1:10" ht="31.5" x14ac:dyDescent="0.25">
      <c r="A21" s="65" t="s">
        <v>22</v>
      </c>
      <c r="B21" s="65" t="s">
        <v>23</v>
      </c>
      <c r="C21" s="65"/>
      <c r="D21" s="65" t="s">
        <v>24</v>
      </c>
      <c r="E21" s="65" t="s">
        <v>25</v>
      </c>
      <c r="F21" s="65"/>
      <c r="H21" s="2" t="s">
        <v>11</v>
      </c>
      <c r="I21" s="2" t="s">
        <v>12</v>
      </c>
      <c r="J21" s="2" t="s">
        <v>13</v>
      </c>
    </row>
    <row r="22" spans="1:10" ht="33" customHeight="1" x14ac:dyDescent="0.25">
      <c r="A22" s="65"/>
      <c r="B22" s="2" t="s">
        <v>26</v>
      </c>
      <c r="C22" s="2" t="s">
        <v>27</v>
      </c>
      <c r="D22" s="65"/>
      <c r="E22" s="2" t="s">
        <v>28</v>
      </c>
      <c r="F22" s="2" t="s">
        <v>29</v>
      </c>
      <c r="H22" s="2"/>
      <c r="I22" s="6"/>
      <c r="J22" s="6"/>
    </row>
    <row r="23" spans="1:10" ht="15.75" x14ac:dyDescent="0.25">
      <c r="A23" s="1" t="s">
        <v>20</v>
      </c>
      <c r="B23" s="2">
        <v>25</v>
      </c>
      <c r="C23" s="2">
        <v>22</v>
      </c>
      <c r="D23" s="2">
        <v>12000</v>
      </c>
      <c r="E23" s="2">
        <f>D23*B23/1000</f>
        <v>300</v>
      </c>
      <c r="F23" s="2">
        <f>D23*C23/1000</f>
        <v>264</v>
      </c>
      <c r="H23" s="2">
        <f>E23-F23</f>
        <v>36</v>
      </c>
      <c r="I23" s="6">
        <f>F23/E23</f>
        <v>0.88</v>
      </c>
      <c r="J23" s="6">
        <f>(E23-F23)/E23</f>
        <v>0.12</v>
      </c>
    </row>
    <row r="24" spans="1:10" ht="15.75" x14ac:dyDescent="0.25">
      <c r="A24" s="1" t="s">
        <v>21</v>
      </c>
      <c r="B24" s="2">
        <v>33</v>
      </c>
      <c r="C24" s="2">
        <v>30</v>
      </c>
      <c r="D24" s="2">
        <v>6000</v>
      </c>
      <c r="E24" s="2">
        <f>D24*B24/1000</f>
        <v>198</v>
      </c>
      <c r="F24" s="2">
        <f>D24*C24/1000</f>
        <v>180</v>
      </c>
      <c r="H24" s="2">
        <f t="shared" ref="H24:H25" si="7">E24-F24</f>
        <v>18</v>
      </c>
      <c r="I24" s="6">
        <f t="shared" ref="I24:I25" si="8">F24/E24</f>
        <v>0.90909090909090906</v>
      </c>
      <c r="J24" s="6">
        <f t="shared" ref="J24:J25" si="9">(E24-F24)/E24</f>
        <v>9.0909090909090912E-2</v>
      </c>
    </row>
    <row r="25" spans="1:10" ht="15.75" x14ac:dyDescent="0.25">
      <c r="A25" s="1" t="s">
        <v>30</v>
      </c>
      <c r="B25" s="2"/>
      <c r="C25" s="2"/>
      <c r="D25" s="2">
        <f>D23+D24</f>
        <v>18000</v>
      </c>
      <c r="E25" s="2">
        <f>SUM(E23:E24)</f>
        <v>498</v>
      </c>
      <c r="F25" s="2">
        <f>SUM(F23:F24)</f>
        <v>444</v>
      </c>
      <c r="H25" s="2">
        <f t="shared" si="7"/>
        <v>54</v>
      </c>
      <c r="I25" s="6">
        <f t="shared" si="8"/>
        <v>0.89156626506024095</v>
      </c>
      <c r="J25" s="6">
        <f t="shared" si="9"/>
        <v>0.10843373493975904</v>
      </c>
    </row>
    <row r="27" spans="1:10" s="7" customFormat="1" ht="15.75" customHeight="1" x14ac:dyDescent="0.25"/>
    <row r="29" spans="1:10" x14ac:dyDescent="0.25">
      <c r="A29" t="s">
        <v>31</v>
      </c>
    </row>
    <row r="31" spans="1:10" ht="63" x14ac:dyDescent="0.25">
      <c r="A31" s="2" t="s">
        <v>32</v>
      </c>
      <c r="B31" s="2" t="s">
        <v>33</v>
      </c>
      <c r="C31" s="2" t="s">
        <v>34</v>
      </c>
      <c r="D31" s="2" t="s">
        <v>35</v>
      </c>
      <c r="E31" s="2" t="s">
        <v>33</v>
      </c>
      <c r="F31" s="2" t="s">
        <v>34</v>
      </c>
      <c r="G31" s="2" t="s">
        <v>35</v>
      </c>
    </row>
    <row r="32" spans="1:10" ht="15.75" x14ac:dyDescent="0.25">
      <c r="A32" s="2">
        <v>2000</v>
      </c>
      <c r="B32" s="2">
        <v>3830</v>
      </c>
      <c r="C32" s="2">
        <v>1094</v>
      </c>
      <c r="D32" s="2">
        <v>3.5</v>
      </c>
      <c r="E32" s="5"/>
      <c r="F32" s="5"/>
      <c r="G32" s="5"/>
    </row>
    <row r="33" spans="1:7" ht="15.75" x14ac:dyDescent="0.25">
      <c r="A33" s="2">
        <v>2001</v>
      </c>
      <c r="B33" s="2">
        <v>3910</v>
      </c>
      <c r="C33" s="2">
        <v>1087</v>
      </c>
      <c r="D33" s="2">
        <v>3.6</v>
      </c>
      <c r="E33" s="17">
        <f>B33/B32-1</f>
        <v>2.088772845953013E-2</v>
      </c>
      <c r="F33" s="17">
        <f t="shared" ref="F33:G36" si="10">C33/C32-1</f>
        <v>-6.3985374771480252E-3</v>
      </c>
      <c r="G33" s="17">
        <f t="shared" si="10"/>
        <v>2.8571428571428692E-2</v>
      </c>
    </row>
    <row r="34" spans="1:7" ht="15.75" x14ac:dyDescent="0.25">
      <c r="A34" s="2">
        <v>2002</v>
      </c>
      <c r="B34" s="2">
        <v>4030</v>
      </c>
      <c r="C34" s="2">
        <v>1075</v>
      </c>
      <c r="D34" s="2">
        <v>3.75</v>
      </c>
      <c r="E34" s="17">
        <f t="shared" ref="E34:E36" si="11">B34/B33-1</f>
        <v>3.0690537084399061E-2</v>
      </c>
      <c r="F34" s="17">
        <f t="shared" si="10"/>
        <v>-1.1039558417663242E-2</v>
      </c>
      <c r="G34" s="17">
        <f t="shared" si="10"/>
        <v>4.1666666666666741E-2</v>
      </c>
    </row>
    <row r="35" spans="1:7" ht="15.75" x14ac:dyDescent="0.25">
      <c r="A35" s="2">
        <v>2003</v>
      </c>
      <c r="B35" s="2">
        <v>4150</v>
      </c>
      <c r="C35" s="2">
        <v>1064</v>
      </c>
      <c r="D35" s="2">
        <v>3.9</v>
      </c>
      <c r="E35" s="17">
        <f t="shared" si="11"/>
        <v>2.977667493796532E-2</v>
      </c>
      <c r="F35" s="17">
        <f t="shared" si="10"/>
        <v>-1.0232558139534831E-2</v>
      </c>
      <c r="G35" s="17">
        <f t="shared" si="10"/>
        <v>4.0000000000000036E-2</v>
      </c>
    </row>
    <row r="36" spans="1:7" ht="16.5" thickBot="1" x14ac:dyDescent="0.3">
      <c r="A36" s="2">
        <v>2004</v>
      </c>
      <c r="B36" s="2">
        <v>4000</v>
      </c>
      <c r="C36" s="2">
        <v>1000</v>
      </c>
      <c r="D36" s="2">
        <v>4</v>
      </c>
      <c r="E36" s="17">
        <f t="shared" si="11"/>
        <v>-3.6144578313253017E-2</v>
      </c>
      <c r="F36" s="17">
        <f t="shared" si="10"/>
        <v>-6.0150375939849621E-2</v>
      </c>
      <c r="G36" s="17">
        <f t="shared" si="10"/>
        <v>2.5641025641025772E-2</v>
      </c>
    </row>
    <row r="37" spans="1:7" ht="15.75" thickBot="1" x14ac:dyDescent="0.3">
      <c r="E37" s="18">
        <f>B36/B32-1</f>
        <v>4.4386422976501416E-2</v>
      </c>
      <c r="F37" s="19">
        <f t="shared" ref="F37" si="12">C36/C32-1</f>
        <v>-8.5923217550274211E-2</v>
      </c>
      <c r="G37" s="20">
        <f>D36/D32-1</f>
        <v>0.14285714285714279</v>
      </c>
    </row>
    <row r="41" spans="1:7" ht="63" x14ac:dyDescent="0.25">
      <c r="A41" s="2" t="s">
        <v>32</v>
      </c>
      <c r="B41" s="2" t="s">
        <v>33</v>
      </c>
      <c r="C41" s="2" t="s">
        <v>34</v>
      </c>
      <c r="D41" s="2" t="s">
        <v>35</v>
      </c>
    </row>
    <row r="42" spans="1:7" ht="15.75" x14ac:dyDescent="0.25">
      <c r="A42" s="2">
        <v>2000</v>
      </c>
      <c r="B42" s="5"/>
      <c r="C42" s="5"/>
      <c r="D42" s="5"/>
    </row>
    <row r="43" spans="1:7" ht="15.75" x14ac:dyDescent="0.25">
      <c r="A43" s="2">
        <v>2001</v>
      </c>
      <c r="B43" s="17">
        <v>2.088772845953013E-2</v>
      </c>
      <c r="C43" s="17">
        <v>-6.3985374771480252E-3</v>
      </c>
      <c r="D43" s="17">
        <v>2.8571428571428692E-2</v>
      </c>
    </row>
    <row r="44" spans="1:7" ht="15.75" x14ac:dyDescent="0.25">
      <c r="A44" s="2">
        <v>2002</v>
      </c>
      <c r="B44" s="17">
        <v>3.0690537084399061E-2</v>
      </c>
      <c r="C44" s="17">
        <v>-1.1039558417663242E-2</v>
      </c>
      <c r="D44" s="17">
        <v>4.1666666666666741E-2</v>
      </c>
    </row>
    <row r="45" spans="1:7" ht="15.75" x14ac:dyDescent="0.25">
      <c r="A45" s="2">
        <v>2003</v>
      </c>
      <c r="B45" s="17">
        <v>2.977667493796532E-2</v>
      </c>
      <c r="C45" s="17">
        <v>-1.0232558139534831E-2</v>
      </c>
      <c r="D45" s="17">
        <v>4.0000000000000036E-2</v>
      </c>
    </row>
    <row r="46" spans="1:7" ht="16.5" thickBot="1" x14ac:dyDescent="0.3">
      <c r="A46" s="2">
        <v>2004</v>
      </c>
      <c r="B46" s="17">
        <v>-3.6144578313253017E-2</v>
      </c>
      <c r="C46" s="17">
        <v>-6.0150375939849621E-2</v>
      </c>
      <c r="D46" s="17">
        <v>2.5641025641025772E-2</v>
      </c>
    </row>
    <row r="47" spans="1:7" ht="15.75" thickBot="1" x14ac:dyDescent="0.3">
      <c r="B47" s="18">
        <v>4.4386422976501416E-2</v>
      </c>
      <c r="C47" s="19">
        <v>-8.5923217550274211E-2</v>
      </c>
      <c r="D47" s="20">
        <v>0.14285714285714279</v>
      </c>
    </row>
    <row r="48" spans="1:7" s="7" customFormat="1" ht="15.75" customHeight="1" x14ac:dyDescent="0.25"/>
    <row r="50" spans="1:7" x14ac:dyDescent="0.25">
      <c r="A50" t="s">
        <v>36</v>
      </c>
    </row>
    <row r="52" spans="1:7" ht="63" x14ac:dyDescent="0.25">
      <c r="A52" s="2" t="s">
        <v>32</v>
      </c>
      <c r="B52" s="2" t="s">
        <v>33</v>
      </c>
      <c r="C52" s="2" t="s">
        <v>34</v>
      </c>
      <c r="D52" s="2" t="s">
        <v>35</v>
      </c>
      <c r="E52" s="2" t="s">
        <v>50</v>
      </c>
      <c r="F52" s="2" t="s">
        <v>51</v>
      </c>
      <c r="G52" s="2" t="s">
        <v>52</v>
      </c>
    </row>
    <row r="53" spans="1:7" ht="15.75" x14ac:dyDescent="0.25">
      <c r="A53" s="2">
        <v>2000</v>
      </c>
      <c r="B53" s="2">
        <v>3830</v>
      </c>
      <c r="C53" s="2">
        <v>1094</v>
      </c>
      <c r="D53" s="2">
        <v>3.5</v>
      </c>
      <c r="E53" s="9"/>
      <c r="F53" s="9"/>
      <c r="G53" s="9"/>
    </row>
    <row r="54" spans="1:7" ht="15.75" x14ac:dyDescent="0.25">
      <c r="A54" s="2">
        <v>2001</v>
      </c>
      <c r="B54" s="2">
        <v>3910</v>
      </c>
      <c r="C54" s="2">
        <v>1087</v>
      </c>
      <c r="D54" s="2">
        <v>3.6</v>
      </c>
      <c r="E54" s="25">
        <f>B54/B53</f>
        <v>1.0208877284595301</v>
      </c>
      <c r="F54" s="25">
        <f t="shared" ref="F54:G57" si="13">C54/C53</f>
        <v>0.99360146252285197</v>
      </c>
      <c r="G54" s="25">
        <f t="shared" si="13"/>
        <v>1.0285714285714287</v>
      </c>
    </row>
    <row r="55" spans="1:7" ht="15.75" x14ac:dyDescent="0.25">
      <c r="A55" s="2">
        <v>2002</v>
      </c>
      <c r="B55" s="2">
        <v>4030</v>
      </c>
      <c r="C55" s="2">
        <v>1075</v>
      </c>
      <c r="D55" s="2">
        <v>3.75</v>
      </c>
      <c r="E55" s="25">
        <f t="shared" ref="E55:E57" si="14">B55/B54</f>
        <v>1.0306905370843991</v>
      </c>
      <c r="F55" s="25">
        <f t="shared" si="13"/>
        <v>0.98896044158233676</v>
      </c>
      <c r="G55" s="25">
        <f t="shared" si="13"/>
        <v>1.0416666666666667</v>
      </c>
    </row>
    <row r="56" spans="1:7" ht="15.75" x14ac:dyDescent="0.25">
      <c r="A56" s="2">
        <v>2003</v>
      </c>
      <c r="B56" s="2">
        <v>4150</v>
      </c>
      <c r="C56" s="2">
        <v>1064</v>
      </c>
      <c r="D56" s="2">
        <v>3.9</v>
      </c>
      <c r="E56" s="25">
        <f t="shared" si="14"/>
        <v>1.0297766749379653</v>
      </c>
      <c r="F56" s="25">
        <f t="shared" si="13"/>
        <v>0.98976744186046517</v>
      </c>
      <c r="G56" s="25">
        <f t="shared" si="13"/>
        <v>1.04</v>
      </c>
    </row>
    <row r="57" spans="1:7" ht="15.75" x14ac:dyDescent="0.25">
      <c r="A57" s="2">
        <v>2004</v>
      </c>
      <c r="B57" s="2">
        <v>4000</v>
      </c>
      <c r="C57" s="2">
        <v>1000</v>
      </c>
      <c r="D57" s="2">
        <v>4</v>
      </c>
      <c r="E57" s="25">
        <f t="shared" si="14"/>
        <v>0.96385542168674698</v>
      </c>
      <c r="F57" s="25">
        <f t="shared" si="13"/>
        <v>0.93984962406015038</v>
      </c>
      <c r="G57" s="25">
        <f t="shared" si="13"/>
        <v>1.0256410256410258</v>
      </c>
    </row>
    <row r="58" spans="1:7" ht="15.75" x14ac:dyDescent="0.25">
      <c r="A58" s="8" t="s">
        <v>49</v>
      </c>
      <c r="B58" s="24">
        <f>AVERAGE(B53:B57)</f>
        <v>3984</v>
      </c>
      <c r="C58" s="24">
        <f>AVERAGE(C53:C57)</f>
        <v>1064</v>
      </c>
      <c r="D58" s="23">
        <f>AVERAGE(D53:D57)</f>
        <v>3.75</v>
      </c>
      <c r="E58" s="26"/>
      <c r="F58" s="26"/>
      <c r="G58" s="26"/>
    </row>
    <row r="59" spans="1:7" ht="31.5" x14ac:dyDescent="0.25">
      <c r="A59" s="8" t="s">
        <v>55</v>
      </c>
      <c r="B59" s="23">
        <f>(B57-B53)/5</f>
        <v>34</v>
      </c>
      <c r="C59" s="23">
        <f>(C57-C53)/5</f>
        <v>-18.8</v>
      </c>
      <c r="D59" s="23">
        <f t="shared" ref="D59" si="15">(D57-D53)/5</f>
        <v>0.1</v>
      </c>
      <c r="E59" s="25"/>
      <c r="F59" s="25"/>
      <c r="G59" s="25"/>
    </row>
    <row r="60" spans="1:7" ht="15.75" x14ac:dyDescent="0.25">
      <c r="A60" s="8" t="s">
        <v>54</v>
      </c>
      <c r="B60" s="23"/>
      <c r="C60" s="23"/>
      <c r="D60" s="23"/>
      <c r="E60" s="25">
        <f>POWER((E54*E55*E56*E57),1/4)</f>
        <v>1.0109165448320609</v>
      </c>
      <c r="F60" s="25">
        <f t="shared" ref="F60:G60" si="16">POWER((F54*F55*F56*F57),1/4)</f>
        <v>0.97779017593400086</v>
      </c>
      <c r="G60" s="25">
        <f t="shared" si="16"/>
        <v>1.0339463079143412</v>
      </c>
    </row>
    <row r="61" spans="1:7" ht="15.75" x14ac:dyDescent="0.25">
      <c r="A61" s="8" t="s">
        <v>54</v>
      </c>
      <c r="B61" s="23"/>
      <c r="C61" s="23"/>
      <c r="D61" s="23"/>
      <c r="E61" s="25">
        <f>POWER(B57/B53,1/4)</f>
        <v>1.0109165448320607</v>
      </c>
      <c r="F61" s="25">
        <f t="shared" ref="F61:G61" si="17">POWER(C57/C53,1/4)</f>
        <v>0.97779017593400086</v>
      </c>
      <c r="G61" s="25">
        <f t="shared" si="17"/>
        <v>1.0339463079143412</v>
      </c>
    </row>
    <row r="62" spans="1:7" ht="15.75" customHeight="1" x14ac:dyDescent="0.25">
      <c r="A62" s="8" t="s">
        <v>53</v>
      </c>
      <c r="B62" s="23"/>
      <c r="C62" s="23"/>
      <c r="D62" s="23"/>
      <c r="E62" s="25">
        <f>E61-1</f>
        <v>1.0916544832060726E-2</v>
      </c>
      <c r="F62" s="25">
        <f t="shared" ref="F62:G62" si="18">F61-1</f>
        <v>-2.220982406599914E-2</v>
      </c>
      <c r="G62" s="25">
        <f t="shared" si="18"/>
        <v>3.3946307914341167E-2</v>
      </c>
    </row>
    <row r="63" spans="1:7" ht="15.75" x14ac:dyDescent="0.25">
      <c r="A63" s="21"/>
    </row>
    <row r="64" spans="1:7" ht="15.75" x14ac:dyDescent="0.25">
      <c r="A64" s="21"/>
    </row>
    <row r="65" spans="1:14" ht="15.75" x14ac:dyDescent="0.25">
      <c r="A65" s="21"/>
    </row>
    <row r="66" spans="1:14" ht="15.75" x14ac:dyDescent="0.25">
      <c r="A66" s="21"/>
    </row>
    <row r="68" spans="1:14" ht="15.75" x14ac:dyDescent="0.25">
      <c r="B68" s="8">
        <v>2000</v>
      </c>
      <c r="C68" s="8">
        <v>2001</v>
      </c>
      <c r="D68" s="8">
        <v>2002</v>
      </c>
      <c r="E68" s="8">
        <v>2003</v>
      </c>
      <c r="G68" s="8">
        <v>2004</v>
      </c>
    </row>
    <row r="69" spans="1:14" ht="63" x14ac:dyDescent="0.25">
      <c r="A69" s="2" t="s">
        <v>22</v>
      </c>
      <c r="B69" s="2" t="s">
        <v>37</v>
      </c>
      <c r="C69" s="2"/>
      <c r="D69" s="2"/>
      <c r="E69" s="2"/>
      <c r="F69" s="2" t="s">
        <v>38</v>
      </c>
      <c r="G69" s="2" t="s">
        <v>39</v>
      </c>
      <c r="H69" s="8" t="s">
        <v>55</v>
      </c>
      <c r="I69" s="8" t="s">
        <v>54</v>
      </c>
      <c r="J69" s="28" t="s">
        <v>53</v>
      </c>
      <c r="K69" s="28">
        <v>2001</v>
      </c>
      <c r="L69" s="28">
        <v>2002</v>
      </c>
      <c r="M69" s="28">
        <v>2003</v>
      </c>
      <c r="N69" s="8" t="s">
        <v>155</v>
      </c>
    </row>
    <row r="70" spans="1:14" ht="15.75" x14ac:dyDescent="0.25">
      <c r="A70" s="2"/>
      <c r="B70" s="2" t="s">
        <v>40</v>
      </c>
      <c r="C70" s="2" t="s">
        <v>41</v>
      </c>
      <c r="D70" s="2" t="s">
        <v>42</v>
      </c>
      <c r="E70" s="2" t="s">
        <v>43</v>
      </c>
      <c r="F70" s="2"/>
      <c r="G70" s="2"/>
      <c r="H70" s="8"/>
      <c r="I70" s="8"/>
      <c r="J70" s="30"/>
      <c r="K70" s="29"/>
      <c r="L70" s="29"/>
      <c r="M70" s="29"/>
      <c r="N70" s="22"/>
    </row>
    <row r="71" spans="1:14" ht="15.75" x14ac:dyDescent="0.25">
      <c r="A71" s="1" t="s">
        <v>44</v>
      </c>
      <c r="B71" s="2">
        <v>280</v>
      </c>
      <c r="C71" s="2">
        <v>300</v>
      </c>
      <c r="D71" s="2">
        <v>300</v>
      </c>
      <c r="E71" s="2">
        <v>320</v>
      </c>
      <c r="F71" s="2">
        <f>AVERAGE(B71:E71)</f>
        <v>300</v>
      </c>
      <c r="G71" s="27">
        <v>300</v>
      </c>
      <c r="H71" s="8">
        <f>(E71-B71)/4</f>
        <v>10</v>
      </c>
      <c r="I71" s="23">
        <f>POWER(E71/B71,1/3)</f>
        <v>1.0455159171494204</v>
      </c>
      <c r="J71" s="17">
        <f>I71-1</f>
        <v>4.5515917149420382E-2</v>
      </c>
      <c r="K71" s="17">
        <f>C71/B71</f>
        <v>1.0714285714285714</v>
      </c>
      <c r="L71" s="17">
        <f>D71/C71</f>
        <v>1</v>
      </c>
      <c r="M71" s="17">
        <f t="shared" ref="M71" si="19">E71/D71</f>
        <v>1.0666666666666667</v>
      </c>
      <c r="N71" s="17">
        <f>G71/E71</f>
        <v>0.9375</v>
      </c>
    </row>
    <row r="72" spans="1:14" ht="15.75" x14ac:dyDescent="0.25">
      <c r="A72" s="1" t="s">
        <v>45</v>
      </c>
      <c r="B72" s="2">
        <v>200</v>
      </c>
      <c r="C72" s="2">
        <v>205</v>
      </c>
      <c r="D72" s="2">
        <v>218</v>
      </c>
      <c r="E72" s="2">
        <v>221</v>
      </c>
      <c r="F72" s="2">
        <f t="shared" ref="F72:F75" si="20">AVERAGE(B72:E72)</f>
        <v>211</v>
      </c>
      <c r="G72" s="27">
        <v>250</v>
      </c>
      <c r="H72" s="8">
        <f t="shared" ref="H72:H75" si="21">(E72-B72)/4</f>
        <v>5.25</v>
      </c>
      <c r="I72" s="23">
        <f t="shared" ref="I72:I75" si="22">POWER(E72/B72,1/3)</f>
        <v>1.0338418124145412</v>
      </c>
      <c r="J72" s="17">
        <f t="shared" ref="J72:J75" si="23">I72-1</f>
        <v>3.3841812414541206E-2</v>
      </c>
      <c r="K72" s="17">
        <f t="shared" ref="K72:K75" si="24">C72/B72</f>
        <v>1.0249999999999999</v>
      </c>
      <c r="L72" s="17">
        <f t="shared" ref="L72:L75" si="25">D72/C72</f>
        <v>1.0634146341463415</v>
      </c>
      <c r="M72" s="17">
        <f t="shared" ref="M72:M75" si="26">E72/D72</f>
        <v>1.0137614678899083</v>
      </c>
      <c r="N72" s="17">
        <f t="shared" ref="N72:N75" si="27">G72/E72</f>
        <v>1.1312217194570136</v>
      </c>
    </row>
    <row r="73" spans="1:14" ht="15.75" x14ac:dyDescent="0.25">
      <c r="A73" s="1" t="s">
        <v>46</v>
      </c>
      <c r="B73" s="2">
        <v>1330</v>
      </c>
      <c r="C73" s="2">
        <v>1910</v>
      </c>
      <c r="D73" s="2">
        <v>2030</v>
      </c>
      <c r="E73" s="2">
        <v>2100</v>
      </c>
      <c r="F73" s="2">
        <f t="shared" si="20"/>
        <v>1842.5</v>
      </c>
      <c r="G73" s="27">
        <v>1950</v>
      </c>
      <c r="H73" s="8">
        <f>(E73-B73)/4</f>
        <v>192.5</v>
      </c>
      <c r="I73" s="23">
        <f t="shared" si="22"/>
        <v>1.1644545743112158</v>
      </c>
      <c r="J73" s="17">
        <f t="shared" si="23"/>
        <v>0.1644545743112158</v>
      </c>
      <c r="K73" s="17">
        <f t="shared" si="24"/>
        <v>1.4360902255639099</v>
      </c>
      <c r="L73" s="17">
        <f t="shared" si="25"/>
        <v>1.0628272251308901</v>
      </c>
      <c r="M73" s="17">
        <f t="shared" si="26"/>
        <v>1.0344827586206897</v>
      </c>
      <c r="N73" s="17">
        <f t="shared" si="27"/>
        <v>0.9285714285714286</v>
      </c>
    </row>
    <row r="74" spans="1:14" ht="15.75" x14ac:dyDescent="0.25">
      <c r="A74" s="1" t="s">
        <v>47</v>
      </c>
      <c r="B74" s="2">
        <v>2020</v>
      </c>
      <c r="C74" s="2">
        <v>1495</v>
      </c>
      <c r="D74" s="2">
        <v>1482</v>
      </c>
      <c r="E74" s="2">
        <v>1509</v>
      </c>
      <c r="F74" s="2">
        <f t="shared" si="20"/>
        <v>1626.5</v>
      </c>
      <c r="G74" s="27">
        <v>1500</v>
      </c>
      <c r="H74" s="8">
        <f t="shared" si="21"/>
        <v>-127.75</v>
      </c>
      <c r="I74" s="23">
        <f t="shared" si="22"/>
        <v>0.90735928999768822</v>
      </c>
      <c r="J74" s="17">
        <f t="shared" si="23"/>
        <v>-9.2640710002311777E-2</v>
      </c>
      <c r="K74" s="17">
        <f t="shared" si="24"/>
        <v>0.74009900990099009</v>
      </c>
      <c r="L74" s="17">
        <f t="shared" si="25"/>
        <v>0.99130434782608701</v>
      </c>
      <c r="M74" s="17">
        <f t="shared" si="26"/>
        <v>1.0182186234817814</v>
      </c>
      <c r="N74" s="17">
        <f t="shared" si="27"/>
        <v>0.99403578528827041</v>
      </c>
    </row>
    <row r="75" spans="1:14" ht="15.75" x14ac:dyDescent="0.25">
      <c r="A75" s="1" t="s">
        <v>48</v>
      </c>
      <c r="B75" s="2">
        <v>3830</v>
      </c>
      <c r="C75" s="2">
        <v>3910</v>
      </c>
      <c r="D75" s="2">
        <v>4030</v>
      </c>
      <c r="E75" s="2">
        <v>4150</v>
      </c>
      <c r="F75" s="2">
        <f t="shared" si="20"/>
        <v>3980</v>
      </c>
      <c r="G75" s="27">
        <v>4000</v>
      </c>
      <c r="H75" s="8">
        <f t="shared" si="21"/>
        <v>80</v>
      </c>
      <c r="I75" s="23">
        <f t="shared" si="22"/>
        <v>1.0271087781412203</v>
      </c>
      <c r="J75" s="17">
        <f t="shared" si="23"/>
        <v>2.7108778141220258E-2</v>
      </c>
      <c r="K75" s="17">
        <f t="shared" si="24"/>
        <v>1.0208877284595301</v>
      </c>
      <c r="L75" s="17">
        <f t="shared" si="25"/>
        <v>1.0306905370843991</v>
      </c>
      <c r="M75" s="17">
        <f t="shared" si="26"/>
        <v>1.0297766749379653</v>
      </c>
      <c r="N75" s="17">
        <f t="shared" si="27"/>
        <v>0.96385542168674698</v>
      </c>
    </row>
    <row r="76" spans="1:14" ht="15" customHeight="1" x14ac:dyDescent="0.25"/>
    <row r="77" spans="1:14" ht="15" customHeight="1" x14ac:dyDescent="0.25"/>
  </sheetData>
  <mergeCells count="9">
    <mergeCell ref="H6:J6"/>
    <mergeCell ref="K6:K7"/>
    <mergeCell ref="A21:A22"/>
    <mergeCell ref="B21:C21"/>
    <mergeCell ref="D21:D22"/>
    <mergeCell ref="E21:F21"/>
    <mergeCell ref="A6:A7"/>
    <mergeCell ref="B6:D6"/>
    <mergeCell ref="E6:G6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A4948-07C2-4E7B-ADAC-F4779C30F1D3}">
  <dimension ref="A1:H23"/>
  <sheetViews>
    <sheetView topLeftCell="A5" workbookViewId="0">
      <selection activeCell="E30" sqref="E30"/>
    </sheetView>
  </sheetViews>
  <sheetFormatPr defaultRowHeight="15" x14ac:dyDescent="0.25"/>
  <cols>
    <col min="1" max="1" width="24.5703125" bestFit="1" customWidth="1"/>
    <col min="3" max="3" width="40.140625" customWidth="1"/>
    <col min="4" max="4" width="17.140625" customWidth="1"/>
    <col min="5" max="5" width="18.7109375" customWidth="1"/>
    <col min="6" max="6" width="20" customWidth="1"/>
    <col min="7" max="7" width="13.140625" customWidth="1"/>
    <col min="8" max="8" width="15.5703125" customWidth="1"/>
  </cols>
  <sheetData>
    <row r="1" spans="1:8" x14ac:dyDescent="0.25">
      <c r="A1" t="s">
        <v>107</v>
      </c>
    </row>
    <row r="3" spans="1:8" ht="47.25" x14ac:dyDescent="0.25">
      <c r="C3" s="2" t="s">
        <v>102</v>
      </c>
      <c r="D3" s="2" t="s">
        <v>1</v>
      </c>
      <c r="E3" s="2" t="s">
        <v>2</v>
      </c>
      <c r="F3" s="8" t="s">
        <v>110</v>
      </c>
      <c r="G3" s="8" t="s">
        <v>109</v>
      </c>
      <c r="H3" s="8" t="s">
        <v>111</v>
      </c>
    </row>
    <row r="4" spans="1:8" ht="15.75" x14ac:dyDescent="0.25">
      <c r="C4" s="1" t="s">
        <v>103</v>
      </c>
      <c r="D4" s="2">
        <v>800</v>
      </c>
      <c r="E4" s="2">
        <v>850</v>
      </c>
      <c r="F4" s="2">
        <f>E4-D4</f>
        <v>50</v>
      </c>
      <c r="G4" s="6">
        <f>E4/D4</f>
        <v>1.0625</v>
      </c>
      <c r="H4" s="6">
        <f>G4-1</f>
        <v>6.25E-2</v>
      </c>
    </row>
    <row r="5" spans="1:8" ht="15.75" x14ac:dyDescent="0.25">
      <c r="C5" s="1" t="s">
        <v>104</v>
      </c>
      <c r="D5" s="2">
        <v>45</v>
      </c>
      <c r="E5" s="2">
        <v>42</v>
      </c>
      <c r="F5" s="2">
        <f t="shared" ref="F5:F7" si="0">E5-D5</f>
        <v>-3</v>
      </c>
      <c r="G5" s="6">
        <f t="shared" ref="G5:G7" si="1">E5/D5</f>
        <v>0.93333333333333335</v>
      </c>
      <c r="H5" s="6">
        <f t="shared" ref="H5:H8" si="2">G5-1</f>
        <v>-6.6666666666666652E-2</v>
      </c>
    </row>
    <row r="6" spans="1:8" ht="15" customHeight="1" x14ac:dyDescent="0.25">
      <c r="C6" s="56" t="s">
        <v>105</v>
      </c>
      <c r="D6" s="2">
        <v>8</v>
      </c>
      <c r="E6" s="2">
        <v>7.5</v>
      </c>
      <c r="F6" s="2">
        <f t="shared" si="0"/>
        <v>-0.5</v>
      </c>
      <c r="G6" s="6">
        <f t="shared" si="1"/>
        <v>0.9375</v>
      </c>
      <c r="H6" s="6">
        <f t="shared" si="2"/>
        <v>-6.25E-2</v>
      </c>
    </row>
    <row r="7" spans="1:8" ht="15.75" x14ac:dyDescent="0.25">
      <c r="C7" s="1" t="s">
        <v>106</v>
      </c>
      <c r="D7" s="2">
        <v>250</v>
      </c>
      <c r="E7" s="2">
        <v>200</v>
      </c>
      <c r="F7" s="2">
        <f t="shared" si="0"/>
        <v>-50</v>
      </c>
      <c r="G7" s="6">
        <f t="shared" si="1"/>
        <v>0.8</v>
      </c>
      <c r="H7" s="6">
        <f t="shared" si="2"/>
        <v>-0.19999999999999996</v>
      </c>
    </row>
    <row r="8" spans="1:8" ht="15.75" x14ac:dyDescent="0.25">
      <c r="C8" s="1" t="s">
        <v>112</v>
      </c>
      <c r="D8" s="47">
        <f>D4/D5/D6/D7</f>
        <v>8.8888888888888889E-3</v>
      </c>
      <c r="E8" s="47">
        <f>E4/E5/E6/E7</f>
        <v>1.3492063492063491E-2</v>
      </c>
      <c r="F8" s="47">
        <f t="shared" ref="F8" si="3">E8-D8</f>
        <v>4.6031746031746021E-3</v>
      </c>
      <c r="G8" s="6">
        <f t="shared" ref="G8" si="4">E8/D8</f>
        <v>1.5178571428571428</v>
      </c>
      <c r="H8" s="6">
        <f t="shared" si="2"/>
        <v>0.51785714285714279</v>
      </c>
    </row>
    <row r="9" spans="1:8" x14ac:dyDescent="0.25">
      <c r="A9" t="s">
        <v>108</v>
      </c>
    </row>
    <row r="10" spans="1:8" ht="15.75" x14ac:dyDescent="0.25">
      <c r="C10" s="1" t="s">
        <v>113</v>
      </c>
      <c r="D10" s="2">
        <f>D6*D7*D8*E5</f>
        <v>746.66666666666674</v>
      </c>
      <c r="E10" s="1" t="s">
        <v>114</v>
      </c>
    </row>
    <row r="11" spans="1:8" ht="15.75" x14ac:dyDescent="0.25">
      <c r="D11" s="2">
        <f>D10-D4</f>
        <v>-53.333333333333258</v>
      </c>
      <c r="E11" s="1" t="s">
        <v>114</v>
      </c>
    </row>
    <row r="12" spans="1:8" x14ac:dyDescent="0.25">
      <c r="D12" s="55"/>
    </row>
    <row r="13" spans="1:8" ht="15.75" x14ac:dyDescent="0.25">
      <c r="C13" s="1" t="s">
        <v>115</v>
      </c>
      <c r="D13" s="2">
        <f>D8*D6*E5*E7</f>
        <v>597.33333333333337</v>
      </c>
      <c r="E13" s="1" t="s">
        <v>114</v>
      </c>
    </row>
    <row r="14" spans="1:8" ht="15.75" x14ac:dyDescent="0.25">
      <c r="D14" s="2">
        <f>D13-D10</f>
        <v>-149.33333333333337</v>
      </c>
      <c r="E14" s="1" t="s">
        <v>114</v>
      </c>
    </row>
    <row r="15" spans="1:8" x14ac:dyDescent="0.25">
      <c r="D15" s="55"/>
    </row>
    <row r="16" spans="1:8" ht="15.75" x14ac:dyDescent="0.25">
      <c r="C16" s="57" t="s">
        <v>116</v>
      </c>
      <c r="D16" s="2">
        <f>D8*E7*E5*E6</f>
        <v>559.99999999999989</v>
      </c>
      <c r="E16" s="1" t="s">
        <v>114</v>
      </c>
    </row>
    <row r="17" spans="3:5" ht="15.75" x14ac:dyDescent="0.25">
      <c r="D17" s="2">
        <f>D16-D13</f>
        <v>-37.333333333333485</v>
      </c>
      <c r="E17" s="1" t="s">
        <v>114</v>
      </c>
    </row>
    <row r="19" spans="3:5" ht="15.75" x14ac:dyDescent="0.25">
      <c r="C19" s="57" t="s">
        <v>117</v>
      </c>
      <c r="D19" s="48">
        <f>E7*E6*E5*E8</f>
        <v>849.99999999999989</v>
      </c>
      <c r="E19" s="1" t="s">
        <v>114</v>
      </c>
    </row>
    <row r="20" spans="3:5" ht="15.75" x14ac:dyDescent="0.25">
      <c r="D20" s="48">
        <f>D19-D16</f>
        <v>290</v>
      </c>
      <c r="E20" s="1" t="s">
        <v>114</v>
      </c>
    </row>
    <row r="22" spans="3:5" ht="15.75" x14ac:dyDescent="0.25">
      <c r="C22" s="57" t="s">
        <v>118</v>
      </c>
      <c r="D22" s="48">
        <f>D20+D17+D14+D11</f>
        <v>49.999999999999886</v>
      </c>
      <c r="E22" s="1" t="s">
        <v>114</v>
      </c>
    </row>
    <row r="23" spans="3:5" ht="15.75" x14ac:dyDescent="0.25">
      <c r="C23" s="58"/>
      <c r="D23" s="59"/>
      <c r="E23" s="58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0B5C3-FD18-4E3B-9C49-161796481186}">
  <dimension ref="A1:I7"/>
  <sheetViews>
    <sheetView workbookViewId="0">
      <selection activeCell="N14" sqref="N14"/>
    </sheetView>
  </sheetViews>
  <sheetFormatPr defaultRowHeight="15" x14ac:dyDescent="0.25"/>
  <cols>
    <col min="3" max="6" width="15.140625" customWidth="1"/>
    <col min="7" max="7" width="15.5703125" customWidth="1"/>
    <col min="8" max="9" width="15.140625" customWidth="1"/>
  </cols>
  <sheetData>
    <row r="1" spans="1:9" x14ac:dyDescent="0.25">
      <c r="A1" t="s">
        <v>129</v>
      </c>
    </row>
    <row r="2" spans="1:9" ht="15.75" x14ac:dyDescent="0.25">
      <c r="C2" s="65" t="s">
        <v>119</v>
      </c>
      <c r="D2" s="65" t="s">
        <v>120</v>
      </c>
      <c r="E2" s="65"/>
      <c r="F2" s="65" t="s">
        <v>121</v>
      </c>
      <c r="G2" s="65"/>
      <c r="H2" s="65" t="s">
        <v>122</v>
      </c>
      <c r="I2" s="65"/>
    </row>
    <row r="3" spans="1:9" ht="37.5" x14ac:dyDescent="0.25">
      <c r="C3" s="65"/>
      <c r="D3" s="2" t="s">
        <v>123</v>
      </c>
      <c r="E3" s="2" t="s">
        <v>124</v>
      </c>
      <c r="F3" s="2" t="s">
        <v>125</v>
      </c>
      <c r="G3" s="2" t="s">
        <v>126</v>
      </c>
      <c r="H3" s="2" t="s">
        <v>127</v>
      </c>
      <c r="I3" s="2" t="s">
        <v>128</v>
      </c>
    </row>
    <row r="4" spans="1:9" ht="15.75" x14ac:dyDescent="0.25">
      <c r="C4" s="56" t="s">
        <v>44</v>
      </c>
      <c r="D4" s="2">
        <v>9</v>
      </c>
      <c r="E4" s="2">
        <v>10</v>
      </c>
      <c r="F4" s="2">
        <v>15</v>
      </c>
      <c r="G4" s="2">
        <v>15.5</v>
      </c>
      <c r="H4" s="2">
        <f>D4*F4</f>
        <v>135</v>
      </c>
      <c r="I4" s="2">
        <f>E4*G4</f>
        <v>155</v>
      </c>
    </row>
    <row r="5" spans="1:9" ht="15.75" x14ac:dyDescent="0.25">
      <c r="C5" s="56" t="s">
        <v>45</v>
      </c>
      <c r="D5" s="2">
        <v>6</v>
      </c>
      <c r="E5" s="2">
        <v>7</v>
      </c>
      <c r="F5" s="2">
        <v>14</v>
      </c>
      <c r="G5" s="2">
        <v>15</v>
      </c>
      <c r="H5" s="2">
        <f t="shared" ref="H5:H6" si="0">D5*F5</f>
        <v>84</v>
      </c>
      <c r="I5" s="2">
        <f t="shared" ref="I5:I6" si="1">E5*G5</f>
        <v>105</v>
      </c>
    </row>
    <row r="6" spans="1:9" ht="15.75" x14ac:dyDescent="0.25">
      <c r="C6" s="56" t="s">
        <v>46</v>
      </c>
      <c r="D6" s="2">
        <v>8</v>
      </c>
      <c r="E6" s="2">
        <v>7</v>
      </c>
      <c r="F6" s="2">
        <v>22</v>
      </c>
      <c r="G6" s="2">
        <v>21.5</v>
      </c>
      <c r="H6" s="2">
        <f t="shared" si="0"/>
        <v>176</v>
      </c>
      <c r="I6" s="2">
        <f t="shared" si="1"/>
        <v>150.5</v>
      </c>
    </row>
    <row r="7" spans="1:9" ht="15.75" x14ac:dyDescent="0.25">
      <c r="C7" s="56" t="s">
        <v>9</v>
      </c>
      <c r="D7" s="2" t="s">
        <v>10</v>
      </c>
      <c r="E7" s="2" t="s">
        <v>10</v>
      </c>
      <c r="F7" s="2" t="s">
        <v>10</v>
      </c>
      <c r="G7" s="2" t="s">
        <v>10</v>
      </c>
      <c r="H7" s="2">
        <f>SUM(H4:H6)</f>
        <v>395</v>
      </c>
      <c r="I7" s="2">
        <f>SUM(I4:I6)</f>
        <v>410.5</v>
      </c>
    </row>
  </sheetData>
  <mergeCells count="4">
    <mergeCell ref="C2:C3"/>
    <mergeCell ref="D2:E2"/>
    <mergeCell ref="F2:G2"/>
    <mergeCell ref="H2:I2"/>
  </mergeCells>
  <pageMargins left="0.7" right="0.7" top="0.75" bottom="0.75" header="0.3" footer="0.3"/>
  <pageSetup paperSize="9"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FBC0-E365-4FB4-9D9A-B5107EBB18A9}">
  <dimension ref="A1:H11"/>
  <sheetViews>
    <sheetView workbookViewId="0">
      <selection activeCell="A12" sqref="A12:XFD24"/>
    </sheetView>
  </sheetViews>
  <sheetFormatPr defaultRowHeight="15" x14ac:dyDescent="0.25"/>
  <cols>
    <col min="3" max="3" width="56" customWidth="1"/>
    <col min="4" max="4" width="15.42578125" customWidth="1"/>
    <col min="5" max="5" width="11.5703125" customWidth="1"/>
    <col min="6" max="6" width="16.7109375" customWidth="1"/>
    <col min="7" max="7" width="12.7109375" customWidth="1"/>
    <col min="8" max="8" width="17.28515625" customWidth="1"/>
  </cols>
  <sheetData>
    <row r="1" spans="1:8" x14ac:dyDescent="0.25">
      <c r="A1" t="s">
        <v>130</v>
      </c>
    </row>
    <row r="3" spans="1:8" ht="47.25" x14ac:dyDescent="0.25">
      <c r="C3" s="2" t="s">
        <v>102</v>
      </c>
      <c r="D3" s="2" t="s">
        <v>1</v>
      </c>
      <c r="E3" s="2" t="s">
        <v>2</v>
      </c>
      <c r="F3" s="8" t="s">
        <v>110</v>
      </c>
      <c r="G3" s="8" t="s">
        <v>131</v>
      </c>
      <c r="H3" s="8" t="s">
        <v>111</v>
      </c>
    </row>
    <row r="4" spans="1:8" ht="15.75" x14ac:dyDescent="0.25">
      <c r="B4" s="1" t="s">
        <v>133</v>
      </c>
      <c r="C4" s="1" t="s">
        <v>103</v>
      </c>
      <c r="D4" s="2">
        <v>800</v>
      </c>
      <c r="E4" s="2">
        <v>850</v>
      </c>
      <c r="F4" s="2">
        <f>E4-D4</f>
        <v>50</v>
      </c>
      <c r="G4" s="6">
        <f>E4/D4</f>
        <v>1.0625</v>
      </c>
      <c r="H4" s="6">
        <f>G4-1</f>
        <v>6.25E-2</v>
      </c>
    </row>
    <row r="5" spans="1:8" ht="15.75" x14ac:dyDescent="0.25">
      <c r="B5" s="1" t="s">
        <v>134</v>
      </c>
      <c r="C5" s="1" t="s">
        <v>104</v>
      </c>
      <c r="D5" s="2">
        <v>45</v>
      </c>
      <c r="E5" s="2">
        <v>42</v>
      </c>
      <c r="F5" s="2">
        <f t="shared" ref="F5:F8" si="0">E5-D5</f>
        <v>-3</v>
      </c>
      <c r="G5" s="6">
        <f t="shared" ref="G5:G8" si="1">E5/D5</f>
        <v>0.93333333333333335</v>
      </c>
      <c r="H5" s="6">
        <f t="shared" ref="H5:H8" si="2">G5-1</f>
        <v>-6.6666666666666652E-2</v>
      </c>
    </row>
    <row r="6" spans="1:8" ht="15.75" x14ac:dyDescent="0.25">
      <c r="B6" s="1" t="s">
        <v>135</v>
      </c>
      <c r="C6" s="56" t="s">
        <v>105</v>
      </c>
      <c r="D6" s="2">
        <v>8</v>
      </c>
      <c r="E6" s="2">
        <v>7.5</v>
      </c>
      <c r="F6" s="2">
        <f t="shared" si="0"/>
        <v>-0.5</v>
      </c>
      <c r="G6" s="6">
        <f t="shared" si="1"/>
        <v>0.9375</v>
      </c>
      <c r="H6" s="6">
        <f t="shared" si="2"/>
        <v>-6.25E-2</v>
      </c>
    </row>
    <row r="7" spans="1:8" ht="15.75" x14ac:dyDescent="0.25">
      <c r="B7" s="1" t="s">
        <v>136</v>
      </c>
      <c r="C7" s="1" t="s">
        <v>106</v>
      </c>
      <c r="D7" s="2">
        <v>250</v>
      </c>
      <c r="E7" s="2">
        <v>200</v>
      </c>
      <c r="F7" s="2">
        <f t="shared" si="0"/>
        <v>-50</v>
      </c>
      <c r="G7" s="6">
        <f t="shared" si="1"/>
        <v>0.8</v>
      </c>
      <c r="H7" s="6">
        <f t="shared" si="2"/>
        <v>-0.19999999999999996</v>
      </c>
    </row>
    <row r="8" spans="1:8" ht="15.75" x14ac:dyDescent="0.25">
      <c r="B8" s="1" t="s">
        <v>137</v>
      </c>
      <c r="C8" s="1" t="s">
        <v>112</v>
      </c>
      <c r="D8" s="47">
        <f>D4/D5/D6/D7</f>
        <v>8.8888888888888889E-3</v>
      </c>
      <c r="E8" s="47">
        <f>E4/E5/E6/E7</f>
        <v>1.3492063492063491E-2</v>
      </c>
      <c r="F8" s="47">
        <f t="shared" si="0"/>
        <v>4.6031746031746021E-3</v>
      </c>
      <c r="G8" s="6">
        <f t="shared" si="1"/>
        <v>1.5178571428571428</v>
      </c>
      <c r="H8" s="6">
        <f t="shared" si="2"/>
        <v>0.51785714285714279</v>
      </c>
    </row>
    <row r="9" spans="1:8" ht="15.75" x14ac:dyDescent="0.25">
      <c r="C9" s="1" t="s">
        <v>140</v>
      </c>
      <c r="D9" s="48">
        <f>D8*D6*D5</f>
        <v>3.2</v>
      </c>
      <c r="E9" s="48">
        <f>E8*E6*E5</f>
        <v>4.2499999999999991</v>
      </c>
      <c r="F9" s="48">
        <f t="shared" ref="F9" si="3">E9-D9</f>
        <v>1.0499999999999989</v>
      </c>
      <c r="G9" s="6">
        <f t="shared" ref="G9" si="4">E9/D9</f>
        <v>1.3281249999999996</v>
      </c>
      <c r="H9" s="6">
        <f t="shared" ref="H9" si="5">G9-1</f>
        <v>0.32812499999999956</v>
      </c>
    </row>
    <row r="10" spans="1:8" ht="15.75" x14ac:dyDescent="0.25">
      <c r="C10" s="1" t="s">
        <v>132</v>
      </c>
      <c r="D10" s="58"/>
      <c r="F10" s="2">
        <f>(F8*F6*F5)/3</f>
        <v>2.301587301587301E-3</v>
      </c>
    </row>
    <row r="11" spans="1:8" ht="15.75" x14ac:dyDescent="0.25">
      <c r="C11" s="1" t="s">
        <v>138</v>
      </c>
      <c r="D11" s="1" t="s">
        <v>139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1EB80-8BE6-42DB-9561-B17B58016334}">
  <dimension ref="A1:H8"/>
  <sheetViews>
    <sheetView topLeftCell="A22" workbookViewId="0">
      <selection activeCell="D26" sqref="D26"/>
    </sheetView>
  </sheetViews>
  <sheetFormatPr defaultRowHeight="15" x14ac:dyDescent="0.25"/>
  <cols>
    <col min="1" max="1" width="24.5703125" bestFit="1" customWidth="1"/>
    <col min="3" max="3" width="38.5703125" customWidth="1"/>
    <col min="4" max="4" width="12.140625" customWidth="1"/>
    <col min="5" max="5" width="11.42578125" customWidth="1"/>
    <col min="6" max="6" width="13.85546875" customWidth="1"/>
    <col min="7" max="7" width="13.42578125" customWidth="1"/>
    <col min="8" max="8" width="15.42578125" customWidth="1"/>
  </cols>
  <sheetData>
    <row r="1" spans="1:8" x14ac:dyDescent="0.25">
      <c r="A1" t="s">
        <v>141</v>
      </c>
    </row>
    <row r="3" spans="1:8" ht="47.25" x14ac:dyDescent="0.25">
      <c r="C3" s="2" t="s">
        <v>102</v>
      </c>
      <c r="D3" s="2" t="s">
        <v>1</v>
      </c>
      <c r="E3" s="2" t="s">
        <v>2</v>
      </c>
      <c r="F3" s="8" t="s">
        <v>110</v>
      </c>
      <c r="G3" s="8" t="s">
        <v>109</v>
      </c>
      <c r="H3" s="8" t="s">
        <v>111</v>
      </c>
    </row>
    <row r="4" spans="1:8" ht="15.75" x14ac:dyDescent="0.25">
      <c r="C4" s="1" t="s">
        <v>103</v>
      </c>
      <c r="D4" s="2">
        <v>800</v>
      </c>
      <c r="E4" s="2">
        <v>850</v>
      </c>
      <c r="F4" s="61">
        <f>E4-D4</f>
        <v>50</v>
      </c>
      <c r="G4" s="6">
        <f>E4/D4</f>
        <v>1.0625</v>
      </c>
      <c r="H4" s="6">
        <f>G4-1</f>
        <v>6.25E-2</v>
      </c>
    </row>
    <row r="5" spans="1:8" ht="15.75" x14ac:dyDescent="0.25">
      <c r="C5" s="1" t="s">
        <v>104</v>
      </c>
      <c r="D5" s="2">
        <v>45</v>
      </c>
      <c r="E5" s="2">
        <v>42</v>
      </c>
      <c r="F5" s="2">
        <f t="shared" ref="F5:F8" si="0">E5-D5</f>
        <v>-3</v>
      </c>
      <c r="G5" s="6">
        <f t="shared" ref="G5:G8" si="1">E5/D5</f>
        <v>0.93333333333333335</v>
      </c>
      <c r="H5" s="6">
        <f t="shared" ref="H5:H8" si="2">G5-1</f>
        <v>-6.6666666666666652E-2</v>
      </c>
    </row>
    <row r="6" spans="1:8" ht="15.75" x14ac:dyDescent="0.25">
      <c r="C6" s="56" t="s">
        <v>105</v>
      </c>
      <c r="D6" s="2">
        <v>8</v>
      </c>
      <c r="E6" s="2">
        <v>7.5</v>
      </c>
      <c r="F6" s="2">
        <f t="shared" si="0"/>
        <v>-0.5</v>
      </c>
      <c r="G6" s="6">
        <f t="shared" si="1"/>
        <v>0.9375</v>
      </c>
      <c r="H6" s="6">
        <f t="shared" si="2"/>
        <v>-6.25E-2</v>
      </c>
    </row>
    <row r="7" spans="1:8" ht="15.75" x14ac:dyDescent="0.25">
      <c r="C7" s="1" t="s">
        <v>106</v>
      </c>
      <c r="D7" s="2">
        <v>250</v>
      </c>
      <c r="E7" s="2">
        <v>200</v>
      </c>
      <c r="F7" s="2">
        <f t="shared" si="0"/>
        <v>-50</v>
      </c>
      <c r="G7" s="6">
        <f t="shared" si="1"/>
        <v>0.8</v>
      </c>
      <c r="H7" s="6">
        <f t="shared" si="2"/>
        <v>-0.19999999999999996</v>
      </c>
    </row>
    <row r="8" spans="1:8" ht="31.5" x14ac:dyDescent="0.25">
      <c r="C8" s="1" t="s">
        <v>112</v>
      </c>
      <c r="D8" s="47">
        <f>D4/D5/D6/D7</f>
        <v>8.8888888888888889E-3</v>
      </c>
      <c r="E8" s="47">
        <f>E4/E5/E6/E7</f>
        <v>1.3492063492063491E-2</v>
      </c>
      <c r="F8" s="47">
        <f t="shared" si="0"/>
        <v>4.6031746031746021E-3</v>
      </c>
      <c r="G8" s="6">
        <f t="shared" si="1"/>
        <v>1.5178571428571428</v>
      </c>
      <c r="H8" s="6">
        <f t="shared" si="2"/>
        <v>0.51785714285714279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9147-413C-453D-93D0-D9B3655DEFF4}">
  <dimension ref="A1:H18"/>
  <sheetViews>
    <sheetView topLeftCell="A22" workbookViewId="0">
      <selection activeCell="C13" sqref="C13:E18"/>
    </sheetView>
  </sheetViews>
  <sheetFormatPr defaultRowHeight="15" x14ac:dyDescent="0.25"/>
  <cols>
    <col min="3" max="3" width="40.7109375" customWidth="1"/>
    <col min="4" max="4" width="13.140625" customWidth="1"/>
    <col min="5" max="5" width="13.42578125" customWidth="1"/>
    <col min="6" max="6" width="10.140625" bestFit="1" customWidth="1"/>
  </cols>
  <sheetData>
    <row r="1" spans="1:8" x14ac:dyDescent="0.25">
      <c r="A1" t="s">
        <v>147</v>
      </c>
    </row>
    <row r="3" spans="1:8" ht="78.75" x14ac:dyDescent="0.25">
      <c r="C3" s="31" t="s">
        <v>56</v>
      </c>
      <c r="D3" s="31" t="s">
        <v>142</v>
      </c>
      <c r="E3" s="31" t="s">
        <v>2</v>
      </c>
      <c r="F3" s="8" t="s">
        <v>110</v>
      </c>
      <c r="G3" s="8" t="s">
        <v>109</v>
      </c>
      <c r="H3" s="8" t="s">
        <v>111</v>
      </c>
    </row>
    <row r="4" spans="1:8" ht="31.5" x14ac:dyDescent="0.25">
      <c r="C4" s="62" t="s">
        <v>143</v>
      </c>
      <c r="D4" s="2">
        <v>3000</v>
      </c>
      <c r="E4" s="2">
        <v>2960</v>
      </c>
      <c r="F4" s="2">
        <f>E4-D4</f>
        <v>-40</v>
      </c>
      <c r="G4" s="6">
        <f>E4/D4</f>
        <v>0.98666666666666669</v>
      </c>
      <c r="H4" s="6">
        <f>G4-1</f>
        <v>-1.3333333333333308E-2</v>
      </c>
    </row>
    <row r="5" spans="1:8" ht="31.5" x14ac:dyDescent="0.25">
      <c r="C5" s="62" t="s">
        <v>144</v>
      </c>
      <c r="D5" s="60">
        <v>220.833</v>
      </c>
      <c r="E5" s="48">
        <v>220.44</v>
      </c>
      <c r="F5" s="48">
        <f>E5-D5</f>
        <v>-0.39300000000000068</v>
      </c>
      <c r="G5" s="6">
        <f t="shared" ref="G5:G7" si="0">E5/D5</f>
        <v>0.99822037467226366</v>
      </c>
      <c r="H5" s="6">
        <f t="shared" ref="H5:H8" si="1">G5-1</f>
        <v>-1.779625327736345E-3</v>
      </c>
    </row>
    <row r="6" spans="1:8" ht="15.75" x14ac:dyDescent="0.25">
      <c r="C6" s="62" t="s">
        <v>145</v>
      </c>
      <c r="D6" s="2">
        <v>7.7060000000000004</v>
      </c>
      <c r="E6" s="2">
        <v>7.7629999999999999</v>
      </c>
      <c r="F6" s="2">
        <f t="shared" ref="F6:F7" si="2">E6-D6</f>
        <v>5.6999999999999496E-2</v>
      </c>
      <c r="G6" s="6">
        <f t="shared" si="0"/>
        <v>1.0073968336361276</v>
      </c>
      <c r="H6" s="6">
        <f t="shared" si="1"/>
        <v>7.3968336361276421E-3</v>
      </c>
    </row>
    <row r="7" spans="1:8" ht="15.75" x14ac:dyDescent="0.25">
      <c r="C7" s="62" t="s">
        <v>146</v>
      </c>
      <c r="D7" s="2">
        <v>4.8970000000000002</v>
      </c>
      <c r="E7" s="2">
        <v>5.133</v>
      </c>
      <c r="F7" s="2">
        <f t="shared" si="2"/>
        <v>0.23599999999999977</v>
      </c>
      <c r="G7" s="6">
        <f t="shared" si="0"/>
        <v>1.0481927710843373</v>
      </c>
      <c r="H7" s="6">
        <f t="shared" si="1"/>
        <v>4.8192771084337283E-2</v>
      </c>
    </row>
    <row r="8" spans="1:8" ht="15.75" x14ac:dyDescent="0.25">
      <c r="C8" s="37" t="s">
        <v>148</v>
      </c>
      <c r="D8" s="60">
        <f>D4*D5*D6*D7/1000</f>
        <v>25000.249088718003</v>
      </c>
      <c r="E8" s="60">
        <f>E4*E5*E6*E7/1000</f>
        <v>26000.575681449598</v>
      </c>
      <c r="F8" s="61">
        <f t="shared" ref="F8" si="3">E8-D8</f>
        <v>1000.3265927315952</v>
      </c>
      <c r="G8" s="6">
        <f t="shared" ref="G8" si="4">E8/D8</f>
        <v>1.0400126650411263</v>
      </c>
      <c r="H8" s="6">
        <f t="shared" si="1"/>
        <v>4.0012665041126327E-2</v>
      </c>
    </row>
    <row r="13" spans="1:8" ht="15.75" x14ac:dyDescent="0.25">
      <c r="C13" s="1" t="s">
        <v>113</v>
      </c>
      <c r="D13" s="48">
        <f>(E4-D4)*D6*D7*D5/1000</f>
        <v>-333.33665451624006</v>
      </c>
      <c r="E13" s="1" t="s">
        <v>114</v>
      </c>
    </row>
    <row r="14" spans="1:8" ht="15.75" x14ac:dyDescent="0.25">
      <c r="C14" s="1" t="s">
        <v>115</v>
      </c>
      <c r="D14" s="48">
        <f>(E5-D5)*D7*E4*D6/1000</f>
        <v>-43.897862124960078</v>
      </c>
      <c r="E14" s="1" t="s">
        <v>114</v>
      </c>
    </row>
    <row r="15" spans="1:8" ht="15.75" x14ac:dyDescent="0.25">
      <c r="C15" s="57" t="s">
        <v>116</v>
      </c>
      <c r="D15" s="48">
        <f>(E6-D6)*E4*E5*D7/1000</f>
        <v>182.13234240959838</v>
      </c>
      <c r="E15" s="1" t="s">
        <v>114</v>
      </c>
    </row>
    <row r="16" spans="1:8" ht="15.75" x14ac:dyDescent="0.25">
      <c r="C16" s="57" t="s">
        <v>117</v>
      </c>
      <c r="D16" s="48">
        <f>(E7-D7)*E5*E6*E4/1000</f>
        <v>1195.4287669631988</v>
      </c>
      <c r="E16" s="1" t="s">
        <v>114</v>
      </c>
    </row>
    <row r="18" spans="3:5" ht="15.75" x14ac:dyDescent="0.25">
      <c r="C18" s="57" t="s">
        <v>118</v>
      </c>
      <c r="D18" s="63">
        <f>SUM(D13:D16)</f>
        <v>1000.326592731597</v>
      </c>
      <c r="E18" s="1" t="s">
        <v>114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E5640-810F-4BCC-ADE6-8AEAC5F52313}">
  <dimension ref="A1:H8"/>
  <sheetViews>
    <sheetView tabSelected="1" workbookViewId="0">
      <selection activeCell="C21" sqref="C21"/>
    </sheetView>
  </sheetViews>
  <sheetFormatPr defaultRowHeight="15" x14ac:dyDescent="0.25"/>
  <cols>
    <col min="3" max="3" width="38.42578125" bestFit="1" customWidth="1"/>
    <col min="4" max="5" width="9" bestFit="1" customWidth="1"/>
    <col min="6" max="6" width="16.5703125" customWidth="1"/>
    <col min="7" max="7" width="15.42578125" customWidth="1"/>
    <col min="8" max="8" width="15.28515625" customWidth="1"/>
  </cols>
  <sheetData>
    <row r="1" spans="1:8" x14ac:dyDescent="0.25">
      <c r="A1" t="s">
        <v>152</v>
      </c>
    </row>
    <row r="3" spans="1:8" ht="47.25" x14ac:dyDescent="0.25">
      <c r="C3" s="31" t="s">
        <v>56</v>
      </c>
      <c r="D3" s="31" t="s">
        <v>57</v>
      </c>
      <c r="E3" s="31" t="s">
        <v>58</v>
      </c>
      <c r="F3" s="8" t="s">
        <v>110</v>
      </c>
      <c r="G3" s="8" t="s">
        <v>109</v>
      </c>
      <c r="H3" s="8" t="s">
        <v>111</v>
      </c>
    </row>
    <row r="4" spans="1:8" ht="31.5" x14ac:dyDescent="0.25">
      <c r="C4" s="62" t="s">
        <v>149</v>
      </c>
      <c r="D4" s="31">
        <v>3200</v>
      </c>
      <c r="E4" s="31">
        <v>3300</v>
      </c>
      <c r="F4" s="2">
        <f>E4-D4</f>
        <v>100</v>
      </c>
      <c r="G4" s="6">
        <f>E4/D4</f>
        <v>1.03125</v>
      </c>
      <c r="H4" s="6">
        <f>G4-1</f>
        <v>3.125E-2</v>
      </c>
    </row>
    <row r="5" spans="1:8" ht="31.5" x14ac:dyDescent="0.25">
      <c r="C5" s="62" t="s">
        <v>150</v>
      </c>
      <c r="D5" s="31">
        <v>0.68</v>
      </c>
      <c r="E5" s="31">
        <v>0.67</v>
      </c>
      <c r="F5" s="48">
        <f>E5-D5</f>
        <v>-1.0000000000000009E-2</v>
      </c>
      <c r="G5" s="6">
        <f t="shared" ref="G5:G8" si="0">E5/D5</f>
        <v>0.98529411764705876</v>
      </c>
      <c r="H5" s="6">
        <f t="shared" ref="H5:H8" si="1">G5-1</f>
        <v>-1.4705882352941235E-2</v>
      </c>
    </row>
    <row r="6" spans="1:8" ht="15.75" x14ac:dyDescent="0.25">
      <c r="C6" s="62" t="s">
        <v>151</v>
      </c>
      <c r="D6" s="31">
        <v>1520</v>
      </c>
      <c r="E6" s="31">
        <v>1500</v>
      </c>
      <c r="F6" s="2">
        <f t="shared" ref="F6:F8" si="2">E6-D6</f>
        <v>-20</v>
      </c>
      <c r="G6" s="6">
        <f t="shared" si="0"/>
        <v>0.98684210526315785</v>
      </c>
      <c r="H6" s="6">
        <f t="shared" si="1"/>
        <v>-1.3157894736842146E-2</v>
      </c>
    </row>
    <row r="7" spans="1:8" ht="15.75" x14ac:dyDescent="0.25">
      <c r="C7" s="62" t="s">
        <v>153</v>
      </c>
      <c r="D7" s="31">
        <f>D6*D5</f>
        <v>1033.6000000000001</v>
      </c>
      <c r="E7" s="31">
        <f t="shared" ref="E7" si="3">E6*E5</f>
        <v>1005.0000000000001</v>
      </c>
      <c r="F7" s="2">
        <f t="shared" si="2"/>
        <v>-28.600000000000023</v>
      </c>
      <c r="G7" s="6">
        <f t="shared" si="0"/>
        <v>0.97232972136222906</v>
      </c>
      <c r="H7" s="6">
        <f t="shared" si="1"/>
        <v>-2.767027863777094E-2</v>
      </c>
    </row>
    <row r="8" spans="1:8" ht="15.75" x14ac:dyDescent="0.25">
      <c r="C8" s="62" t="s">
        <v>154</v>
      </c>
      <c r="D8" s="31">
        <f>D7*D4</f>
        <v>3307520.0000000005</v>
      </c>
      <c r="E8" s="31">
        <f>E7*E4</f>
        <v>3316500.0000000005</v>
      </c>
      <c r="F8" s="2">
        <f t="shared" si="2"/>
        <v>8980</v>
      </c>
      <c r="G8" s="6">
        <f t="shared" si="0"/>
        <v>1.0027150251547987</v>
      </c>
      <c r="H8" s="6">
        <f t="shared" si="1"/>
        <v>2.7150251547987114E-3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C3B92-5CAC-4666-BBAE-D99595806D59}">
  <dimension ref="A2:M29"/>
  <sheetViews>
    <sheetView topLeftCell="A25" workbookViewId="0">
      <selection activeCell="H21" activeCellId="1" sqref="A21:A27 H21:M27"/>
    </sheetView>
  </sheetViews>
  <sheetFormatPr defaultRowHeight="15" x14ac:dyDescent="0.25"/>
  <cols>
    <col min="1" max="1" width="26.42578125" bestFit="1" customWidth="1"/>
    <col min="2" max="2" width="17" bestFit="1" customWidth="1"/>
    <col min="3" max="3" width="9.5703125" bestFit="1" customWidth="1"/>
    <col min="4" max="4" width="12" bestFit="1" customWidth="1"/>
    <col min="5" max="5" width="6.7109375" bestFit="1" customWidth="1"/>
    <col min="6" max="6" width="24" bestFit="1" customWidth="1"/>
    <col min="7" max="7" width="22.85546875" bestFit="1" customWidth="1"/>
    <col min="8" max="8" width="32.140625" bestFit="1" customWidth="1"/>
    <col min="9" max="9" width="12.5703125" bestFit="1" customWidth="1"/>
    <col min="10" max="10" width="26.42578125" bestFit="1" customWidth="1"/>
    <col min="11" max="13" width="5.5703125" bestFit="1" customWidth="1"/>
  </cols>
  <sheetData>
    <row r="2" spans="1:7" x14ac:dyDescent="0.25">
      <c r="A2" t="s">
        <v>36</v>
      </c>
    </row>
    <row r="4" spans="1:7" ht="47.25" x14ac:dyDescent="0.25">
      <c r="A4" s="2" t="s">
        <v>32</v>
      </c>
      <c r="B4" s="2" t="s">
        <v>33</v>
      </c>
      <c r="C4" s="2" t="s">
        <v>34</v>
      </c>
      <c r="D4" s="2" t="s">
        <v>35</v>
      </c>
      <c r="E4" s="2" t="s">
        <v>50</v>
      </c>
      <c r="F4" s="2" t="s">
        <v>51</v>
      </c>
      <c r="G4" s="2" t="s">
        <v>52</v>
      </c>
    </row>
    <row r="5" spans="1:7" ht="15.75" x14ac:dyDescent="0.25">
      <c r="A5" s="2">
        <v>2000</v>
      </c>
      <c r="B5" s="2">
        <v>3830</v>
      </c>
      <c r="C5" s="2">
        <v>1094</v>
      </c>
      <c r="D5" s="2">
        <v>3.5</v>
      </c>
      <c r="E5" s="9"/>
      <c r="F5" s="9"/>
      <c r="G5" s="9"/>
    </row>
    <row r="6" spans="1:7" ht="15.75" x14ac:dyDescent="0.25">
      <c r="A6" s="2">
        <v>2001</v>
      </c>
      <c r="B6" s="2">
        <v>3910</v>
      </c>
      <c r="C6" s="2">
        <v>1087</v>
      </c>
      <c r="D6" s="2">
        <v>3.6</v>
      </c>
      <c r="E6" s="25">
        <f>B6/B5</f>
        <v>1.0208877284595301</v>
      </c>
      <c r="F6" s="25">
        <f t="shared" ref="F6:G9" si="0">C6/C5</f>
        <v>0.99360146252285197</v>
      </c>
      <c r="G6" s="25">
        <f t="shared" si="0"/>
        <v>1.0285714285714287</v>
      </c>
    </row>
    <row r="7" spans="1:7" ht="15.75" x14ac:dyDescent="0.25">
      <c r="A7" s="2">
        <v>2002</v>
      </c>
      <c r="B7" s="2">
        <v>4030</v>
      </c>
      <c r="C7" s="2">
        <v>1075</v>
      </c>
      <c r="D7" s="2">
        <v>3.75</v>
      </c>
      <c r="E7" s="25">
        <f t="shared" ref="E7:E9" si="1">B7/B6</f>
        <v>1.0306905370843991</v>
      </c>
      <c r="F7" s="25">
        <f t="shared" si="0"/>
        <v>0.98896044158233676</v>
      </c>
      <c r="G7" s="25">
        <f t="shared" si="0"/>
        <v>1.0416666666666667</v>
      </c>
    </row>
    <row r="8" spans="1:7" ht="15.75" x14ac:dyDescent="0.25">
      <c r="A8" s="2">
        <v>2003</v>
      </c>
      <c r="B8" s="2">
        <v>4150</v>
      </c>
      <c r="C8" s="2">
        <v>1064</v>
      </c>
      <c r="D8" s="2">
        <v>3.9</v>
      </c>
      <c r="E8" s="25">
        <f t="shared" si="1"/>
        <v>1.0297766749379653</v>
      </c>
      <c r="F8" s="25">
        <f t="shared" si="0"/>
        <v>0.98976744186046517</v>
      </c>
      <c r="G8" s="25">
        <f t="shared" si="0"/>
        <v>1.04</v>
      </c>
    </row>
    <row r="9" spans="1:7" ht="15.75" x14ac:dyDescent="0.25">
      <c r="A9" s="2">
        <v>2004</v>
      </c>
      <c r="B9" s="2">
        <v>4000</v>
      </c>
      <c r="C9" s="2">
        <v>1000</v>
      </c>
      <c r="D9" s="2">
        <v>4</v>
      </c>
      <c r="E9" s="25">
        <f t="shared" si="1"/>
        <v>0.96385542168674698</v>
      </c>
      <c r="F9" s="25">
        <f t="shared" si="0"/>
        <v>0.93984962406015038</v>
      </c>
      <c r="G9" s="25">
        <f t="shared" si="0"/>
        <v>1.0256410256410258</v>
      </c>
    </row>
    <row r="10" spans="1:7" ht="15.75" x14ac:dyDescent="0.25">
      <c r="A10" s="8" t="s">
        <v>49</v>
      </c>
      <c r="B10" s="24">
        <f>AVERAGE(B5:B9)</f>
        <v>3984</v>
      </c>
      <c r="C10" s="24">
        <f>AVERAGE(C5:C9)</f>
        <v>1064</v>
      </c>
      <c r="D10" s="23">
        <f>AVERAGE(D5:D9)</f>
        <v>3.75</v>
      </c>
      <c r="E10" s="26"/>
      <c r="F10" s="26"/>
      <c r="G10" s="26"/>
    </row>
    <row r="11" spans="1:7" ht="31.5" x14ac:dyDescent="0.25">
      <c r="A11" s="8" t="s">
        <v>55</v>
      </c>
      <c r="B11" s="23">
        <f>(B9-B5)/5</f>
        <v>34</v>
      </c>
      <c r="C11" s="23">
        <f t="shared" ref="C11:D11" si="2">(C9-C5)/5</f>
        <v>-18.8</v>
      </c>
      <c r="D11" s="23">
        <f t="shared" si="2"/>
        <v>0.1</v>
      </c>
      <c r="E11" s="25"/>
      <c r="F11" s="25"/>
      <c r="G11" s="25"/>
    </row>
    <row r="12" spans="1:7" ht="15.75" x14ac:dyDescent="0.25">
      <c r="A12" s="8" t="s">
        <v>54</v>
      </c>
      <c r="B12" s="23"/>
      <c r="C12" s="23"/>
      <c r="D12" s="23"/>
      <c r="E12" s="25">
        <f>POWER((E6*E7*E8*E9),1/4)</f>
        <v>1.0109165448320609</v>
      </c>
      <c r="F12" s="25">
        <f t="shared" ref="F12:G12" si="3">POWER((F6*F7*F8*F9),1/4)</f>
        <v>0.97779017593400086</v>
      </c>
      <c r="G12" s="25">
        <f t="shared" si="3"/>
        <v>1.0339463079143412</v>
      </c>
    </row>
    <row r="13" spans="1:7" ht="15.75" x14ac:dyDescent="0.25">
      <c r="A13" s="8" t="s">
        <v>54</v>
      </c>
      <c r="B13" s="23"/>
      <c r="C13" s="23"/>
      <c r="D13" s="23"/>
      <c r="E13" s="25">
        <f>POWER(B9/B5,1/4)</f>
        <v>1.0109165448320607</v>
      </c>
      <c r="F13" s="25">
        <f t="shared" ref="F13:G13" si="4">POWER(C9/C5,1/4)</f>
        <v>0.97779017593400086</v>
      </c>
      <c r="G13" s="25">
        <f t="shared" si="4"/>
        <v>1.0339463079143412</v>
      </c>
    </row>
    <row r="14" spans="1:7" ht="15.75" customHeight="1" x14ac:dyDescent="0.25">
      <c r="A14" s="8" t="s">
        <v>53</v>
      </c>
      <c r="B14" s="23"/>
      <c r="C14" s="23"/>
      <c r="D14" s="23"/>
      <c r="E14" s="25">
        <f>E13-1</f>
        <v>1.0916544832060726E-2</v>
      </c>
      <c r="F14" s="25">
        <f t="shared" ref="F14:G14" si="5">F13-1</f>
        <v>-2.220982406599914E-2</v>
      </c>
      <c r="G14" s="25">
        <f t="shared" si="5"/>
        <v>3.3946307914341167E-2</v>
      </c>
    </row>
    <row r="15" spans="1:7" ht="15.75" x14ac:dyDescent="0.25">
      <c r="A15" s="21"/>
    </row>
    <row r="16" spans="1:7" ht="15.75" x14ac:dyDescent="0.25">
      <c r="A16" s="21"/>
    </row>
    <row r="17" spans="1:13" ht="15.75" x14ac:dyDescent="0.25">
      <c r="A17" s="21"/>
    </row>
    <row r="18" spans="1:13" ht="15.75" x14ac:dyDescent="0.25">
      <c r="A18" s="21"/>
    </row>
    <row r="20" spans="1:13" ht="15.75" x14ac:dyDescent="0.25">
      <c r="B20" s="8">
        <v>2000</v>
      </c>
      <c r="C20" s="8">
        <v>2001</v>
      </c>
      <c r="D20" s="8">
        <v>2002</v>
      </c>
      <c r="E20" s="8">
        <v>2003</v>
      </c>
      <c r="G20" s="8">
        <v>2004</v>
      </c>
    </row>
    <row r="21" spans="1:13" ht="30.75" customHeight="1" x14ac:dyDescent="0.25">
      <c r="A21" s="2" t="s">
        <v>22</v>
      </c>
      <c r="B21" s="2" t="s">
        <v>37</v>
      </c>
      <c r="C21" s="2"/>
      <c r="D21" s="2"/>
      <c r="E21" s="2"/>
      <c r="F21" s="2" t="s">
        <v>38</v>
      </c>
      <c r="G21" s="2" t="s">
        <v>39</v>
      </c>
      <c r="H21" s="8" t="s">
        <v>55</v>
      </c>
      <c r="I21" s="8" t="s">
        <v>54</v>
      </c>
      <c r="J21" s="28" t="s">
        <v>53</v>
      </c>
      <c r="K21" s="28">
        <v>2001</v>
      </c>
      <c r="L21" s="28">
        <v>2002</v>
      </c>
      <c r="M21" s="28">
        <v>2003</v>
      </c>
    </row>
    <row r="22" spans="1:13" ht="15.75" x14ac:dyDescent="0.25">
      <c r="A22" s="2"/>
      <c r="B22" s="2" t="s">
        <v>40</v>
      </c>
      <c r="C22" s="2" t="s">
        <v>41</v>
      </c>
      <c r="D22" s="2" t="s">
        <v>42</v>
      </c>
      <c r="E22" s="2" t="s">
        <v>43</v>
      </c>
      <c r="F22" s="2"/>
      <c r="G22" s="2"/>
      <c r="H22" s="8"/>
      <c r="I22" s="8"/>
      <c r="J22" s="30"/>
      <c r="K22" s="29"/>
      <c r="L22" s="29"/>
      <c r="M22" s="29"/>
    </row>
    <row r="23" spans="1:13" ht="15.75" x14ac:dyDescent="0.25">
      <c r="A23" s="1" t="s">
        <v>44</v>
      </c>
      <c r="B23" s="2">
        <v>280</v>
      </c>
      <c r="C23" s="2">
        <v>300</v>
      </c>
      <c r="D23" s="2">
        <v>300</v>
      </c>
      <c r="E23" s="2">
        <v>320</v>
      </c>
      <c r="F23" s="2">
        <f>AVERAGE(B23:E23)</f>
        <v>300</v>
      </c>
      <c r="G23" s="27">
        <v>300</v>
      </c>
      <c r="H23" s="8">
        <f>(E23-B23)/4</f>
        <v>10</v>
      </c>
      <c r="I23" s="23">
        <f>POWER(E23/B23,1/3)</f>
        <v>1.0455159171494204</v>
      </c>
      <c r="J23" s="17">
        <f>I23-1</f>
        <v>4.5515917149420382E-2</v>
      </c>
      <c r="K23" s="17">
        <f>C23/B23</f>
        <v>1.0714285714285714</v>
      </c>
      <c r="L23" s="17">
        <f t="shared" ref="L23:M27" si="6">D23/C23</f>
        <v>1</v>
      </c>
      <c r="M23" s="17">
        <f t="shared" si="6"/>
        <v>1.0666666666666667</v>
      </c>
    </row>
    <row r="24" spans="1:13" ht="15.75" x14ac:dyDescent="0.25">
      <c r="A24" s="1" t="s">
        <v>45</v>
      </c>
      <c r="B24" s="2">
        <v>200</v>
      </c>
      <c r="C24" s="2">
        <v>205</v>
      </c>
      <c r="D24" s="2">
        <v>218</v>
      </c>
      <c r="E24" s="2">
        <v>221</v>
      </c>
      <c r="F24" s="2">
        <f t="shared" ref="F24:F27" si="7">AVERAGE(B24:E24)</f>
        <v>211</v>
      </c>
      <c r="G24" s="27">
        <v>250</v>
      </c>
      <c r="H24" s="8">
        <f t="shared" ref="H24:H27" si="8">(E24-B24)/4</f>
        <v>5.25</v>
      </c>
      <c r="I24" s="23">
        <f t="shared" ref="I24:I27" si="9">POWER(E24/B24,1/3)</f>
        <v>1.0338418124145412</v>
      </c>
      <c r="J24" s="17">
        <f t="shared" ref="J24:J27" si="10">I24-1</f>
        <v>3.3841812414541206E-2</v>
      </c>
      <c r="K24" s="17">
        <f t="shared" ref="K24:K27" si="11">C24/B24</f>
        <v>1.0249999999999999</v>
      </c>
      <c r="L24" s="17">
        <f t="shared" si="6"/>
        <v>1.0634146341463415</v>
      </c>
      <c r="M24" s="17">
        <f t="shared" si="6"/>
        <v>1.0137614678899083</v>
      </c>
    </row>
    <row r="25" spans="1:13" ht="15.75" x14ac:dyDescent="0.25">
      <c r="A25" s="1" t="s">
        <v>46</v>
      </c>
      <c r="B25" s="2">
        <v>1330</v>
      </c>
      <c r="C25" s="2">
        <v>1910</v>
      </c>
      <c r="D25" s="2">
        <v>2030</v>
      </c>
      <c r="E25" s="2">
        <v>2100</v>
      </c>
      <c r="F25" s="2">
        <f t="shared" si="7"/>
        <v>1842.5</v>
      </c>
      <c r="G25" s="27">
        <v>1950</v>
      </c>
      <c r="H25" s="8">
        <f>(E25-B25)/4</f>
        <v>192.5</v>
      </c>
      <c r="I25" s="23">
        <f t="shared" si="9"/>
        <v>1.1644545743112158</v>
      </c>
      <c r="J25" s="17">
        <f t="shared" si="10"/>
        <v>0.1644545743112158</v>
      </c>
      <c r="K25" s="17">
        <f t="shared" si="11"/>
        <v>1.4360902255639099</v>
      </c>
      <c r="L25" s="17">
        <f t="shared" si="6"/>
        <v>1.0628272251308901</v>
      </c>
      <c r="M25" s="17">
        <f t="shared" si="6"/>
        <v>1.0344827586206897</v>
      </c>
    </row>
    <row r="26" spans="1:13" ht="15.75" x14ac:dyDescent="0.25">
      <c r="A26" s="1" t="s">
        <v>47</v>
      </c>
      <c r="B26" s="2">
        <v>2020</v>
      </c>
      <c r="C26" s="2">
        <v>1495</v>
      </c>
      <c r="D26" s="2">
        <v>1482</v>
      </c>
      <c r="E26" s="2">
        <v>1509</v>
      </c>
      <c r="F26" s="2">
        <f t="shared" si="7"/>
        <v>1626.5</v>
      </c>
      <c r="G26" s="27">
        <v>1500</v>
      </c>
      <c r="H26" s="8">
        <f t="shared" si="8"/>
        <v>-127.75</v>
      </c>
      <c r="I26" s="23">
        <f t="shared" si="9"/>
        <v>0.90735928999768822</v>
      </c>
      <c r="J26" s="17">
        <f t="shared" si="10"/>
        <v>-9.2640710002311777E-2</v>
      </c>
      <c r="K26" s="17">
        <f t="shared" si="11"/>
        <v>0.74009900990099009</v>
      </c>
      <c r="L26" s="17">
        <f t="shared" si="6"/>
        <v>0.99130434782608701</v>
      </c>
      <c r="M26" s="17">
        <f t="shared" si="6"/>
        <v>1.0182186234817814</v>
      </c>
    </row>
    <row r="27" spans="1:13" ht="15.75" x14ac:dyDescent="0.25">
      <c r="A27" s="1" t="s">
        <v>48</v>
      </c>
      <c r="B27" s="2">
        <v>3830</v>
      </c>
      <c r="C27" s="2">
        <v>3910</v>
      </c>
      <c r="D27" s="2">
        <v>4030</v>
      </c>
      <c r="E27" s="2">
        <v>4150</v>
      </c>
      <c r="F27" s="2">
        <f t="shared" si="7"/>
        <v>3980</v>
      </c>
      <c r="G27" s="27">
        <v>4000</v>
      </c>
      <c r="H27" s="8">
        <f t="shared" si="8"/>
        <v>80</v>
      </c>
      <c r="I27" s="23">
        <f t="shared" si="9"/>
        <v>1.0271087781412203</v>
      </c>
      <c r="J27" s="17">
        <f t="shared" si="10"/>
        <v>2.7108778141220258E-2</v>
      </c>
      <c r="K27" s="17">
        <f t="shared" si="11"/>
        <v>1.0208877284595301</v>
      </c>
      <c r="L27" s="17">
        <f t="shared" si="6"/>
        <v>1.0306905370843991</v>
      </c>
      <c r="M27" s="17">
        <f t="shared" si="6"/>
        <v>1.0297766749379653</v>
      </c>
    </row>
    <row r="28" spans="1:13" ht="15" customHeight="1" x14ac:dyDescent="0.25"/>
    <row r="29" spans="1:13" ht="1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4912E-CB2B-430A-8C87-E3ED81EF8C3C}">
  <dimension ref="A2:G21"/>
  <sheetViews>
    <sheetView workbookViewId="0">
      <selection activeCell="P21" sqref="P21"/>
    </sheetView>
  </sheetViews>
  <sheetFormatPr defaultRowHeight="15" x14ac:dyDescent="0.25"/>
  <cols>
    <col min="1" max="1" width="16.5703125" customWidth="1"/>
    <col min="2" max="2" width="14.28515625" customWidth="1"/>
    <col min="3" max="3" width="17.42578125" customWidth="1"/>
    <col min="4" max="4" width="37.28515625" customWidth="1"/>
  </cols>
  <sheetData>
    <row r="2" spans="1:7" x14ac:dyDescent="0.25">
      <c r="A2" t="s">
        <v>31</v>
      </c>
    </row>
    <row r="4" spans="1:7" ht="63" x14ac:dyDescent="0.25">
      <c r="A4" s="2" t="s">
        <v>32</v>
      </c>
      <c r="B4" s="2" t="s">
        <v>33</v>
      </c>
      <c r="C4" s="2" t="s">
        <v>34</v>
      </c>
      <c r="D4" s="2" t="s">
        <v>35</v>
      </c>
    </row>
    <row r="5" spans="1:7" ht="15.75" x14ac:dyDescent="0.25">
      <c r="A5" s="2">
        <v>2000</v>
      </c>
      <c r="B5" s="2">
        <v>3830</v>
      </c>
      <c r="C5" s="2">
        <v>1094</v>
      </c>
      <c r="D5" s="2">
        <v>3.5</v>
      </c>
      <c r="E5" s="5"/>
      <c r="F5" s="5"/>
      <c r="G5" s="5"/>
    </row>
    <row r="6" spans="1:7" ht="15.75" x14ac:dyDescent="0.25">
      <c r="A6" s="2">
        <v>2001</v>
      </c>
      <c r="B6" s="2">
        <v>3910</v>
      </c>
      <c r="C6" s="2">
        <v>1087</v>
      </c>
      <c r="D6" s="2">
        <v>3.6</v>
      </c>
      <c r="E6" s="17">
        <f>B6/B5-1</f>
        <v>2.088772845953013E-2</v>
      </c>
      <c r="F6" s="17">
        <f t="shared" ref="F6:G9" si="0">C6/C5-1</f>
        <v>-6.3985374771480252E-3</v>
      </c>
      <c r="G6" s="17">
        <f t="shared" si="0"/>
        <v>2.8571428571428692E-2</v>
      </c>
    </row>
    <row r="7" spans="1:7" ht="15.75" x14ac:dyDescent="0.25">
      <c r="A7" s="2">
        <v>2002</v>
      </c>
      <c r="B7" s="2">
        <v>4030</v>
      </c>
      <c r="C7" s="2">
        <v>1075</v>
      </c>
      <c r="D7" s="2">
        <v>3.75</v>
      </c>
      <c r="E7" s="17">
        <f t="shared" ref="E7:E9" si="1">B7/B6-1</f>
        <v>3.0690537084399061E-2</v>
      </c>
      <c r="F7" s="17">
        <f t="shared" si="0"/>
        <v>-1.1039558417663242E-2</v>
      </c>
      <c r="G7" s="17">
        <f t="shared" si="0"/>
        <v>4.1666666666666741E-2</v>
      </c>
    </row>
    <row r="8" spans="1:7" ht="15.75" x14ac:dyDescent="0.25">
      <c r="A8" s="2">
        <v>2003</v>
      </c>
      <c r="B8" s="2">
        <v>4150</v>
      </c>
      <c r="C8" s="2">
        <v>1064</v>
      </c>
      <c r="D8" s="2">
        <v>3.9</v>
      </c>
      <c r="E8" s="17">
        <f t="shared" si="1"/>
        <v>2.977667493796532E-2</v>
      </c>
      <c r="F8" s="17">
        <f t="shared" si="0"/>
        <v>-1.0232558139534831E-2</v>
      </c>
      <c r="G8" s="17">
        <f t="shared" si="0"/>
        <v>4.0000000000000036E-2</v>
      </c>
    </row>
    <row r="9" spans="1:7" ht="16.5" thickBot="1" x14ac:dyDescent="0.3">
      <c r="A9" s="2">
        <v>2004</v>
      </c>
      <c r="B9" s="2">
        <v>4000</v>
      </c>
      <c r="C9" s="2">
        <v>1000</v>
      </c>
      <c r="D9" s="2">
        <v>4</v>
      </c>
      <c r="E9" s="17">
        <f t="shared" si="1"/>
        <v>-3.6144578313253017E-2</v>
      </c>
      <c r="F9" s="17">
        <f t="shared" si="0"/>
        <v>-6.0150375939849621E-2</v>
      </c>
      <c r="G9" s="17">
        <f t="shared" si="0"/>
        <v>2.5641025641025772E-2</v>
      </c>
    </row>
    <row r="10" spans="1:7" ht="15.75" thickBot="1" x14ac:dyDescent="0.3">
      <c r="E10" s="18">
        <f>B9/B5-1</f>
        <v>4.4386422976501416E-2</v>
      </c>
      <c r="F10" s="19">
        <f t="shared" ref="F10:G10" si="2">C9/C5-1</f>
        <v>-8.5923217550274211E-2</v>
      </c>
      <c r="G10" s="20">
        <f t="shared" si="2"/>
        <v>0.14285714285714279</v>
      </c>
    </row>
    <row r="21" s="7" customFormat="1" ht="15.7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6376-2E54-4D79-9875-26C6C24BD510}">
  <dimension ref="A2:J12"/>
  <sheetViews>
    <sheetView workbookViewId="0">
      <selection activeCell="E19" sqref="E19"/>
    </sheetView>
  </sheetViews>
  <sheetFormatPr defaultRowHeight="15" x14ac:dyDescent="0.25"/>
  <cols>
    <col min="1" max="1" width="11.7109375" customWidth="1"/>
    <col min="4" max="4" width="13.140625" customWidth="1"/>
    <col min="5" max="5" width="15.85546875" bestFit="1" customWidth="1"/>
    <col min="6" max="6" width="14" bestFit="1" customWidth="1"/>
    <col min="8" max="8" width="12" customWidth="1"/>
    <col min="9" max="9" width="11.7109375" customWidth="1"/>
    <col min="10" max="10" width="13.85546875" customWidth="1"/>
  </cols>
  <sheetData>
    <row r="2" spans="1:10" x14ac:dyDescent="0.25">
      <c r="A2" t="s">
        <v>15</v>
      </c>
    </row>
    <row r="5" spans="1:10" ht="0.75" customHeight="1" x14ac:dyDescent="0.25"/>
    <row r="6" spans="1:10" ht="31.5" x14ac:dyDescent="0.25">
      <c r="A6" s="65" t="s">
        <v>22</v>
      </c>
      <c r="B6" s="65" t="s">
        <v>23</v>
      </c>
      <c r="C6" s="65"/>
      <c r="D6" s="65" t="s">
        <v>24</v>
      </c>
      <c r="E6" s="65" t="s">
        <v>25</v>
      </c>
      <c r="F6" s="65"/>
      <c r="H6" s="2" t="s">
        <v>11</v>
      </c>
      <c r="I6" s="2" t="s">
        <v>12</v>
      </c>
      <c r="J6" s="2" t="s">
        <v>13</v>
      </c>
    </row>
    <row r="7" spans="1:10" ht="33" customHeight="1" x14ac:dyDescent="0.25">
      <c r="A7" s="65"/>
      <c r="B7" s="2" t="s">
        <v>26</v>
      </c>
      <c r="C7" s="2" t="s">
        <v>27</v>
      </c>
      <c r="D7" s="65"/>
      <c r="E7" s="2" t="s">
        <v>28</v>
      </c>
      <c r="F7" s="2" t="s">
        <v>29</v>
      </c>
      <c r="H7" s="2"/>
      <c r="I7" s="6"/>
      <c r="J7" s="6"/>
    </row>
    <row r="8" spans="1:10" ht="15.75" x14ac:dyDescent="0.25">
      <c r="A8" s="1" t="s">
        <v>20</v>
      </c>
      <c r="B8" s="2">
        <v>25</v>
      </c>
      <c r="C8" s="2">
        <v>22</v>
      </c>
      <c r="D8" s="2">
        <v>12000</v>
      </c>
      <c r="E8" s="2">
        <f>D8*B8/1000</f>
        <v>300</v>
      </c>
      <c r="F8" s="2">
        <f>D8*C8/1000</f>
        <v>264</v>
      </c>
      <c r="H8" s="2">
        <f>E8-F8</f>
        <v>36</v>
      </c>
      <c r="I8" s="6">
        <f>F8/E8</f>
        <v>0.88</v>
      </c>
      <c r="J8" s="6">
        <f>(E8-F8)/E8</f>
        <v>0.12</v>
      </c>
    </row>
    <row r="9" spans="1:10" ht="15.75" x14ac:dyDescent="0.25">
      <c r="A9" s="1" t="s">
        <v>21</v>
      </c>
      <c r="B9" s="2">
        <v>33</v>
      </c>
      <c r="C9" s="2">
        <v>30</v>
      </c>
      <c r="D9" s="2">
        <v>6000</v>
      </c>
      <c r="E9" s="2">
        <f>D9*B9/1000</f>
        <v>198</v>
      </c>
      <c r="F9" s="2">
        <f>D9*C9/1000</f>
        <v>180</v>
      </c>
      <c r="H9" s="2">
        <f t="shared" ref="H9:H10" si="0">E9-F9</f>
        <v>18</v>
      </c>
      <c r="I9" s="6">
        <f t="shared" ref="I9:I10" si="1">F9/E9</f>
        <v>0.90909090909090906</v>
      </c>
      <c r="J9" s="6">
        <f t="shared" ref="J9:J10" si="2">(E9-F9)/E9</f>
        <v>9.0909090909090912E-2</v>
      </c>
    </row>
    <row r="10" spans="1:10" ht="15.75" x14ac:dyDescent="0.25">
      <c r="A10" s="1" t="s">
        <v>30</v>
      </c>
      <c r="B10" s="2"/>
      <c r="C10" s="2"/>
      <c r="D10" s="2"/>
      <c r="E10" s="2">
        <f>SUM(E8:E9)</f>
        <v>498</v>
      </c>
      <c r="F10" s="2">
        <f>SUM(F8:F9)</f>
        <v>444</v>
      </c>
      <c r="H10" s="2">
        <f t="shared" si="0"/>
        <v>54</v>
      </c>
      <c r="I10" s="6">
        <f t="shared" si="1"/>
        <v>0.89156626506024095</v>
      </c>
      <c r="J10" s="6">
        <f t="shared" si="2"/>
        <v>0.10843373493975904</v>
      </c>
    </row>
    <row r="12" spans="1:10" s="7" customFormat="1" ht="15.75" customHeight="1" x14ac:dyDescent="0.25"/>
  </sheetData>
  <mergeCells count="4">
    <mergeCell ref="A6:A7"/>
    <mergeCell ref="B6:C6"/>
    <mergeCell ref="D6:D7"/>
    <mergeCell ref="E6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5C29-6BCA-4D39-BAD4-2F4D135982BD}">
  <dimension ref="A1:D22"/>
  <sheetViews>
    <sheetView workbookViewId="0">
      <selection activeCell="A4" sqref="A4:D22"/>
    </sheetView>
  </sheetViews>
  <sheetFormatPr defaultRowHeight="15" x14ac:dyDescent="0.25"/>
  <cols>
    <col min="1" max="1" width="60.5703125" customWidth="1"/>
    <col min="2" max="2" width="7.140625" bestFit="1" customWidth="1"/>
    <col min="3" max="3" width="8" bestFit="1" customWidth="1"/>
  </cols>
  <sheetData>
    <row r="1" spans="1:3" x14ac:dyDescent="0.25">
      <c r="A1" t="s">
        <v>72</v>
      </c>
    </row>
    <row r="4" spans="1:3" x14ac:dyDescent="0.25">
      <c r="A4" s="66" t="s">
        <v>56</v>
      </c>
      <c r="B4" s="66" t="s">
        <v>57</v>
      </c>
      <c r="C4" s="66" t="s">
        <v>58</v>
      </c>
    </row>
    <row r="5" spans="1:3" x14ac:dyDescent="0.25">
      <c r="A5" s="66"/>
      <c r="B5" s="66"/>
      <c r="C5" s="66"/>
    </row>
    <row r="6" spans="1:3" ht="15.75" x14ac:dyDescent="0.25">
      <c r="A6" s="32" t="s">
        <v>59</v>
      </c>
      <c r="B6" s="38">
        <v>400</v>
      </c>
      <c r="C6" s="38">
        <v>435</v>
      </c>
    </row>
    <row r="7" spans="1:3" ht="15.75" x14ac:dyDescent="0.25">
      <c r="A7" s="33" t="s">
        <v>60</v>
      </c>
      <c r="B7" s="37">
        <f>SUM(B8:B11)</f>
        <v>5100</v>
      </c>
      <c r="C7" s="37">
        <f>SUM(C8:C11)</f>
        <v>6172</v>
      </c>
    </row>
    <row r="8" spans="1:3" ht="15.75" x14ac:dyDescent="0.25">
      <c r="A8" s="34" t="s">
        <v>61</v>
      </c>
      <c r="B8" s="31">
        <v>4460</v>
      </c>
      <c r="C8" s="31">
        <v>5354</v>
      </c>
    </row>
    <row r="9" spans="1:3" ht="15.75" x14ac:dyDescent="0.25">
      <c r="A9" s="34" t="s">
        <v>62</v>
      </c>
      <c r="B9" s="31"/>
      <c r="C9" s="31">
        <v>43</v>
      </c>
    </row>
    <row r="10" spans="1:3" ht="15.75" x14ac:dyDescent="0.25">
      <c r="A10" s="34" t="s">
        <v>63</v>
      </c>
      <c r="B10" s="31">
        <v>640</v>
      </c>
      <c r="C10" s="31">
        <v>760</v>
      </c>
    </row>
    <row r="11" spans="1:3" ht="15.75" x14ac:dyDescent="0.25">
      <c r="A11" s="34" t="s">
        <v>64</v>
      </c>
      <c r="B11" s="31"/>
      <c r="C11" s="31">
        <v>15</v>
      </c>
    </row>
    <row r="12" spans="1:3" ht="15.75" x14ac:dyDescent="0.25">
      <c r="A12" s="33" t="s">
        <v>65</v>
      </c>
      <c r="B12" s="37">
        <f>SUM(B13:B17)</f>
        <v>5050</v>
      </c>
      <c r="C12" s="37">
        <f>SUM(C13:C17)</f>
        <v>5119</v>
      </c>
    </row>
    <row r="13" spans="1:3" ht="15.75" x14ac:dyDescent="0.25">
      <c r="A13" s="35" t="s">
        <v>66</v>
      </c>
      <c r="B13" s="31">
        <v>4480</v>
      </c>
      <c r="C13" s="31">
        <v>4320</v>
      </c>
    </row>
    <row r="14" spans="1:3" ht="15.75" x14ac:dyDescent="0.25">
      <c r="A14" s="35" t="s">
        <v>67</v>
      </c>
      <c r="B14" s="31">
        <v>170</v>
      </c>
      <c r="C14" s="31">
        <v>297</v>
      </c>
    </row>
    <row r="15" spans="1:3" ht="15.75" x14ac:dyDescent="0.25">
      <c r="A15" s="35" t="s">
        <v>68</v>
      </c>
      <c r="B15" s="31">
        <v>400</v>
      </c>
      <c r="C15" s="31">
        <v>360</v>
      </c>
    </row>
    <row r="16" spans="1:3" ht="15.75" x14ac:dyDescent="0.25">
      <c r="A16" s="35" t="s">
        <v>69</v>
      </c>
      <c r="B16" s="31"/>
      <c r="C16" s="31">
        <v>12</v>
      </c>
    </row>
    <row r="17" spans="1:4" ht="15.75" x14ac:dyDescent="0.25">
      <c r="A17" s="35" t="s">
        <v>70</v>
      </c>
      <c r="B17" s="31"/>
      <c r="C17" s="31">
        <v>130</v>
      </c>
    </row>
    <row r="18" spans="1:4" ht="15.75" x14ac:dyDescent="0.25">
      <c r="A18" s="36" t="s">
        <v>71</v>
      </c>
      <c r="B18" s="38">
        <v>450</v>
      </c>
      <c r="C18" s="38">
        <v>470</v>
      </c>
      <c r="D18" s="38">
        <f>C18+D20</f>
        <v>1488</v>
      </c>
    </row>
    <row r="19" spans="1:4" x14ac:dyDescent="0.25">
      <c r="A19" s="22"/>
      <c r="B19" s="22"/>
      <c r="C19" s="22"/>
    </row>
    <row r="20" spans="1:4" ht="15.75" x14ac:dyDescent="0.25">
      <c r="A20" s="37" t="s">
        <v>73</v>
      </c>
      <c r="B20" s="38">
        <f>B6+B7</f>
        <v>5500</v>
      </c>
      <c r="C20" s="38">
        <f>C6+C7</f>
        <v>6607</v>
      </c>
      <c r="D20" s="38">
        <f>C20-C21</f>
        <v>1018</v>
      </c>
    </row>
    <row r="21" spans="1:4" ht="15.75" x14ac:dyDescent="0.25">
      <c r="A21" s="37" t="s">
        <v>74</v>
      </c>
      <c r="B21" s="38">
        <f>B12+B18</f>
        <v>5500</v>
      </c>
      <c r="C21" s="38">
        <f>C12+C18</f>
        <v>5589</v>
      </c>
    </row>
    <row r="22" spans="1:4" ht="15.75" x14ac:dyDescent="0.25">
      <c r="A22" s="9" t="s">
        <v>75</v>
      </c>
      <c r="B22" s="38" t="b">
        <f>B20=B21</f>
        <v>1</v>
      </c>
      <c r="C22" s="38" t="b">
        <f>C20=C21</f>
        <v>0</v>
      </c>
    </row>
  </sheetData>
  <mergeCells count="3">
    <mergeCell ref="A4:A5"/>
    <mergeCell ref="B4:B5"/>
    <mergeCell ref="C4:C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6279-13F9-4AB1-B257-D8A6B651261F}">
  <dimension ref="A2:D6"/>
  <sheetViews>
    <sheetView workbookViewId="0">
      <selection activeCell="C3" sqref="C3:D6"/>
    </sheetView>
  </sheetViews>
  <sheetFormatPr defaultRowHeight="15" x14ac:dyDescent="0.25"/>
  <cols>
    <col min="1" max="1" width="119" customWidth="1"/>
    <col min="3" max="3" width="41.85546875" customWidth="1"/>
  </cols>
  <sheetData>
    <row r="2" spans="1:4" ht="56.25" x14ac:dyDescent="0.25">
      <c r="A2" s="39" t="s">
        <v>76</v>
      </c>
    </row>
    <row r="3" spans="1:4" ht="18.75" x14ac:dyDescent="0.25">
      <c r="C3" s="40" t="s">
        <v>77</v>
      </c>
      <c r="D3" s="42">
        <f>D4+D6-D5</f>
        <v>2.2000000000000028</v>
      </c>
    </row>
    <row r="4" spans="1:4" ht="18.75" x14ac:dyDescent="0.25">
      <c r="C4" s="40" t="s">
        <v>78</v>
      </c>
      <c r="D4" s="41">
        <v>96</v>
      </c>
    </row>
    <row r="5" spans="1:4" ht="18.75" x14ac:dyDescent="0.25">
      <c r="C5" s="40" t="s">
        <v>79</v>
      </c>
      <c r="D5" s="41">
        <v>95.8</v>
      </c>
    </row>
    <row r="6" spans="1:4" ht="18.75" x14ac:dyDescent="0.25">
      <c r="C6" s="40" t="s">
        <v>80</v>
      </c>
      <c r="D6" s="4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2FF7-0F38-46A2-9003-60BBE2BD1161}">
  <dimension ref="A1:O22"/>
  <sheetViews>
    <sheetView workbookViewId="0">
      <selection activeCell="C18" sqref="C18:E22"/>
    </sheetView>
  </sheetViews>
  <sheetFormatPr defaultRowHeight="15" x14ac:dyDescent="0.25"/>
  <cols>
    <col min="1" max="1" width="26" bestFit="1" customWidth="1"/>
    <col min="2" max="2" width="7.5703125" customWidth="1"/>
    <col min="3" max="3" width="20.7109375" customWidth="1"/>
    <col min="4" max="4" width="17.5703125" customWidth="1"/>
    <col min="5" max="5" width="20.28515625" customWidth="1"/>
    <col min="6" max="6" width="19.7109375" customWidth="1"/>
    <col min="8" max="8" width="17.7109375" customWidth="1"/>
    <col min="11" max="12" width="15.28515625" customWidth="1"/>
    <col min="13" max="14" width="15.7109375" customWidth="1"/>
    <col min="15" max="15" width="15.28515625" customWidth="1"/>
  </cols>
  <sheetData>
    <row r="1" spans="1:15" x14ac:dyDescent="0.25">
      <c r="A1" s="43" t="s">
        <v>85</v>
      </c>
      <c r="B1" s="43"/>
    </row>
    <row r="4" spans="1:15" ht="47.25" x14ac:dyDescent="0.25">
      <c r="C4" s="2" t="s">
        <v>81</v>
      </c>
      <c r="D4" s="2" t="s">
        <v>82</v>
      </c>
      <c r="E4" s="2" t="s">
        <v>83</v>
      </c>
      <c r="F4" s="2" t="s">
        <v>84</v>
      </c>
      <c r="H4" s="8" t="s">
        <v>92</v>
      </c>
      <c r="K4" s="2" t="s">
        <v>93</v>
      </c>
      <c r="L4" s="2" t="s">
        <v>81</v>
      </c>
      <c r="M4" s="2" t="s">
        <v>82</v>
      </c>
      <c r="N4" s="2" t="s">
        <v>83</v>
      </c>
      <c r="O4" s="2" t="s">
        <v>84</v>
      </c>
    </row>
    <row r="5" spans="1:15" ht="15.75" x14ac:dyDescent="0.25">
      <c r="C5" s="2">
        <v>1</v>
      </c>
      <c r="D5" s="2">
        <v>65.400000000000006</v>
      </c>
      <c r="E5" s="2">
        <v>16.2</v>
      </c>
      <c r="F5" s="2">
        <v>55</v>
      </c>
      <c r="H5" s="2" t="str">
        <f t="shared" ref="H5:H14" si="0">IF(E5&lt;$E$19,$C$19,IF(E5&lt;$E$20,$C$20,IF(E5&lt;$E$21,$C$21,$C$22)))</f>
        <v>Група 4</v>
      </c>
      <c r="K5" s="67" t="s">
        <v>88</v>
      </c>
      <c r="L5" s="49">
        <v>8</v>
      </c>
      <c r="M5" s="49">
        <v>43.2</v>
      </c>
      <c r="N5" s="49">
        <v>2.7</v>
      </c>
      <c r="O5" s="49">
        <v>21</v>
      </c>
    </row>
    <row r="6" spans="1:15" ht="15.75" x14ac:dyDescent="0.25">
      <c r="C6" s="2">
        <v>2</v>
      </c>
      <c r="D6" s="2">
        <v>50.6</v>
      </c>
      <c r="E6" s="2">
        <v>8.3000000000000007</v>
      </c>
      <c r="F6" s="2">
        <v>45</v>
      </c>
      <c r="H6" s="2" t="str">
        <f t="shared" si="0"/>
        <v>Група 2</v>
      </c>
      <c r="K6" s="67"/>
      <c r="L6" s="49">
        <v>5</v>
      </c>
      <c r="M6" s="49">
        <v>115.3</v>
      </c>
      <c r="N6" s="49">
        <v>3.2</v>
      </c>
      <c r="O6" s="49">
        <v>55</v>
      </c>
    </row>
    <row r="7" spans="1:15" ht="15.75" x14ac:dyDescent="0.25">
      <c r="C7" s="2">
        <v>3</v>
      </c>
      <c r="D7" s="2">
        <v>127.3</v>
      </c>
      <c r="E7" s="2">
        <v>12.5</v>
      </c>
      <c r="F7" s="2">
        <v>48</v>
      </c>
      <c r="H7" s="2" t="str">
        <f t="shared" si="0"/>
        <v>Група 3</v>
      </c>
      <c r="K7" s="67"/>
      <c r="L7" s="49">
        <v>6</v>
      </c>
      <c r="M7" s="49">
        <v>628.29999999999995</v>
      </c>
      <c r="N7" s="49">
        <v>5.2</v>
      </c>
      <c r="O7" s="49">
        <v>112</v>
      </c>
    </row>
    <row r="8" spans="1:15" ht="15.75" x14ac:dyDescent="0.25">
      <c r="C8" s="2">
        <v>4</v>
      </c>
      <c r="D8" s="2">
        <v>218.2</v>
      </c>
      <c r="E8" s="2">
        <v>20.399999999999999</v>
      </c>
      <c r="F8" s="2">
        <v>60</v>
      </c>
      <c r="H8" s="2" t="str">
        <f t="shared" si="0"/>
        <v>Група 4</v>
      </c>
      <c r="K8" s="68" t="s">
        <v>89</v>
      </c>
      <c r="L8" s="50">
        <v>9</v>
      </c>
      <c r="M8" s="50">
        <v>1284.5</v>
      </c>
      <c r="N8" s="50">
        <v>6.2</v>
      </c>
      <c r="O8" s="50">
        <v>201</v>
      </c>
    </row>
    <row r="9" spans="1:15" ht="15.75" x14ac:dyDescent="0.25">
      <c r="C9" s="2">
        <v>5</v>
      </c>
      <c r="D9" s="2">
        <v>115.3</v>
      </c>
      <c r="E9" s="2">
        <v>3.2</v>
      </c>
      <c r="F9" s="2">
        <v>55</v>
      </c>
      <c r="H9" s="2" t="str">
        <f t="shared" si="0"/>
        <v>Група 1</v>
      </c>
      <c r="K9" s="68"/>
      <c r="L9" s="50">
        <v>2</v>
      </c>
      <c r="M9" s="50">
        <v>50.6</v>
      </c>
      <c r="N9" s="50">
        <v>8.3000000000000007</v>
      </c>
      <c r="O9" s="50">
        <v>45</v>
      </c>
    </row>
    <row r="10" spans="1:15" ht="15.75" x14ac:dyDescent="0.25">
      <c r="C10" s="2">
        <v>6</v>
      </c>
      <c r="D10" s="2">
        <v>628.29999999999995</v>
      </c>
      <c r="E10" s="2">
        <v>5.2</v>
      </c>
      <c r="F10" s="2">
        <v>112</v>
      </c>
      <c r="H10" s="2" t="str">
        <f t="shared" si="0"/>
        <v>Група 1</v>
      </c>
      <c r="K10" s="69" t="s">
        <v>90</v>
      </c>
      <c r="L10" s="51">
        <v>10</v>
      </c>
      <c r="M10" s="51">
        <v>650.1</v>
      </c>
      <c r="N10" s="51">
        <v>10</v>
      </c>
      <c r="O10" s="51">
        <v>73</v>
      </c>
    </row>
    <row r="11" spans="1:15" ht="15.75" x14ac:dyDescent="0.25">
      <c r="C11" s="2">
        <v>7</v>
      </c>
      <c r="D11" s="2">
        <v>535.4</v>
      </c>
      <c r="E11" s="2">
        <v>10.5</v>
      </c>
      <c r="F11" s="2">
        <v>83</v>
      </c>
      <c r="H11" s="2" t="str">
        <f t="shared" si="0"/>
        <v>Група 3</v>
      </c>
      <c r="K11" s="69"/>
      <c r="L11" s="51">
        <v>7</v>
      </c>
      <c r="M11" s="51">
        <v>535.4</v>
      </c>
      <c r="N11" s="51">
        <v>10.5</v>
      </c>
      <c r="O11" s="51">
        <v>83</v>
      </c>
    </row>
    <row r="12" spans="1:15" ht="15.75" x14ac:dyDescent="0.25">
      <c r="C12" s="2">
        <v>8</v>
      </c>
      <c r="D12" s="2">
        <v>43.2</v>
      </c>
      <c r="E12" s="2">
        <v>2.7</v>
      </c>
      <c r="F12" s="2">
        <v>21</v>
      </c>
      <c r="H12" s="2" t="str">
        <f t="shared" si="0"/>
        <v>Група 1</v>
      </c>
      <c r="K12" s="69"/>
      <c r="L12" s="51">
        <v>3</v>
      </c>
      <c r="M12" s="51">
        <v>127.3</v>
      </c>
      <c r="N12" s="51">
        <v>12.5</v>
      </c>
      <c r="O12" s="51">
        <v>48</v>
      </c>
    </row>
    <row r="13" spans="1:15" ht="15.75" x14ac:dyDescent="0.25">
      <c r="C13" s="2">
        <v>9</v>
      </c>
      <c r="D13" s="2">
        <v>1284.5</v>
      </c>
      <c r="E13" s="2">
        <v>6.2</v>
      </c>
      <c r="F13" s="2">
        <v>201</v>
      </c>
      <c r="H13" s="2" t="str">
        <f t="shared" si="0"/>
        <v>Група 2</v>
      </c>
      <c r="K13" s="70" t="s">
        <v>91</v>
      </c>
      <c r="L13" s="52">
        <v>1</v>
      </c>
      <c r="M13" s="52">
        <v>65.400000000000006</v>
      </c>
      <c r="N13" s="52">
        <v>16.2</v>
      </c>
      <c r="O13" s="52">
        <v>55</v>
      </c>
    </row>
    <row r="14" spans="1:15" ht="15.75" x14ac:dyDescent="0.25">
      <c r="C14" s="2">
        <v>10</v>
      </c>
      <c r="D14" s="2">
        <v>650.1</v>
      </c>
      <c r="E14" s="2">
        <v>10</v>
      </c>
      <c r="F14" s="2">
        <v>73</v>
      </c>
      <c r="H14" s="2" t="str">
        <f t="shared" si="0"/>
        <v>Група 3</v>
      </c>
      <c r="K14" s="70"/>
      <c r="L14" s="52">
        <v>4</v>
      </c>
      <c r="M14" s="52">
        <v>218.2</v>
      </c>
      <c r="N14" s="52">
        <v>20.399999999999999</v>
      </c>
      <c r="O14" s="52">
        <v>60</v>
      </c>
    </row>
    <row r="17" spans="1:5" ht="15.75" x14ac:dyDescent="0.25">
      <c r="A17" s="44"/>
    </row>
    <row r="18" spans="1:5" ht="15.75" x14ac:dyDescent="0.25">
      <c r="C18" s="8" t="s">
        <v>87</v>
      </c>
      <c r="D18" s="2">
        <f>(MAX(E5:E14)-MIN(E5:E14))/6</f>
        <v>2.9499999999999997</v>
      </c>
    </row>
    <row r="19" spans="1:5" ht="15.75" x14ac:dyDescent="0.25">
      <c r="C19" s="28" t="s">
        <v>88</v>
      </c>
      <c r="D19" s="45">
        <f>MIN(E5:E14)</f>
        <v>2.7</v>
      </c>
      <c r="E19" s="45">
        <f>D19+$D$18</f>
        <v>5.65</v>
      </c>
    </row>
    <row r="20" spans="1:5" ht="15.75" x14ac:dyDescent="0.25">
      <c r="C20" s="8" t="s">
        <v>89</v>
      </c>
      <c r="D20" s="2">
        <f>E19+0.01</f>
        <v>5.66</v>
      </c>
      <c r="E20" s="2">
        <f t="shared" ref="E20:E22" si="1">D20+$D$18</f>
        <v>8.61</v>
      </c>
    </row>
    <row r="21" spans="1:5" ht="15.75" x14ac:dyDescent="0.25">
      <c r="C21" s="8" t="s">
        <v>90</v>
      </c>
      <c r="D21" s="2">
        <f t="shared" ref="D21:D22" si="2">E20+1</f>
        <v>9.61</v>
      </c>
      <c r="E21" s="2">
        <f t="shared" si="1"/>
        <v>12.559999999999999</v>
      </c>
    </row>
    <row r="22" spans="1:5" ht="15.75" x14ac:dyDescent="0.25">
      <c r="C22" s="8" t="s">
        <v>91</v>
      </c>
      <c r="D22" s="2">
        <f t="shared" si="2"/>
        <v>13.559999999999999</v>
      </c>
      <c r="E22" s="2">
        <f t="shared" si="1"/>
        <v>16.509999999999998</v>
      </c>
    </row>
  </sheetData>
  <mergeCells count="4">
    <mergeCell ref="K5:K7"/>
    <mergeCell ref="K8:K9"/>
    <mergeCell ref="K10:K12"/>
    <mergeCell ref="K13:K1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7A501-6A7A-4CCA-AFAD-8C14F8BE9D42}">
  <dimension ref="A1"/>
  <sheetViews>
    <sheetView workbookViewId="0">
      <selection activeCell="F23" sqref="F23"/>
    </sheetView>
  </sheetViews>
  <sheetFormatPr defaultRowHeight="15" x14ac:dyDescent="0.25"/>
  <cols>
    <col min="1" max="1" width="79.7109375" customWidth="1"/>
    <col min="2" max="2" width="9" bestFit="1" customWidth="1"/>
  </cols>
  <sheetData>
    <row r="1" spans="1:1" ht="131.25" x14ac:dyDescent="0.25">
      <c r="A1" s="39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193D8-268A-425D-960F-8E232A7E741E}">
  <dimension ref="A1:N17"/>
  <sheetViews>
    <sheetView workbookViewId="0">
      <selection activeCell="Q14" sqref="J2:Q14"/>
    </sheetView>
  </sheetViews>
  <sheetFormatPr defaultRowHeight="15" x14ac:dyDescent="0.25"/>
  <cols>
    <col min="2" max="2" width="12.140625" customWidth="1"/>
    <col min="5" max="6" width="13.28515625" customWidth="1"/>
    <col min="8" max="8" width="13" customWidth="1"/>
    <col min="9" max="9" width="12.85546875" customWidth="1"/>
    <col min="14" max="14" width="21.42578125" customWidth="1"/>
  </cols>
  <sheetData>
    <row r="1" spans="1:14" x14ac:dyDescent="0.25">
      <c r="A1" t="s">
        <v>94</v>
      </c>
    </row>
    <row r="3" spans="1:14" ht="31.5" x14ac:dyDescent="0.25">
      <c r="N3" s="31" t="s">
        <v>101</v>
      </c>
    </row>
    <row r="4" spans="1:14" ht="15.75" x14ac:dyDescent="0.25">
      <c r="D4" s="66" t="s">
        <v>95</v>
      </c>
      <c r="E4" s="66"/>
      <c r="F4" s="66"/>
      <c r="G4" s="73" t="s">
        <v>96</v>
      </c>
      <c r="H4" s="74"/>
      <c r="I4" s="75"/>
      <c r="K4" s="73" t="s">
        <v>95</v>
      </c>
      <c r="L4" s="74"/>
      <c r="M4" s="75"/>
      <c r="N4" s="54">
        <f>SUM(E7:E9)/(E7/F7+E8/F8+E9/F9)</f>
        <v>101.44</v>
      </c>
    </row>
    <row r="5" spans="1:14" ht="15.75" customHeight="1" x14ac:dyDescent="0.25">
      <c r="D5" s="66" t="s">
        <v>97</v>
      </c>
      <c r="E5" s="71" t="s">
        <v>100</v>
      </c>
      <c r="F5" s="71" t="s">
        <v>99</v>
      </c>
      <c r="G5" s="66" t="s">
        <v>97</v>
      </c>
      <c r="H5" s="66" t="s">
        <v>98</v>
      </c>
      <c r="I5" s="71" t="s">
        <v>99</v>
      </c>
      <c r="K5" s="73" t="s">
        <v>96</v>
      </c>
      <c r="L5" s="74"/>
      <c r="M5" s="75"/>
      <c r="N5" s="54">
        <f>(H7*I7+H8*I8+H9*I9)/SUM(H7:H9)</f>
        <v>111.20300751879699</v>
      </c>
    </row>
    <row r="6" spans="1:14" ht="31.5" customHeight="1" x14ac:dyDescent="0.25">
      <c r="D6" s="66"/>
      <c r="E6" s="72"/>
      <c r="F6" s="72"/>
      <c r="G6" s="66"/>
      <c r="H6" s="66"/>
      <c r="I6" s="72"/>
    </row>
    <row r="7" spans="1:14" ht="15.75" x14ac:dyDescent="0.25">
      <c r="D7" s="31">
        <v>1</v>
      </c>
      <c r="E7" s="31">
        <v>800</v>
      </c>
      <c r="F7" s="31">
        <v>100</v>
      </c>
      <c r="G7" s="31">
        <v>1</v>
      </c>
      <c r="H7" s="31">
        <v>250</v>
      </c>
      <c r="I7" s="31">
        <v>110</v>
      </c>
    </row>
    <row r="8" spans="1:14" ht="15.75" x14ac:dyDescent="0.25">
      <c r="D8" s="31">
        <v>2</v>
      </c>
      <c r="E8" s="31">
        <v>159</v>
      </c>
      <c r="F8" s="31">
        <v>106</v>
      </c>
      <c r="G8" s="31">
        <v>2</v>
      </c>
      <c r="H8" s="31">
        <v>500</v>
      </c>
      <c r="I8" s="31">
        <v>90</v>
      </c>
    </row>
    <row r="9" spans="1:14" ht="15.75" x14ac:dyDescent="0.25">
      <c r="D9" s="31">
        <v>3</v>
      </c>
      <c r="E9" s="31">
        <v>309</v>
      </c>
      <c r="F9" s="31">
        <v>103</v>
      </c>
      <c r="G9" s="31">
        <v>3</v>
      </c>
      <c r="H9" s="31">
        <v>580</v>
      </c>
      <c r="I9" s="31">
        <v>130</v>
      </c>
    </row>
    <row r="12" spans="1:14" ht="15.75" customHeight="1" x14ac:dyDescent="0.25">
      <c r="B12" s="46"/>
      <c r="D12" s="73" t="s">
        <v>95</v>
      </c>
      <c r="E12" s="75"/>
      <c r="G12" s="66" t="s">
        <v>96</v>
      </c>
      <c r="H12" s="66"/>
      <c r="N12" s="31" t="s">
        <v>101</v>
      </c>
    </row>
    <row r="13" spans="1:14" ht="15.75" customHeight="1" x14ac:dyDescent="0.25">
      <c r="D13" s="66" t="s">
        <v>97</v>
      </c>
      <c r="E13" s="66" t="s">
        <v>98</v>
      </c>
      <c r="G13" s="66" t="s">
        <v>97</v>
      </c>
      <c r="H13" s="71" t="s">
        <v>100</v>
      </c>
      <c r="K13" s="73" t="s">
        <v>95</v>
      </c>
      <c r="L13" s="74"/>
      <c r="M13" s="75"/>
      <c r="N13" s="53">
        <f>SUM(E7:E9)/SUM(E15:E17)*100</f>
        <v>101.44</v>
      </c>
    </row>
    <row r="14" spans="1:14" ht="36.75" customHeight="1" x14ac:dyDescent="0.25">
      <c r="D14" s="66"/>
      <c r="E14" s="66"/>
      <c r="G14" s="66"/>
      <c r="H14" s="72"/>
      <c r="K14" s="73" t="s">
        <v>96</v>
      </c>
      <c r="L14" s="74"/>
      <c r="M14" s="75"/>
      <c r="N14" s="53">
        <f>SUM(H15:H17)/SUM(H7:H9)*100</f>
        <v>111.20300751879699</v>
      </c>
    </row>
    <row r="15" spans="1:14" ht="15.75" x14ac:dyDescent="0.25">
      <c r="D15" s="31">
        <v>1</v>
      </c>
      <c r="E15" s="22">
        <f>E7/F7*100</f>
        <v>800</v>
      </c>
      <c r="G15" s="31">
        <v>1</v>
      </c>
      <c r="H15" s="22">
        <f>H7*I7/100</f>
        <v>275</v>
      </c>
    </row>
    <row r="16" spans="1:14" ht="15.75" x14ac:dyDescent="0.25">
      <c r="D16" s="31">
        <v>2</v>
      </c>
      <c r="E16" s="22">
        <f t="shared" ref="E16:E17" si="0">E8/F8*100</f>
        <v>150</v>
      </c>
      <c r="G16" s="31">
        <v>2</v>
      </c>
      <c r="H16" s="22">
        <f t="shared" ref="H16:H17" si="1">H8*I8/100</f>
        <v>450</v>
      </c>
    </row>
    <row r="17" spans="4:8" ht="15.75" x14ac:dyDescent="0.25">
      <c r="D17" s="31">
        <v>3</v>
      </c>
      <c r="E17" s="22">
        <f t="shared" si="0"/>
        <v>300</v>
      </c>
      <c r="G17" s="31">
        <v>3</v>
      </c>
      <c r="H17" s="22">
        <f t="shared" si="1"/>
        <v>754</v>
      </c>
    </row>
  </sheetData>
  <mergeCells count="18">
    <mergeCell ref="D13:D14"/>
    <mergeCell ref="G13:G14"/>
    <mergeCell ref="H13:H14"/>
    <mergeCell ref="E13:E14"/>
    <mergeCell ref="D12:E12"/>
    <mergeCell ref="G12:H12"/>
    <mergeCell ref="I5:I6"/>
    <mergeCell ref="F5:F6"/>
    <mergeCell ref="K13:M13"/>
    <mergeCell ref="K14:M14"/>
    <mergeCell ref="K4:M4"/>
    <mergeCell ref="K5:M5"/>
    <mergeCell ref="D4:F4"/>
    <mergeCell ref="G4:I4"/>
    <mergeCell ref="D5:D6"/>
    <mergeCell ref="G5:G6"/>
    <mergeCell ref="H5:H6"/>
    <mergeCell ref="E5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15</vt:i4>
      </vt:variant>
    </vt:vector>
  </HeadingPairs>
  <TitlesOfParts>
    <vt:vector size="15" baseType="lpstr">
      <vt:lpstr>6</vt:lpstr>
      <vt:lpstr>7</vt:lpstr>
      <vt:lpstr>8</vt:lpstr>
      <vt:lpstr>10</vt:lpstr>
      <vt:lpstr>11</vt:lpstr>
      <vt:lpstr>12</vt:lpstr>
      <vt:lpstr>13</vt:lpstr>
      <vt:lpstr>14</vt:lpstr>
      <vt:lpstr>15</vt:lpstr>
      <vt:lpstr>19</vt:lpstr>
      <vt:lpstr>20</vt:lpstr>
      <vt:lpstr>21</vt:lpstr>
      <vt:lpstr>22</vt:lpstr>
      <vt:lpstr>23</vt:lpstr>
      <vt:lpstr>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Lykhosherstna, Oksana</dc:creator>
  <cp:lastModifiedBy>Lykhosherstna, Oksana</cp:lastModifiedBy>
  <cp:lastPrinted>2019-03-21T08:17:02Z</cp:lastPrinted>
  <dcterms:created xsi:type="dcterms:W3CDTF">2019-03-13T11:52:57Z</dcterms:created>
  <dcterms:modified xsi:type="dcterms:W3CDTF">2019-03-21T14:50:54Z</dcterms:modified>
</cp:coreProperties>
</file>