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diagrams/data7.xml" ContentType="application/vnd.openxmlformats-officedocument.drawingml.diagramData+xml"/>
  <Override PartName="/xl/diagrams/layout7.xml" ContentType="application/vnd.openxmlformats-officedocument.drawingml.diagramLayout+xml"/>
  <Override PartName="/xl/diagrams/quickStyle7.xml" ContentType="application/vnd.openxmlformats-officedocument.drawingml.diagramStyle+xml"/>
  <Override PartName="/xl/diagrams/colors7.xml" ContentType="application/vnd.openxmlformats-officedocument.drawingml.diagramColors+xml"/>
  <Override PartName="/xl/diagrams/drawing7.xml" ContentType="application/vnd.ms-office.drawingml.diagram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6\OneDrive\바탕 화면\정보처리기사\실기\"/>
    </mc:Choice>
  </mc:AlternateContent>
  <xr:revisionPtr revIDLastSave="0" documentId="13_ncr:1_{0F2EF4BD-69E9-4C49-A480-AD6263EC4670}" xr6:coauthVersionLast="47" xr6:coauthVersionMax="47" xr10:uidLastSave="{00000000-0000-0000-0000-000000000000}"/>
  <bookViews>
    <workbookView xWindow="-120" yWindow="-120" windowWidth="29040" windowHeight="15840" activeTab="10" xr2:uid="{43E99AF6-0CCD-4290-8FAB-028EBCA81402}"/>
  </bookViews>
  <sheets>
    <sheet name="4장" sheetId="3" r:id="rId1"/>
    <sheet name="2장" sheetId="2" r:id="rId2"/>
    <sheet name="9장" sheetId="4" r:id="rId3"/>
    <sheet name="7장" sheetId="1" r:id="rId4"/>
    <sheet name="1장" sheetId="6" r:id="rId5"/>
    <sheet name="11장" sheetId="11" r:id="rId6"/>
    <sheet name="6장" sheetId="9" r:id="rId7"/>
    <sheet name="3장" sheetId="7" r:id="rId8"/>
    <sheet name="5장" sheetId="8" r:id="rId9"/>
    <sheet name="12장" sheetId="10" r:id="rId10"/>
    <sheet name="ALL" sheetId="13" r:id="rId11"/>
    <sheet name="Sheet3" sheetId="14" r:id="rId12"/>
  </sheets>
  <definedNames>
    <definedName name="_xlnm._FilterDatabase" localSheetId="5" hidden="1">'11장'!$B$1:$C$211</definedName>
    <definedName name="_xlnm._FilterDatabase" localSheetId="9" hidden="1">'12장'!$B$1:$B$25</definedName>
    <definedName name="_xlnm._FilterDatabase" localSheetId="4" hidden="1">'1장'!$B$1:$B$73</definedName>
    <definedName name="_xlnm._FilterDatabase" localSheetId="1" hidden="1">'2장'!$B$1:$B$83</definedName>
    <definedName name="_xlnm._FilterDatabase" localSheetId="7" hidden="1">'3장'!$B$1:$B$4</definedName>
    <definedName name="_xlnm._FilterDatabase" localSheetId="0" hidden="1">'4장'!$B$1:$B$101</definedName>
    <definedName name="_xlnm._FilterDatabase" localSheetId="8" hidden="1">'5장'!$B$1:$B$38</definedName>
    <definedName name="_xlnm._FilterDatabase" localSheetId="6" hidden="1">'6장'!$B$1:$B$10</definedName>
    <definedName name="_xlnm._FilterDatabase" localSheetId="3" hidden="1">'7장'!$B$1:$B$52</definedName>
    <definedName name="_xlnm._FilterDatabase" localSheetId="2" hidden="1">'9장'!$B$1:$B$57</definedName>
    <definedName name="_xlnm._FilterDatabase" localSheetId="10" hidden="1">ALL!$B$1:$F$647</definedName>
    <definedName name="OLE_LINK1" localSheetId="8">'5장'!$D$16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8" i="14" l="1"/>
  <c r="D62" i="14"/>
  <c r="B59" i="14" s="1"/>
  <c r="C184" i="13"/>
  <c r="C26" i="13"/>
  <c r="C289" i="13"/>
  <c r="C61" i="13"/>
  <c r="C490" i="13"/>
  <c r="C246" i="13"/>
  <c r="C308" i="13"/>
  <c r="C552" i="13"/>
  <c r="C279" i="13"/>
  <c r="C33" i="13"/>
  <c r="B54" i="3"/>
  <c r="C101" i="13"/>
  <c r="B4" i="3"/>
  <c r="C314" i="13"/>
  <c r="C465" i="13"/>
  <c r="C515" i="13"/>
  <c r="C514" i="13"/>
  <c r="C587" i="13"/>
  <c r="C257" i="13"/>
  <c r="C522" i="13"/>
  <c r="C636" i="13"/>
  <c r="C134" i="13"/>
  <c r="C346" i="13"/>
  <c r="C318" i="13"/>
  <c r="C635" i="13"/>
  <c r="C82" i="13"/>
  <c r="C534" i="13"/>
  <c r="C256" i="13"/>
  <c r="C536" i="13"/>
  <c r="C362" i="13"/>
  <c r="C537" i="13"/>
  <c r="C538" i="13"/>
  <c r="C463" i="13"/>
  <c r="C464" i="13"/>
  <c r="C513" i="13"/>
  <c r="C570" i="13"/>
  <c r="C240" i="13"/>
  <c r="C466" i="13"/>
  <c r="C369" i="13"/>
  <c r="C177" i="13"/>
  <c r="C15" i="13"/>
  <c r="C372" i="13"/>
  <c r="C52" i="13"/>
  <c r="C164" i="13"/>
  <c r="C29" i="13"/>
  <c r="C408" i="13"/>
  <c r="C301" i="13"/>
  <c r="C41" i="13"/>
  <c r="C191" i="13"/>
  <c r="C371" i="13"/>
  <c r="C144" i="13"/>
  <c r="C434" i="13"/>
  <c r="C410" i="13"/>
  <c r="C66" i="13"/>
  <c r="C31" i="13"/>
  <c r="C145" i="13"/>
  <c r="C367" i="13"/>
  <c r="C124" i="13"/>
  <c r="C370" i="13"/>
  <c r="C171" i="13"/>
  <c r="C70" i="13"/>
  <c r="C131" i="13"/>
  <c r="C178" i="13"/>
  <c r="C208" i="13"/>
  <c r="C533" i="13"/>
  <c r="C555" i="13"/>
  <c r="C271" i="13"/>
  <c r="C401" i="13"/>
  <c r="C540" i="13"/>
  <c r="C400" i="13"/>
  <c r="C409" i="13"/>
  <c r="C141" i="13"/>
  <c r="C562" i="13"/>
  <c r="C290" i="13"/>
  <c r="C160" i="13"/>
  <c r="C287" i="13"/>
  <c r="C161" i="13"/>
  <c r="C278" i="13"/>
  <c r="C285" i="13"/>
  <c r="C354" i="13"/>
  <c r="C229" i="13"/>
  <c r="C284" i="13"/>
  <c r="C624" i="13"/>
  <c r="C547" i="13"/>
  <c r="C261" i="13"/>
  <c r="C560" i="13"/>
  <c r="C561" i="13"/>
  <c r="C202" i="13"/>
  <c r="C102" i="13"/>
  <c r="C195" i="13"/>
  <c r="C558" i="13"/>
  <c r="C559" i="13"/>
  <c r="C642" i="13"/>
  <c r="C192" i="13"/>
  <c r="C168" i="13"/>
  <c r="C173" i="13"/>
  <c r="C189" i="13"/>
  <c r="C390" i="13"/>
  <c r="C176" i="13"/>
  <c r="C391" i="13"/>
  <c r="C215" i="13"/>
  <c r="C436" i="13"/>
  <c r="C166" i="13"/>
  <c r="C132" i="13"/>
  <c r="C227" i="13"/>
  <c r="C623" i="13"/>
  <c r="C615" i="13"/>
  <c r="C518" i="13"/>
  <c r="C258" i="13"/>
  <c r="C578" i="13"/>
  <c r="C616" i="13"/>
  <c r="C62" i="13"/>
  <c r="C44" i="13"/>
  <c r="C510" i="13"/>
  <c r="C383" i="13"/>
  <c r="C566" i="13"/>
  <c r="C175" i="13"/>
  <c r="C135" i="13"/>
  <c r="C632" i="13"/>
  <c r="C349" i="13"/>
  <c r="C309" i="13"/>
  <c r="C327" i="13"/>
  <c r="C482" i="13"/>
  <c r="C368" i="13"/>
  <c r="C568" i="13"/>
  <c r="C526" i="13"/>
  <c r="C605" i="13"/>
  <c r="C413" i="13"/>
  <c r="C326" i="13"/>
  <c r="C90" i="13"/>
  <c r="C483" i="13"/>
  <c r="C91" i="13"/>
  <c r="C374" i="13"/>
  <c r="C443" i="13"/>
  <c r="C504" i="13"/>
  <c r="C46" i="13"/>
  <c r="C351" i="13"/>
  <c r="C563" i="13"/>
  <c r="C425" i="13"/>
  <c r="C437" i="13"/>
  <c r="C426" i="13"/>
  <c r="C577" i="13"/>
  <c r="C139" i="13"/>
  <c r="C641" i="13"/>
  <c r="C335" i="13"/>
  <c r="C333" i="13"/>
  <c r="C469" i="13"/>
  <c r="C516" i="13"/>
  <c r="C457" i="13"/>
  <c r="C50" i="13"/>
  <c r="C633" i="13"/>
  <c r="C32" i="13"/>
  <c r="C613" i="13"/>
  <c r="C468" i="13"/>
  <c r="C619" i="13"/>
  <c r="C5" i="13"/>
  <c r="C6" i="13"/>
  <c r="C14" i="13"/>
  <c r="C13" i="13"/>
  <c r="C12" i="13"/>
  <c r="C4" i="13"/>
  <c r="C247" i="13"/>
  <c r="C494" i="13"/>
  <c r="C201" i="13"/>
  <c r="C550" i="13"/>
  <c r="C551" i="13"/>
  <c r="C24" i="13"/>
  <c r="C152" i="13"/>
  <c r="C475" i="13"/>
  <c r="C225" i="13"/>
  <c r="C270" i="13"/>
  <c r="C140" i="13"/>
  <c r="C142" i="13"/>
  <c r="C213" i="13"/>
  <c r="C159" i="13"/>
  <c r="C185" i="13"/>
  <c r="C120" i="13"/>
  <c r="C187" i="13"/>
  <c r="C438" i="13"/>
  <c r="C150" i="13"/>
  <c r="C260" i="13"/>
  <c r="C495" i="13"/>
  <c r="C78" i="13"/>
  <c r="C507" i="13"/>
  <c r="C406" i="13"/>
  <c r="C382" i="13"/>
  <c r="C509" i="13"/>
  <c r="C105" i="13"/>
  <c r="C147" i="13"/>
  <c r="C40" i="13"/>
  <c r="C535" i="13"/>
  <c r="C462" i="13"/>
  <c r="C511" i="13"/>
  <c r="C77" i="13"/>
  <c r="C539" i="13"/>
  <c r="C506" i="13"/>
  <c r="C79" i="13"/>
  <c r="C645" i="13"/>
  <c r="C248" i="13"/>
  <c r="C348" i="13"/>
  <c r="C111" i="13"/>
  <c r="C571" i="13"/>
  <c r="C273" i="13"/>
  <c r="C42" i="13"/>
  <c r="C23" i="13"/>
  <c r="C16" i="13"/>
  <c r="C637" i="13"/>
  <c r="C226" i="13"/>
  <c r="C36" i="13"/>
  <c r="C472" i="13"/>
  <c r="C51" i="13"/>
  <c r="C186" i="13"/>
  <c r="C347" i="13"/>
  <c r="C405" i="13"/>
  <c r="C200" i="13"/>
  <c r="C60" i="13"/>
  <c r="C224" i="13"/>
  <c r="C474" i="13"/>
  <c r="C527" i="13"/>
  <c r="C299" i="13"/>
  <c r="C211" i="13"/>
  <c r="C212" i="13"/>
  <c r="C471" i="13"/>
  <c r="C604" i="13"/>
  <c r="C180" i="13"/>
  <c r="C280" i="13"/>
  <c r="C416" i="13"/>
  <c r="C332" i="13"/>
  <c r="C157" i="13"/>
  <c r="C89" i="13"/>
  <c r="C210" i="13"/>
  <c r="C470" i="13"/>
  <c r="C38" i="13"/>
  <c r="C250" i="13"/>
  <c r="C337" i="13"/>
  <c r="C34" i="13"/>
  <c r="C634" i="13"/>
  <c r="C146" i="13"/>
  <c r="C431" i="13"/>
  <c r="C467" i="13"/>
  <c r="C398" i="13"/>
  <c r="C172" i="13"/>
  <c r="C352" i="13"/>
  <c r="C501" i="13"/>
  <c r="C345" i="13"/>
  <c r="C602" i="13"/>
  <c r="C446" i="13"/>
  <c r="C445" i="13"/>
  <c r="C500" i="13"/>
  <c r="C603" i="13"/>
  <c r="C599" i="13"/>
  <c r="C502" i="13"/>
  <c r="C598" i="13"/>
  <c r="C489" i="13"/>
  <c r="C461" i="13"/>
  <c r="C593" i="13"/>
  <c r="C399" i="13"/>
  <c r="C353" i="13"/>
  <c r="C72" i="13"/>
  <c r="C520" i="13"/>
  <c r="C275" i="13"/>
  <c r="C519" i="13"/>
  <c r="C71" i="13"/>
  <c r="C364" i="13"/>
  <c r="C574" i="13"/>
  <c r="C586" i="13"/>
  <c r="C585" i="13"/>
  <c r="C575" i="13"/>
  <c r="C588" i="13"/>
  <c r="C583" i="13"/>
  <c r="C265" i="13"/>
  <c r="C420" i="13"/>
  <c r="C255" i="13"/>
  <c r="C592" i="13"/>
  <c r="C254" i="13"/>
  <c r="C591" i="13"/>
  <c r="C130" i="13"/>
  <c r="C366" i="13"/>
  <c r="C121" i="13"/>
  <c r="C365" i="13"/>
  <c r="C219" i="13"/>
  <c r="C439" i="13"/>
  <c r="C286" i="13"/>
  <c r="C617" i="13"/>
  <c r="C64" i="13"/>
  <c r="C17" i="13"/>
  <c r="C65" i="13"/>
  <c r="C3" i="13"/>
  <c r="C594" i="13"/>
  <c r="C596" i="13"/>
  <c r="C313" i="13"/>
  <c r="C485" i="13"/>
  <c r="C597" i="13"/>
  <c r="C595" i="13"/>
  <c r="C58" i="13"/>
  <c r="C491" i="13"/>
  <c r="C316" i="13"/>
  <c r="C315" i="13"/>
  <c r="C344" i="13"/>
  <c r="C325" i="13"/>
  <c r="C57" i="13"/>
  <c r="C320" i="13"/>
  <c r="C19" i="13"/>
  <c r="C312" i="13"/>
  <c r="C39" i="13"/>
  <c r="C37" i="13"/>
  <c r="C496" i="13"/>
  <c r="C310" i="13"/>
  <c r="C167" i="13"/>
  <c r="C49" i="13"/>
  <c r="C126" i="13"/>
  <c r="C317" i="13"/>
  <c r="C81" i="13"/>
  <c r="C129" i="13"/>
  <c r="C328" i="13"/>
  <c r="C20" i="13"/>
  <c r="C517" i="13"/>
  <c r="C493" i="13"/>
  <c r="C125" i="13"/>
  <c r="C21" i="13"/>
  <c r="C43" i="13"/>
  <c r="C336" i="13"/>
  <c r="C569" i="13"/>
  <c r="C396" i="13"/>
  <c r="C389" i="13"/>
  <c r="C541" i="13"/>
  <c r="C545" i="13"/>
  <c r="C282" i="13"/>
  <c r="C625" i="13"/>
  <c r="C300" i="13"/>
  <c r="C610" i="13"/>
  <c r="C576" i="13"/>
  <c r="C611" i="13"/>
  <c r="C8" i="13"/>
  <c r="C118" i="13"/>
  <c r="C274" i="13"/>
  <c r="C86" i="13"/>
  <c r="C276" i="13"/>
  <c r="C579" i="13"/>
  <c r="C127" i="13"/>
  <c r="C395" i="13"/>
  <c r="C322" i="13"/>
  <c r="C222" i="13"/>
  <c r="C580" i="13"/>
  <c r="C238" i="13"/>
  <c r="C85" i="13"/>
  <c r="C87" i="13"/>
  <c r="C83" i="13"/>
  <c r="C163" i="13"/>
  <c r="C67" i="13"/>
  <c r="C69" i="13"/>
  <c r="C394" i="13"/>
  <c r="C319" i="13"/>
  <c r="C393" i="13"/>
  <c r="C136" i="13"/>
  <c r="C387" i="13"/>
  <c r="C350" i="13"/>
  <c r="C75" i="13"/>
  <c r="C324" i="13"/>
  <c r="C581" i="13"/>
  <c r="C584" i="13"/>
  <c r="C452" i="13"/>
  <c r="C165" i="13"/>
  <c r="C453" i="13"/>
  <c r="C503" i="13"/>
  <c r="C18" i="13"/>
  <c r="C307" i="13"/>
  <c r="C459" i="13"/>
  <c r="C460" i="13"/>
  <c r="C306" i="13"/>
  <c r="C355" i="13"/>
  <c r="C528" i="13"/>
  <c r="C158" i="13"/>
  <c r="C358" i="13"/>
  <c r="C360" i="13"/>
  <c r="C359" i="13"/>
  <c r="C553" i="13"/>
  <c r="C239" i="13"/>
  <c r="C169" i="13"/>
  <c r="C302" i="13"/>
  <c r="C88" i="13"/>
  <c r="C323" i="13"/>
  <c r="C104" i="13"/>
  <c r="C339" i="13"/>
  <c r="C281" i="13"/>
  <c r="C291" i="13"/>
  <c r="C84" i="13"/>
  <c r="C170" i="13"/>
  <c r="C244" i="13"/>
  <c r="C386" i="13"/>
  <c r="C116" i="13"/>
  <c r="C447" i="13"/>
  <c r="C448" i="13"/>
  <c r="C590" i="13"/>
  <c r="C74" i="13"/>
  <c r="C639" i="13"/>
  <c r="C259" i="13"/>
  <c r="C589" i="13"/>
  <c r="C582" i="13"/>
  <c r="C488" i="13"/>
  <c r="C548" i="13"/>
  <c r="C640" i="13"/>
  <c r="C403" i="13"/>
  <c r="C218" i="13"/>
  <c r="C149" i="13"/>
  <c r="C110" i="13"/>
  <c r="C407" i="13"/>
  <c r="C137" i="13"/>
  <c r="C272" i="13"/>
  <c r="C525" i="13"/>
  <c r="C138" i="13"/>
  <c r="C484" i="13"/>
  <c r="C343" i="13"/>
  <c r="C430" i="13"/>
  <c r="C524" i="13"/>
  <c r="C264" i="13"/>
  <c r="C148" i="13"/>
  <c r="C357" i="13"/>
  <c r="C627" i="13"/>
  <c r="C356" i="13"/>
  <c r="C151" i="13"/>
  <c r="C411" i="13"/>
  <c r="C412" i="13"/>
  <c r="C47" i="13"/>
  <c r="C361" i="13"/>
  <c r="C492" i="13"/>
  <c r="C441" i="13"/>
  <c r="C249" i="13"/>
  <c r="C455" i="13"/>
  <c r="C298" i="13"/>
  <c r="C423" i="13"/>
  <c r="C63" i="13"/>
  <c r="C73" i="13"/>
  <c r="C179" i="13"/>
  <c r="C381" i="13"/>
  <c r="C385" i="13"/>
  <c r="C572" i="13"/>
  <c r="C45" i="13"/>
  <c r="C11" i="13"/>
  <c r="C35" i="13"/>
  <c r="C573" i="13"/>
  <c r="C174" i="13"/>
  <c r="C626" i="13"/>
  <c r="C442" i="13"/>
  <c r="C373" i="13"/>
  <c r="C363" i="13"/>
  <c r="C92" i="13"/>
  <c r="C206" i="13"/>
  <c r="C505" i="13"/>
  <c r="C263" i="13"/>
  <c r="C190" i="13"/>
  <c r="C342" i="13"/>
  <c r="C424" i="13"/>
  <c r="C340" i="13"/>
  <c r="C341" i="13"/>
  <c r="C311" i="13"/>
  <c r="C54" i="13"/>
  <c r="C56" i="13"/>
  <c r="C55" i="13"/>
  <c r="C48" i="13"/>
  <c r="C422" i="13"/>
  <c r="C473" i="13"/>
  <c r="C546" i="13"/>
  <c r="C223" i="13"/>
  <c r="C429" i="13"/>
  <c r="C521" i="13"/>
  <c r="C421" i="13"/>
  <c r="C512" i="13"/>
  <c r="C487" i="13"/>
  <c r="C277" i="13"/>
  <c r="C564" i="13"/>
  <c r="C508" i="13"/>
  <c r="C97" i="13"/>
  <c r="C444" i="13"/>
  <c r="C477" i="13"/>
  <c r="C128" i="13"/>
  <c r="C123" i="13"/>
  <c r="C486" i="13"/>
  <c r="C479" i="13"/>
  <c r="C30" i="13"/>
  <c r="C497" i="13"/>
  <c r="C498" i="13"/>
  <c r="C288" i="13"/>
  <c r="C499" i="13"/>
  <c r="C198" i="13"/>
  <c r="C188" i="13"/>
  <c r="C204" i="13"/>
  <c r="C607" i="13"/>
  <c r="C22" i="13"/>
  <c r="C600" i="13"/>
  <c r="C601" i="13"/>
  <c r="C304" i="13"/>
  <c r="C375" i="13"/>
  <c r="C557" i="13"/>
  <c r="C556" i="13"/>
  <c r="C155" i="13"/>
  <c r="C614" i="13"/>
  <c r="C217" i="13"/>
  <c r="C480" i="13"/>
  <c r="C549" i="13"/>
  <c r="C117" i="13"/>
  <c r="C440" i="13"/>
  <c r="C53" i="13"/>
  <c r="C112" i="13"/>
  <c r="C329" i="13"/>
  <c r="C303" i="13"/>
  <c r="C404" i="13"/>
  <c r="C162" i="13"/>
  <c r="C331" i="13"/>
  <c r="C644" i="13"/>
  <c r="C643" i="13"/>
  <c r="C330" i="13"/>
  <c r="C9" i="13"/>
  <c r="C612" i="13"/>
  <c r="C193" i="13"/>
  <c r="C221" i="13"/>
  <c r="C10" i="13"/>
  <c r="C28" i="13"/>
  <c r="C93" i="13"/>
  <c r="C80" i="13"/>
  <c r="C628" i="13"/>
  <c r="C183" i="13"/>
  <c r="C182" i="13"/>
  <c r="C181" i="13"/>
  <c r="C631" i="13"/>
  <c r="C156" i="13"/>
  <c r="C154" i="13"/>
  <c r="C630" i="13"/>
  <c r="C629" i="13"/>
  <c r="C194" i="13"/>
  <c r="C251" i="13"/>
  <c r="C197" i="13"/>
  <c r="C283" i="13"/>
  <c r="C196" i="13"/>
  <c r="C418" i="13"/>
  <c r="C417" i="13"/>
  <c r="C25" i="13"/>
  <c r="C292" i="13"/>
  <c r="C106" i="13"/>
  <c r="C220" i="13"/>
  <c r="C338" i="13"/>
  <c r="C59" i="13"/>
  <c r="C435" i="13"/>
  <c r="C388" i="13"/>
  <c r="C294" i="13"/>
  <c r="C203" i="13"/>
  <c r="C98" i="13"/>
  <c r="C621" i="13"/>
  <c r="C567" i="13"/>
  <c r="C334" i="13"/>
  <c r="C449" i="13"/>
  <c r="C380" i="13"/>
  <c r="C397" i="13"/>
  <c r="C620" i="13"/>
  <c r="C543" i="13"/>
  <c r="C476" i="13"/>
  <c r="C428" i="13"/>
  <c r="C266" i="13"/>
  <c r="C94" i="13"/>
  <c r="C384" i="13"/>
  <c r="C122" i="13"/>
  <c r="C638" i="13"/>
  <c r="C542" i="13"/>
  <c r="C608" i="13"/>
  <c r="C402" i="13"/>
  <c r="C295" i="13"/>
  <c r="C458" i="13"/>
  <c r="C433" i="13"/>
  <c r="C544" i="13"/>
  <c r="C214" i="13"/>
  <c r="C232" i="13"/>
  <c r="C606" i="13"/>
  <c r="C532" i="13"/>
  <c r="C531" i="13"/>
  <c r="C530" i="13"/>
  <c r="C529" i="13"/>
  <c r="C114" i="13"/>
  <c r="C523" i="13"/>
  <c r="C451" i="13"/>
  <c r="C321" i="13"/>
  <c r="C243" i="13"/>
  <c r="C228" i="13"/>
  <c r="C2" i="13"/>
  <c r="C108" i="13"/>
  <c r="C143" i="13"/>
  <c r="C107" i="13"/>
  <c r="C230" i="13"/>
  <c r="C618" i="13"/>
  <c r="C153" i="13"/>
  <c r="C376" i="13"/>
  <c r="C378" i="13"/>
  <c r="C236" i="13"/>
  <c r="C414" i="13"/>
  <c r="C565" i="13"/>
  <c r="C242" i="13"/>
  <c r="C205" i="13"/>
  <c r="C235" i="13"/>
  <c r="C237" i="13"/>
  <c r="C241" i="13"/>
  <c r="C233" i="13"/>
  <c r="C234" i="13"/>
  <c r="C379" i="13"/>
  <c r="C377" i="13"/>
  <c r="C109" i="13"/>
  <c r="C622" i="13"/>
  <c r="C231" i="13"/>
  <c r="C245" i="13"/>
  <c r="C419" i="13"/>
  <c r="C456" i="13"/>
  <c r="C454" i="13"/>
  <c r="C133" i="13"/>
  <c r="C95" i="13"/>
  <c r="C100" i="13"/>
  <c r="C450" i="13"/>
  <c r="C297" i="13"/>
  <c r="C481" i="13"/>
  <c r="C216" i="13"/>
  <c r="C268" i="13"/>
  <c r="C27" i="13"/>
  <c r="C415" i="13"/>
  <c r="C253" i="13"/>
  <c r="C267" i="13"/>
  <c r="C293" i="13"/>
  <c r="C115" i="13"/>
  <c r="C119" i="13"/>
  <c r="C207" i="13"/>
  <c r="C7" i="13"/>
  <c r="C209" i="13"/>
  <c r="C609" i="13"/>
  <c r="C296" i="13"/>
  <c r="C392" i="13"/>
  <c r="C96" i="13"/>
  <c r="C113" i="13"/>
  <c r="C199" i="13"/>
  <c r="C99" i="13"/>
  <c r="C76" i="13"/>
  <c r="B13" i="10"/>
  <c r="B5" i="10"/>
  <c r="B24" i="10"/>
  <c r="B23" i="10"/>
  <c r="B22" i="10"/>
  <c r="B21" i="10"/>
  <c r="B20" i="10"/>
  <c r="B19" i="10"/>
  <c r="B14" i="10"/>
  <c r="B15" i="10"/>
  <c r="B16" i="10"/>
  <c r="B17" i="10"/>
  <c r="B18" i="10"/>
  <c r="B12" i="8"/>
  <c r="B15" i="8"/>
  <c r="B201" i="11"/>
  <c r="B202" i="11"/>
  <c r="B203" i="11"/>
  <c r="B211" i="11"/>
  <c r="B209" i="11"/>
  <c r="B208" i="11"/>
  <c r="B207" i="11"/>
  <c r="B205" i="11"/>
  <c r="B204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3" i="11"/>
  <c r="B182" i="11"/>
  <c r="B181" i="11"/>
  <c r="B180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0" i="11"/>
  <c r="B149" i="11"/>
  <c r="B148" i="11"/>
  <c r="B147" i="11"/>
  <c r="B145" i="11"/>
  <c r="B144" i="11"/>
  <c r="B143" i="11"/>
  <c r="B142" i="11"/>
  <c r="B141" i="11"/>
  <c r="B139" i="11"/>
  <c r="B135" i="11"/>
  <c r="B120" i="11"/>
  <c r="B119" i="11"/>
  <c r="B112" i="11"/>
  <c r="B113" i="11"/>
  <c r="B115" i="11"/>
  <c r="B114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116" i="11"/>
  <c r="B117" i="11"/>
  <c r="B118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6" i="11"/>
  <c r="B140" i="11"/>
  <c r="B151" i="11"/>
  <c r="B93" i="11"/>
  <c r="B92" i="11"/>
  <c r="B91" i="11"/>
  <c r="B90" i="11"/>
  <c r="B69" i="11"/>
  <c r="B68" i="11"/>
  <c r="B67" i="11"/>
  <c r="B65" i="11"/>
  <c r="B64" i="11"/>
  <c r="B63" i="11"/>
  <c r="B62" i="11"/>
  <c r="B61" i="11"/>
  <c r="B60" i="11"/>
  <c r="B59" i="11"/>
  <c r="B58" i="11"/>
  <c r="B48" i="11"/>
  <c r="B47" i="11"/>
  <c r="B46" i="11"/>
  <c r="B39" i="11"/>
  <c r="B38" i="11"/>
  <c r="B40" i="11"/>
  <c r="B37" i="11"/>
  <c r="B36" i="11"/>
  <c r="B35" i="11"/>
  <c r="B33" i="11"/>
  <c r="B31" i="11"/>
  <c r="B8" i="11"/>
  <c r="B7" i="11"/>
  <c r="B6" i="11"/>
  <c r="B5" i="11"/>
  <c r="B26" i="11"/>
  <c r="B22" i="11"/>
  <c r="B21" i="11"/>
  <c r="B20" i="11"/>
  <c r="B70" i="6"/>
  <c r="B17" i="11"/>
  <c r="B15" i="11"/>
  <c r="B13" i="11"/>
  <c r="B3" i="11"/>
  <c r="B4" i="11"/>
  <c r="B9" i="11"/>
  <c r="B10" i="11"/>
  <c r="B11" i="11"/>
  <c r="B12" i="11"/>
  <c r="B14" i="11"/>
  <c r="B16" i="11"/>
  <c r="B18" i="11"/>
  <c r="B19" i="11"/>
  <c r="B23" i="11"/>
  <c r="B24" i="11"/>
  <c r="B25" i="11"/>
  <c r="B27" i="11"/>
  <c r="B28" i="11"/>
  <c r="B29" i="11"/>
  <c r="B30" i="11"/>
  <c r="B32" i="11"/>
  <c r="B34" i="11"/>
  <c r="B41" i="11"/>
  <c r="B42" i="11"/>
  <c r="B43" i="11"/>
  <c r="B44" i="11"/>
  <c r="B45" i="11"/>
  <c r="B49" i="11"/>
  <c r="B50" i="11"/>
  <c r="B51" i="11"/>
  <c r="B52" i="11"/>
  <c r="B53" i="11"/>
  <c r="B54" i="11"/>
  <c r="B55" i="11"/>
  <c r="B56" i="11"/>
  <c r="B57" i="11"/>
  <c r="B66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176" i="11"/>
  <c r="B177" i="11"/>
  <c r="B178" i="11"/>
  <c r="B179" i="11"/>
  <c r="B184" i="11"/>
  <c r="B200" i="11"/>
  <c r="B210" i="11"/>
  <c r="B2" i="11"/>
  <c r="B9" i="6"/>
  <c r="B30" i="4"/>
  <c r="B18" i="4"/>
  <c r="B19" i="4"/>
  <c r="B17" i="4"/>
  <c r="B16" i="4"/>
  <c r="B22" i="4"/>
  <c r="B21" i="4"/>
  <c r="B20" i="4"/>
  <c r="B53" i="4"/>
  <c r="B52" i="4"/>
  <c r="B51" i="4"/>
  <c r="B44" i="4"/>
  <c r="B43" i="4"/>
  <c r="B2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3" i="4"/>
  <c r="B24" i="4"/>
  <c r="B26" i="4"/>
  <c r="B27" i="4"/>
  <c r="B28" i="4"/>
  <c r="B2" i="4"/>
  <c r="B49" i="2"/>
  <c r="B39" i="2"/>
  <c r="B19" i="2"/>
  <c r="B23" i="2"/>
  <c r="B16" i="2"/>
  <c r="B17" i="2"/>
  <c r="B12" i="2"/>
  <c r="B13" i="2"/>
  <c r="B14" i="2"/>
  <c r="B15" i="2"/>
  <c r="B58" i="2"/>
  <c r="B57" i="2"/>
  <c r="B56" i="2"/>
  <c r="B3" i="3"/>
  <c r="B16" i="3"/>
  <c r="B25" i="10"/>
  <c r="B12" i="10"/>
  <c r="B11" i="10"/>
  <c r="B10" i="10"/>
  <c r="B9" i="10"/>
  <c r="B8" i="10"/>
  <c r="B7" i="10"/>
  <c r="B6" i="10"/>
  <c r="B4" i="10"/>
  <c r="B3" i="10"/>
  <c r="B2" i="10"/>
  <c r="B6" i="9"/>
  <c r="B9" i="9"/>
  <c r="B10" i="9"/>
  <c r="B8" i="9"/>
  <c r="B7" i="9"/>
  <c r="B5" i="9"/>
  <c r="B4" i="9"/>
  <c r="B3" i="9"/>
  <c r="B2" i="9"/>
  <c r="B36" i="8"/>
  <c r="B38" i="8"/>
  <c r="B37" i="8"/>
  <c r="B35" i="8"/>
  <c r="B26" i="8"/>
  <c r="B10" i="8"/>
  <c r="B9" i="8"/>
  <c r="B8" i="8"/>
  <c r="B7" i="8"/>
  <c r="B6" i="8"/>
  <c r="B5" i="8"/>
  <c r="B32" i="8"/>
  <c r="B25" i="8"/>
  <c r="B34" i="8"/>
  <c r="B33" i="8"/>
  <c r="B31" i="8"/>
  <c r="B30" i="8"/>
  <c r="B29" i="8"/>
  <c r="B28" i="8"/>
  <c r="B24" i="8"/>
  <c r="B23" i="8"/>
  <c r="B22" i="8"/>
  <c r="B21" i="8"/>
  <c r="B20" i="8"/>
  <c r="B19" i="8"/>
  <c r="B18" i="8"/>
  <c r="B17" i="8"/>
  <c r="B16" i="8"/>
  <c r="B14" i="8"/>
  <c r="B13" i="8"/>
  <c r="B11" i="8"/>
  <c r="B4" i="8"/>
  <c r="B2" i="8"/>
  <c r="B4" i="7"/>
  <c r="B3" i="7"/>
  <c r="B2" i="7"/>
  <c r="B29" i="4"/>
  <c r="B32" i="4"/>
  <c r="B35" i="4"/>
  <c r="B56" i="4"/>
  <c r="B57" i="4"/>
  <c r="B32" i="1"/>
  <c r="B9" i="1"/>
  <c r="B61" i="6"/>
  <c r="B39" i="6"/>
  <c r="B36" i="6"/>
  <c r="B21" i="6"/>
  <c r="B27" i="6"/>
  <c r="B46" i="6"/>
  <c r="B40" i="6"/>
  <c r="B33" i="6"/>
  <c r="B32" i="6"/>
  <c r="B31" i="6"/>
  <c r="B30" i="6"/>
  <c r="B29" i="6"/>
  <c r="B28" i="6"/>
  <c r="B19" i="6"/>
  <c r="B18" i="6"/>
  <c r="B17" i="6"/>
  <c r="B16" i="6"/>
  <c r="B15" i="6"/>
  <c r="B14" i="6"/>
  <c r="B13" i="6"/>
  <c r="B73" i="6"/>
  <c r="B72" i="6"/>
  <c r="B71" i="6"/>
  <c r="B69" i="6"/>
  <c r="B68" i="6"/>
  <c r="B51" i="6"/>
  <c r="B49" i="6"/>
  <c r="B48" i="6"/>
  <c r="B47" i="6"/>
  <c r="B31" i="4"/>
  <c r="B33" i="4"/>
  <c r="B34" i="4"/>
  <c r="B36" i="4"/>
  <c r="B37" i="4"/>
  <c r="B38" i="4"/>
  <c r="B39" i="4"/>
  <c r="B40" i="4"/>
  <c r="B41" i="4"/>
  <c r="B42" i="4"/>
  <c r="B45" i="4"/>
  <c r="B46" i="4"/>
  <c r="B47" i="4"/>
  <c r="B48" i="4"/>
  <c r="B49" i="4"/>
  <c r="B50" i="4"/>
  <c r="B54" i="4"/>
  <c r="B55" i="4"/>
  <c r="B3" i="1"/>
  <c r="B4" i="1"/>
  <c r="B5" i="1"/>
  <c r="B6" i="1"/>
  <c r="B7" i="1"/>
  <c r="B8" i="1"/>
  <c r="B10" i="1"/>
  <c r="B11" i="1"/>
  <c r="B12" i="1"/>
  <c r="B13" i="1"/>
  <c r="B14" i="1"/>
  <c r="B16" i="1"/>
  <c r="B17" i="1"/>
  <c r="B18" i="1"/>
  <c r="B19" i="1"/>
  <c r="B20" i="1"/>
  <c r="B21" i="1"/>
  <c r="B22" i="1"/>
  <c r="B23" i="1"/>
  <c r="B24" i="1"/>
  <c r="B26" i="1"/>
  <c r="B27" i="1"/>
  <c r="B28" i="1"/>
  <c r="B29" i="1"/>
  <c r="B30" i="1"/>
  <c r="B31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  <c r="B5" i="3"/>
  <c r="B6" i="3"/>
  <c r="B7" i="3"/>
  <c r="B8" i="3"/>
  <c r="B9" i="3"/>
  <c r="B10" i="3"/>
  <c r="B11" i="3"/>
  <c r="B12" i="3"/>
  <c r="B13" i="3"/>
  <c r="B14" i="3"/>
  <c r="B15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2" i="3"/>
  <c r="B74" i="2"/>
  <c r="B75" i="2"/>
  <c r="B76" i="2"/>
  <c r="B77" i="2"/>
  <c r="B78" i="2"/>
  <c r="B79" i="2"/>
  <c r="B80" i="2"/>
  <c r="B81" i="2"/>
  <c r="B82" i="2"/>
  <c r="B83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5" i="2"/>
  <c r="B54" i="2"/>
  <c r="B53" i="2"/>
  <c r="B52" i="2"/>
  <c r="B51" i="2"/>
  <c r="B50" i="2"/>
  <c r="B48" i="2"/>
  <c r="B47" i="2"/>
  <c r="B46" i="2"/>
  <c r="B45" i="2"/>
  <c r="B44" i="2"/>
  <c r="B43" i="2"/>
  <c r="B42" i="2"/>
  <c r="B41" i="2"/>
  <c r="B40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2" i="2"/>
  <c r="B21" i="2"/>
  <c r="B20" i="2"/>
  <c r="B18" i="2"/>
  <c r="B11" i="2"/>
  <c r="B10" i="2"/>
  <c r="B9" i="2"/>
  <c r="B8" i="2"/>
  <c r="B7" i="2"/>
  <c r="B6" i="2"/>
  <c r="B5" i="2"/>
  <c r="B4" i="2"/>
  <c r="B3" i="2"/>
  <c r="B2" i="2"/>
  <c r="B3" i="6"/>
  <c r="B4" i="6"/>
  <c r="B5" i="6"/>
  <c r="B6" i="6"/>
  <c r="B7" i="6"/>
  <c r="B8" i="6"/>
  <c r="B10" i="6"/>
  <c r="B11" i="6"/>
  <c r="B20" i="6"/>
  <c r="B22" i="6"/>
  <c r="B23" i="6"/>
  <c r="B24" i="6"/>
  <c r="B25" i="6"/>
  <c r="B26" i="6"/>
  <c r="B34" i="6"/>
  <c r="B35" i="6"/>
  <c r="B37" i="6"/>
  <c r="B38" i="6"/>
  <c r="B41" i="6"/>
  <c r="B42" i="6"/>
  <c r="B43" i="6"/>
  <c r="B44" i="6"/>
  <c r="B45" i="6"/>
  <c r="B50" i="6"/>
  <c r="B52" i="6"/>
  <c r="B53" i="6"/>
  <c r="B54" i="6"/>
  <c r="B55" i="6"/>
  <c r="B56" i="6"/>
  <c r="B57" i="6"/>
  <c r="B58" i="6"/>
  <c r="B59" i="6"/>
  <c r="B60" i="6"/>
  <c r="B62" i="6"/>
  <c r="B63" i="6"/>
  <c r="B64" i="6"/>
  <c r="B65" i="6"/>
  <c r="B66" i="6"/>
  <c r="B67" i="6"/>
  <c r="B2" i="6"/>
  <c r="B60" i="14" l="1"/>
  <c r="B12" i="14"/>
  <c r="B18" i="14"/>
  <c r="B32" i="14"/>
  <c r="B44" i="14"/>
  <c r="B52" i="14"/>
  <c r="B5" i="14"/>
  <c r="B10" i="14"/>
  <c r="B13" i="14"/>
  <c r="B21" i="14"/>
  <c r="B17" i="14"/>
  <c r="B25" i="14"/>
  <c r="B34" i="14"/>
  <c r="B40" i="14"/>
  <c r="B45" i="14"/>
  <c r="B49" i="14"/>
  <c r="B53" i="14"/>
  <c r="B57" i="14"/>
  <c r="B2" i="14"/>
  <c r="B15" i="14"/>
  <c r="B29" i="14"/>
  <c r="B47" i="14"/>
  <c r="B28" i="14"/>
  <c r="B4" i="14"/>
  <c r="B7" i="14"/>
  <c r="B9" i="14"/>
  <c r="B14" i="14"/>
  <c r="B20" i="14"/>
  <c r="B22" i="14"/>
  <c r="B27" i="14"/>
  <c r="B31" i="14"/>
  <c r="B37" i="14"/>
  <c r="B38" i="14"/>
  <c r="B43" i="14"/>
  <c r="B46" i="14"/>
  <c r="B51" i="14"/>
  <c r="B54" i="14"/>
  <c r="B58" i="14"/>
  <c r="B8" i="14"/>
  <c r="B24" i="14"/>
  <c r="B35" i="14"/>
  <c r="B41" i="14"/>
  <c r="B56" i="14"/>
  <c r="B33" i="14"/>
  <c r="B3" i="14"/>
  <c r="B6" i="14"/>
  <c r="B11" i="14"/>
  <c r="B16" i="14"/>
  <c r="B19" i="14"/>
  <c r="B23" i="14"/>
  <c r="B26" i="14"/>
  <c r="B30" i="14"/>
  <c r="B36" i="14"/>
  <c r="B39" i="14"/>
  <c r="B42" i="14"/>
  <c r="B48" i="14"/>
  <c r="B50" i="14"/>
  <c r="B55" i="14"/>
  <c r="C646" i="13"/>
  <c r="C647" i="13" s="1"/>
</calcChain>
</file>

<file path=xl/sharedStrings.xml><?xml version="1.0" encoding="utf-8"?>
<sst xmlns="http://schemas.openxmlformats.org/spreadsheetml/2006/main" count="3711" uniqueCount="1919">
  <si>
    <t>화이트박스 테스트</t>
  </si>
  <si>
    <t>기초 경로 검사</t>
  </si>
  <si>
    <t>조건, 루프, 데이터 흐름</t>
  </si>
  <si>
    <t>조건 검사</t>
  </si>
  <si>
    <t>루프 검사</t>
  </si>
  <si>
    <t>데이터 흐름 검사</t>
  </si>
  <si>
    <t>문장,분기,조건,분기/조건 검증 기준</t>
  </si>
  <si>
    <t>문장 검증 기준</t>
  </si>
  <si>
    <t>분기 검증 기준</t>
  </si>
  <si>
    <t>조건 검증 기준</t>
  </si>
  <si>
    <t>분기/ 조건 검증 기준</t>
  </si>
  <si>
    <t>블랙박스 테스트</t>
  </si>
  <si>
    <t>아래 5가지</t>
  </si>
  <si>
    <t>동치 분할 검사</t>
  </si>
  <si>
    <t>경계값 분석</t>
  </si>
  <si>
    <t>오류 예측 검사</t>
  </si>
  <si>
    <t>비교 검사</t>
  </si>
  <si>
    <t>단위 테스트</t>
  </si>
  <si>
    <t>통합 테스트</t>
  </si>
  <si>
    <t>시스템 테스트</t>
  </si>
  <si>
    <t>인수 테스트</t>
  </si>
  <si>
    <t>아래 6가지</t>
  </si>
  <si>
    <t>사용자 인수 테스트</t>
  </si>
  <si>
    <t>운영상의 테스트</t>
  </si>
  <si>
    <t>계약 인수 테스트</t>
  </si>
  <si>
    <t>규정 인수 테스트</t>
  </si>
  <si>
    <t>알파 테스트</t>
  </si>
  <si>
    <t>베타 테스트</t>
  </si>
  <si>
    <t>비점진적 통합방식, 점진적 통합방식</t>
  </si>
  <si>
    <t>비점진적 통합 방식</t>
  </si>
  <si>
    <t>점진적 통합 방식</t>
  </si>
  <si>
    <t>회귀 테스팅</t>
  </si>
  <si>
    <t>빅오 표기법</t>
  </si>
  <si>
    <t>세타 표기법</t>
  </si>
  <si>
    <t>오메가 표기법</t>
  </si>
  <si>
    <t>순환 복잡도</t>
  </si>
  <si>
    <t>스파게티 코드</t>
  </si>
  <si>
    <t>외계인 코드</t>
  </si>
  <si>
    <t>정적, 동적 분석 도구</t>
  </si>
  <si>
    <t>정적 분석 도구</t>
  </si>
  <si>
    <t>동적 분석 도구</t>
  </si>
  <si>
    <t>pmd</t>
  </si>
  <si>
    <t>cppcheck</t>
  </si>
  <si>
    <t>checkstyle</t>
  </si>
  <si>
    <t>ccm</t>
  </si>
  <si>
    <t>cobertura</t>
  </si>
  <si>
    <t>Avalanche</t>
  </si>
  <si>
    <t>Valgrind</t>
  </si>
  <si>
    <t>화이트박스 테스트의 종류</t>
  </si>
  <si>
    <t>제어 구조 검사의 종류 3가지</t>
  </si>
  <si>
    <t>소스 코드의 모든 구문이 한 번 이상 수행되도록 테스트 케이스를 설계함</t>
  </si>
  <si>
    <t>모든 조건문에 대해 True인 경우와 False 인 경우가 한 번 이상 수행되도록 테스트 케이스를 설계.</t>
  </si>
  <si>
    <t>각 기능이 완전히 작동되는 것을 입증하는 테스트</t>
  </si>
  <si>
    <t>블랙박스 테스트의 종류 5가지</t>
  </si>
  <si>
    <t>인수 테스트의 종류 6가지</t>
  </si>
  <si>
    <t>사용자가 시스템 사용의 적절성 여부를 확인함</t>
  </si>
  <si>
    <t>통합 테스트 종류 2가지</t>
  </si>
  <si>
    <t>단계적으로 통합하는 절차 없이 모든 모듈이 미리 결합되어 있는 프로그램 전체를 테스트</t>
  </si>
  <si>
    <t>모듈 단위로 단계적으로 통합하면서 테스트하는 방법</t>
  </si>
  <si>
    <t>통합 테스트로 인해 변경된 모듈이나 컴포넌트에 새로운 오류가 있는지 확인하는 테스트</t>
  </si>
  <si>
    <t>알고리즘의 실행시간이 최악일 때 표기법. 명령어의 실행 횟수는 표기 수치보다 많을 수 없음</t>
  </si>
  <si>
    <t>알고리즘의 실행시간이 평균일 때 표기법</t>
  </si>
  <si>
    <t>알고리즘의 실행시간이 최상일 때 표기법. 명령어의 실행 횟수는 표기 수치보다 적을 수 없음</t>
  </si>
  <si>
    <t>논리적인 복잡도를 측정하기 위한 소프트웨어의 척도</t>
  </si>
  <si>
    <t>코드의 로직이 서로 복잡하게 얽혀 있는 코드</t>
  </si>
  <si>
    <t>아주 오래되거나 참고문서 또는 개발자 없이 유지보수 작업이 어려운 코드</t>
  </si>
  <si>
    <t>소스 코드 품질 분석 도구 유형 두가지</t>
  </si>
  <si>
    <t>작성한 소스 코드를 실행하지 않고 코딩 표준이나 코딩 스타일, 결함 등을 확인</t>
  </si>
  <si>
    <t>작성한 소스 코드를 실행하여 코드에 존재하는 메모리 누수, 스레드 결함 등을 분석</t>
  </si>
  <si>
    <t>소스 코드에 대한 미사용 변수, 최적화되지 않은 코드 등 결함을 유발할 수 있는 코드 검사</t>
  </si>
  <si>
    <t>C/C++ 코드에 대한 메모리 누수, 오버플로우 등 분석</t>
  </si>
  <si>
    <t>중복 코드, 복잡도, 코딩 설계 등을 분석하는 소스 분석 통합 플랫폼</t>
  </si>
  <si>
    <t xml:space="preserve">자바 코드에 대해 소스 코드 표준을 따르고 있는지 검사함. </t>
  </si>
  <si>
    <t>다양한 언어의 코드 복잡도를 분석함</t>
  </si>
  <si>
    <t xml:space="preserve">Valgrind 프레임워크 및 STP 기반으로 구현된 </t>
  </si>
  <si>
    <t>입력 데이터 간의 관계와 출력에 영향을 미치는 상황을 체계적으로 분석한 다음 효용성이 높은 테스트 케이스를 선정하여 검사하는 기법</t>
    <phoneticPr fontId="3" type="noConversion"/>
  </si>
  <si>
    <t>기초 경로 검사, 제어 구조 검사</t>
  </si>
  <si>
    <t>원시 코드의 논리적인 모든 경로를 테스트하여 테스트 케이스를 설계하는 방법</t>
  </si>
  <si>
    <t>테스트 케이스 설계자가 절차적 설계의 논리적 복잡성을 측정할 수 있게 해주는 테스트 기법</t>
  </si>
  <si>
    <t>프로그램 모듈 내에 있는 논리적 조건을 테스트하는 테스트 케이스 설계 기법</t>
  </si>
  <si>
    <t>프로그램의 반복 구조에 초점을 맞춰 실시하는 테스트 케이스 설계 기법</t>
  </si>
  <si>
    <t>화이트박스 테스트의 검증 기준 종류 4가지</t>
  </si>
  <si>
    <t>조건문에 포함된 개별 조건식이 True인 경우와 False인 경우가 한번 이상 수행되도록 테스트케이스를 설계</t>
  </si>
  <si>
    <t>True인 경우와 False인 경우에 따라 조건 검증 기준의 입력 데이터를 구분하는 테스트 케이스 설계함</t>
  </si>
  <si>
    <t>프로그램의 입력 조건에 타당한 입력 자료와 타당하지 않은 입력 자료의 개수를 균등하게 하여 테스트 케이스를 정하고, 해당 입력 자료에 맞는 결과가 출력되는지 확인하는 기법.</t>
    <phoneticPr fontId="3" type="noConversion"/>
  </si>
  <si>
    <t>입력 조건의 경계값을 테스트 케이스로 선정하여 검사하는 기법</t>
  </si>
  <si>
    <t>과거의 경험이나 확인자의 감각으로 테스트하는 기법</t>
  </si>
  <si>
    <t>여러 버전의 프로그램에 동일한 테스트 자료를 제공하여 동일한 결과가 출력되는지 테스트</t>
  </si>
  <si>
    <t>모듈이나 컴포넌트에 초점을 맞춰 테스트</t>
  </si>
  <si>
    <t>단위 테스트가 완료된 모듈들을 결합하여 하나의 시스템으로 완성시키는 과정에서의 테스트</t>
  </si>
  <si>
    <t>개발된 소프트웨어가 완벽하게 수행되는가를 점검하는 테스트</t>
  </si>
  <si>
    <t>사용자의 요구사항을 충족하는지에 중점을 두고 테스트</t>
  </si>
  <si>
    <t>시스템 관리자가 시스템 인수 시 수행하는 테스트 기법</t>
  </si>
  <si>
    <t>계약상의 인수/ 검수 조건을 준수하는지 여부를 확인함</t>
  </si>
  <si>
    <t>소프트웨어가 정부 지침, 법규, 규정 등 규정에 맞게 개발 되었는지 확인함</t>
  </si>
  <si>
    <t xml:space="preserve">개발자의 장소에서 사용자가 개발자 앞에서 행하는 테스트 기법. </t>
  </si>
  <si>
    <t>선정된 최종 사용자가 여러 명의 사용자 앞에서 행하는 테스트 기법</t>
  </si>
  <si>
    <t>자바 언어의 소스 코드 복잡도 분석 및 테스트 커버리지를 측정함</t>
  </si>
  <si>
    <t>프로그램 내에 존재하는 메모리 및 쓰레드 결함 등을 분석함</t>
    <phoneticPr fontId="3" type="noConversion"/>
  </si>
  <si>
    <t>SonarQube</t>
    <phoneticPr fontId="3" type="noConversion"/>
  </si>
  <si>
    <t>오류 예측 검사</t>
    <phoneticPr fontId="3" type="noConversion"/>
  </si>
  <si>
    <t>비교 검사</t>
    <phoneticPr fontId="3" type="noConversion"/>
  </si>
  <si>
    <t>통합 테스트</t>
    <phoneticPr fontId="3" type="noConversion"/>
  </si>
  <si>
    <t>시스템 테스트</t>
    <phoneticPr fontId="3" type="noConversion"/>
  </si>
  <si>
    <t>인수 테스트</t>
    <phoneticPr fontId="3" type="noConversion"/>
  </si>
  <si>
    <t>계약 인수 테스트</t>
    <phoneticPr fontId="3" type="noConversion"/>
  </si>
  <si>
    <t>규정 인수 테스트</t>
    <phoneticPr fontId="3" type="noConversion"/>
  </si>
  <si>
    <t>알파 테스트</t>
    <phoneticPr fontId="3" type="noConversion"/>
  </si>
  <si>
    <t>베타 테스트</t>
    <phoneticPr fontId="3" type="noConversion"/>
  </si>
  <si>
    <t>회귀 테스팅</t>
    <phoneticPr fontId="3" type="noConversion"/>
  </si>
  <si>
    <t>빅오 표기법</t>
    <phoneticPr fontId="3" type="noConversion"/>
  </si>
  <si>
    <t>세타 표기법</t>
    <phoneticPr fontId="3" type="noConversion"/>
  </si>
  <si>
    <t>오메가 표기법</t>
    <phoneticPr fontId="3" type="noConversion"/>
  </si>
  <si>
    <t>스파게티 코드</t>
    <phoneticPr fontId="3" type="noConversion"/>
  </si>
  <si>
    <t>외계인 코드</t>
    <phoneticPr fontId="3" type="noConversion"/>
  </si>
  <si>
    <t>정적 분석 도구</t>
    <phoneticPr fontId="3" type="noConversion"/>
  </si>
  <si>
    <t>동적 분석 도구</t>
    <phoneticPr fontId="3" type="noConversion"/>
  </si>
  <si>
    <t>pmd</t>
    <phoneticPr fontId="3" type="noConversion"/>
  </si>
  <si>
    <t>cppcheck</t>
    <phoneticPr fontId="3" type="noConversion"/>
  </si>
  <si>
    <t>checkstyle</t>
    <phoneticPr fontId="3" type="noConversion"/>
  </si>
  <si>
    <t>데이터베이스</t>
  </si>
  <si>
    <t>공동으로 사용될 데이터를 중복을 배제하여 통합하고, 저장장치에 저장하여 항상 사용할 수 있도록 운영하는 운영 데이터</t>
  </si>
  <si>
    <t>DBMS</t>
  </si>
  <si>
    <t>사용자의 요구에 따라 정보를 생성해주고, 데이터베이스를 관리해주는 소프트웨어</t>
  </si>
  <si>
    <t>정의, 조작, 제어</t>
  </si>
  <si>
    <t>DBMS 필수 기능 3가지</t>
  </si>
  <si>
    <t>논리적 독립성</t>
  </si>
  <si>
    <t xml:space="preserve">응용 프로그램과 데이터베이스 독립, 데이터 논리적 구조를 변경시켜도 응용프로그램은 영향 받지 x </t>
  </si>
  <si>
    <t>물리적 독립성</t>
  </si>
  <si>
    <t>응용 프로그램과 물리적 장치를 독립, 디스크를 추가/변경하더라도 응용 프로그램은 영향을 받지 x</t>
  </si>
  <si>
    <t>스키마</t>
  </si>
  <si>
    <t>데이터베이스의 구조와 제약조건에 관한 전반적인 명세를 기술한 것</t>
  </si>
  <si>
    <t>외부 스키마</t>
  </si>
  <si>
    <t>개념 스키마</t>
  </si>
  <si>
    <t>내부 스키마</t>
  </si>
  <si>
    <t>데이터베이스를 사용할 사람들로부터 필요한 용도를 파악하는 것</t>
  </si>
  <si>
    <t>개념적 설계</t>
  </si>
  <si>
    <t xml:space="preserve">현실 세계에 대한 인식을 추상적인 개념으로 표현하는 과정 </t>
  </si>
  <si>
    <t>논리적 설계</t>
  </si>
  <si>
    <t>현실 세계에서 발생하는 자료를 특정 DBMS가 지원하는 논리적 자료 구조로 변환시키는 과정</t>
  </si>
  <si>
    <t>물리적 설계</t>
  </si>
  <si>
    <t>논리적 구조로 표현된 데이터를 물리적 구조의 데이터로 변환하는 과정</t>
  </si>
  <si>
    <t>데이터베이스 구현</t>
  </si>
  <si>
    <t>논리적 설계와 물리적 설계에서 도출된 데이터베이스 스키마를 파일로 생성하는 과정</t>
  </si>
  <si>
    <t>데이터 모델</t>
  </si>
  <si>
    <t>데이터 모델 구성 요소 3가지</t>
  </si>
  <si>
    <t>개념적, 논리적, 물리적</t>
  </si>
  <si>
    <t>데이터 모델 종류 3가지</t>
  </si>
  <si>
    <t>구조, 연산, 제약조건</t>
  </si>
  <si>
    <t>데이터 모델에 표시할 요소 3가지</t>
  </si>
  <si>
    <t>개념적 데이터 모델</t>
  </si>
  <si>
    <t>현실 세계에 대한 인식을 추상적 개념으로 표현하는 과정</t>
  </si>
  <si>
    <t>논리적 데이터 모델</t>
  </si>
  <si>
    <t>개념적 구조를 컴퓨터 세계의 환경에 맞도록 변환하는 과정</t>
  </si>
  <si>
    <t>E-R 모델</t>
  </si>
  <si>
    <t>개체와 개체 간의 관계를 기본 요소로 이용해 현실 세계의 무질서한 데이터를 개념적인 논리 데이터로 표현하기 위한 방법</t>
  </si>
  <si>
    <t>개체, 관계, 속성</t>
  </si>
  <si>
    <t>E-R 모델 데이터 표현 구분 3가지</t>
  </si>
  <si>
    <t>관계형 데이터베이스</t>
  </si>
  <si>
    <t>2차원적인 표(Table)를 이용해서 데이터 상호 관계를 정의하는 데이터베이스</t>
  </si>
  <si>
    <t>튜플</t>
  </si>
  <si>
    <t>릴레이션을 구성한는 각각의 행</t>
  </si>
  <si>
    <t>속성</t>
  </si>
  <si>
    <t>데이터베이스를 구성하는 가장 작은 논리적 단위</t>
  </si>
  <si>
    <t>도메인</t>
  </si>
  <si>
    <t>하나의 애트리뷰트가 취할 수 있는 같은 타입의 원자 값들의 집합</t>
  </si>
  <si>
    <t>관계형 데이터 모델</t>
  </si>
  <si>
    <t>2차원적인  표(Table)를 이용해서 데이터 상호 관계를 정의하는 DB구조</t>
  </si>
  <si>
    <t>후보키</t>
  </si>
  <si>
    <t>속성들 중에서 튜플을 유일하게 식별하기 위해 사용되는 속성들의 부분집합. 유일성과 최소성 만족</t>
  </si>
  <si>
    <t>기본키</t>
  </si>
  <si>
    <t>후보키 중에서 특별히 선정된 주키(Main Key)</t>
  </si>
  <si>
    <t>대체키</t>
  </si>
  <si>
    <t>후보키가 둘 이상일 때 기본키를 제외한 나머지 후보키</t>
  </si>
  <si>
    <t>슈퍼키</t>
  </si>
  <si>
    <t>속성들의 집합으로 구성된 키</t>
  </si>
  <si>
    <t>외래키</t>
  </si>
  <si>
    <t>다른 릴레이션의 기본키를 참조하는 속성 또는 속성들의 집합</t>
  </si>
  <si>
    <t>관계대수</t>
  </si>
  <si>
    <t>원하는 정보와 그 정보를 검색하기 위해서 어떻게 유도하는 가를 기술하는 절차적인 언어</t>
  </si>
  <si>
    <t>select</t>
  </si>
  <si>
    <t>선택 조건을 만족하는 튜플의 부분집합을 구하여 새로운 릴레이션을 만드는 연산. 수평 연산자</t>
  </si>
  <si>
    <t>project</t>
  </si>
  <si>
    <t>속성 리스트에 제시된 속성 값만을 추출하여 새로운 릴레이션을 만드는 연산. 중복 제거. 수직 연산자</t>
  </si>
  <si>
    <t>join</t>
  </si>
  <si>
    <t>공통 속성을 중심으로 두 개의 릴레이션을 하나로 합쳐서 새로운 릴레이션을 만드는 연산</t>
  </si>
  <si>
    <t>division</t>
  </si>
  <si>
    <t>R이 S의 속성값을 모두 가진 튜플에서 S가 가진 속성을 제외한 속성만을 구하는 연산</t>
  </si>
  <si>
    <t>일반 집합 연산자 4가지 종류</t>
  </si>
  <si>
    <t>관계해석</t>
  </si>
  <si>
    <t>관계 데이터의 연산을 표현하는 방법</t>
  </si>
  <si>
    <t>정규화</t>
  </si>
  <si>
    <t>테이블의 속성들이 상호 종속적인 관계를 갖는 특성을 이용하여 테이블을 무손실 분해하는 과정</t>
  </si>
  <si>
    <t>반정규화</t>
  </si>
  <si>
    <t>정규화된 데이터 모델을 의도적으로 통합, 중복, 분리하여 정규화 원칙을 위해하는 행위</t>
  </si>
  <si>
    <t>수평분할</t>
  </si>
  <si>
    <t>레코드(Record)를 기준으로 테이블을 분할하는 것</t>
  </si>
  <si>
    <t>수직분할</t>
  </si>
  <si>
    <t>하나의 테이블에 속성이 너무 많을 경우 속성을 기준으로 테이블을 분할하는 것</t>
  </si>
  <si>
    <t>트랜잭션</t>
  </si>
  <si>
    <t>논리적 기능을 수행하기 위한 작업의 단위 또는 한꺼번에 모두 수행되어야 할 일련의 연산</t>
  </si>
  <si>
    <t>원자성</t>
  </si>
  <si>
    <t>트랜잭션의 연산은 데이터베이스에 모두 반영되도록 완료되든지 전혀 반영되지 않도록 복구되어야 함</t>
  </si>
  <si>
    <t>일관성</t>
  </si>
  <si>
    <t>트랜잭션이 그 실행을 성공적으로 완료하면 언제나 일관성 있는 데이터베이스 상태로 변환함</t>
  </si>
  <si>
    <t>독립성</t>
  </si>
  <si>
    <t>어느 하나의 트랜잭션 실행 중에 다른 트랜잭션의 연산이 끼어들 수 없음</t>
  </si>
  <si>
    <t>영속성 / 지속성</t>
  </si>
  <si>
    <t>성공적으로 완료된 트랜잭션의 결과는 시스템이 고장 나더라도 영구적으로 반영되어야 함</t>
  </si>
  <si>
    <t>트랜잭션 분석</t>
  </si>
  <si>
    <t>프로세스와 테이블 간에 CRUD 매트릭스를 만들어서 트랜잭션을 분석하는 것</t>
  </si>
  <si>
    <t>CRUD 매트릭스</t>
  </si>
  <si>
    <t>프로세스와 데이터 간의 관계를 분석하는 분석표</t>
  </si>
  <si>
    <t>CRUD 분석</t>
  </si>
  <si>
    <t>CRUD 매트릭스를 기반으로 테이블에 발생하는 트랜잭션 양을 분석하여 테이블에 저장되는 데이터의 양을 유추하고 이를 근거로 DB의 용량 산정 및 구조의 최적화</t>
  </si>
  <si>
    <t>뷰</t>
  </si>
  <si>
    <t>하나 이상의 기본 테이블로부터 유도된 가상 테이블</t>
  </si>
  <si>
    <t>클러스터</t>
  </si>
  <si>
    <t>동일한 성격의 데이터를 동일한 데이터 블록에 저장하는 물리적 저장 방법</t>
  </si>
  <si>
    <t>접근통제</t>
  </si>
  <si>
    <t>데이터가 저장된 객체와 이를 사용하려는 주체 사이의 정보 흐름을 제한하는 것</t>
  </si>
  <si>
    <t>임의 접근 통제 DAC</t>
  </si>
  <si>
    <t>데이터에 접근하려는 사용자의 신원에 따라 접근 권한을 부여하는 방식</t>
  </si>
  <si>
    <t>강제 접근통제 MAC</t>
  </si>
  <si>
    <t>주체와 객체의 등급을 비교하여 접근 권한을 부여하는 방식</t>
  </si>
  <si>
    <t>역할 기반 접근 통제 RBAC</t>
  </si>
  <si>
    <t>사용자의 역할에 따라 접근 권한을 부여하는 방식</t>
  </si>
  <si>
    <t>신분 기반 정책</t>
  </si>
  <si>
    <t>주체나 그룹의 신분에 근거하여 객체의 접근을 제한하는 방법으로, IBP와 GBP가 있음</t>
  </si>
  <si>
    <t>규칙 기반 정책</t>
  </si>
  <si>
    <t>주체가 갖는 권한에 근거하여 객체의 접근을 제한하는 방법으로 MLP와 CBP가 있음</t>
  </si>
  <si>
    <t>역할 기반 정책</t>
  </si>
  <si>
    <t>GBP의 변형된 정책으로, 주체의 신분이 아니라 주체가 맡은 역할에 근거하여 객체의 접근을 제한하는 방법</t>
  </si>
  <si>
    <t>정책, 메커니즘, 보안모델</t>
  </si>
  <si>
    <t>접근통제의 3요소</t>
  </si>
  <si>
    <t>접근통제 메커니즘</t>
  </si>
  <si>
    <t>정의된 접근통제 정책을 구현하는 기술적인 방법</t>
  </si>
  <si>
    <t>접근통제 보안 모델 3가지</t>
  </si>
  <si>
    <t>기밀성 모델</t>
  </si>
  <si>
    <t>군사적인 목적으로 개발된 최초의 수학적 모델</t>
  </si>
  <si>
    <t>무결성 모델</t>
  </si>
  <si>
    <t>기밀성 모델에서 발생하는 불법적인 정보 변경을 방지하기 위해 무결성을 기반으로 개발된 모델</t>
  </si>
  <si>
    <t>접근통제 모델</t>
  </si>
  <si>
    <t>접근통제 메커니즘을 보안 모델로 발전시킨 것. 접근통제 행렬이 있음</t>
  </si>
  <si>
    <t>접근통제 행렬</t>
  </si>
  <si>
    <t>값 종속 통제</t>
  </si>
  <si>
    <t>객체에 저장된 값에 따라 다르게 접근통제를 허용해야 하는 경우</t>
  </si>
  <si>
    <t>다중사용자 통제</t>
  </si>
  <si>
    <t>지정된 객체에 다수의 사용자가 동시에 접근을 요구하는 경우</t>
  </si>
  <si>
    <t>컨텍스트 기반 통제</t>
  </si>
  <si>
    <t>특정 시간, 네트워크 주소, 접근 경로, 인증 수준 등에 근거하여 접근을 제어하는 방법</t>
  </si>
  <si>
    <t>감사 추적</t>
  </si>
  <si>
    <t>사용자 애플리케이션이 데이터베이스에 접근하여 수행한 모든 활동을 기록하는 기능</t>
  </si>
  <si>
    <t>트리</t>
  </si>
  <si>
    <t>정점(노드)와 선분(가지)을 이용하여 사이클을 이루지 않도록 구성한 그래프의 특수한 형태</t>
  </si>
  <si>
    <t>이진 트리</t>
  </si>
  <si>
    <t>차수(Degree)가 2 이하인 노드들로 구성된 트리</t>
  </si>
  <si>
    <t>삽입정렬</t>
  </si>
  <si>
    <t>이미 순서화된 파일에 새로운 하나의 레코드를 순서에 맞게 삽입시켜 정렬하는 방식</t>
  </si>
  <si>
    <t>선택정렬</t>
  </si>
  <si>
    <t>최솟값을 찾아 첫 번째 레코드 위치, 다시 최솟값을 찾아 두번째 레코드 위치에 놓는 방식 반복하여 정렬</t>
  </si>
  <si>
    <t>버블정렬</t>
  </si>
  <si>
    <t>인접한 두 개의 레코드 키값을 비교하여 그 크기에 따라 레코드 위치를 서로 교환하는 정렬 방식</t>
  </si>
  <si>
    <t>쉘정렬</t>
  </si>
  <si>
    <t>매개변수의 값으로 서브파일을 구성하고, 각 서브파일을 Insertion 정렬 방식으로 순서 배열하는 정렬 방식</t>
  </si>
  <si>
    <t>퀵정렬</t>
  </si>
  <si>
    <t>키를 기준으로 작은 값은 왼쪽, 큰 값은 오른쪽 서브 파일에 분해시키는 정렬 방식</t>
  </si>
  <si>
    <t>힙정렬</t>
  </si>
  <si>
    <t>전이진 트리를 이용한 정렬 방식</t>
  </si>
  <si>
    <t>2-way 합병 정렬</t>
  </si>
  <si>
    <t>이미 정렬되어 있는 두 개의 파일을 한 개의 파일로 합병하는 정렬 방식</t>
  </si>
  <si>
    <t>기수정렬</t>
  </si>
  <si>
    <t>Queue를 이용하여 자릿수(Digit) 별로 정렬하는 방식</t>
  </si>
  <si>
    <t>사용자 인터페이스 기본 원칙 4가지</t>
  </si>
  <si>
    <t>union, intersection, difference, cartesian product</t>
    <phoneticPr fontId="3" type="noConversion"/>
  </si>
  <si>
    <t>객체 지향</t>
  </si>
  <si>
    <t>각 요소들을 객체로 만든 후, 객체들을 조립해서 소프트웨어를 개발하는 기법</t>
  </si>
  <si>
    <t>객체, 클래스, 메시지</t>
  </si>
  <si>
    <t>객체지향 구성 요소 3가지</t>
  </si>
  <si>
    <t>캡슐화, 상속, 다형성, 연관성</t>
  </si>
  <si>
    <t>객체지향 특징 4가지</t>
  </si>
  <si>
    <t>객체</t>
  </si>
  <si>
    <t>데이터와 이를 처리하기 위한 함수를 묶어 놓은 소프트웨어 모듈</t>
  </si>
  <si>
    <t>클래스</t>
  </si>
  <si>
    <t>공통된 속성과 연산을 갖는 객체의 집합</t>
  </si>
  <si>
    <t>메시지</t>
  </si>
  <si>
    <t>객체들 간의 상호작용에 사용되는 수단으로, 객체의 동작이나 연산을 일으키는 외부의 요구 사항</t>
  </si>
  <si>
    <t>캡슐화</t>
  </si>
  <si>
    <t>외부에서의 접근을 제한하기 위해 인터페이스를 제외한 세부 내용을 은닉 하는 것</t>
  </si>
  <si>
    <t>상속</t>
  </si>
  <si>
    <t>상위 클래스의 모든 속성과 연산을 하위 클래스가 물려받는 것</t>
  </si>
  <si>
    <t>다형성</t>
  </si>
  <si>
    <t>하나의 메시지에 대해 각각의 객체가 고유한 방법으로 응답할 수 있는 능력</t>
  </si>
  <si>
    <t>연관성</t>
  </si>
  <si>
    <t>두 개 이상의 객체들의 상호 참조하는 관계</t>
  </si>
  <si>
    <t>연관화</t>
  </si>
  <si>
    <t>2개 이상의 객체가 상호 관련되어 있음을 의미</t>
  </si>
  <si>
    <t>분류화</t>
  </si>
  <si>
    <t>동일한 형의 특성을 갖는 객체들을 모아 구성하는 것</t>
  </si>
  <si>
    <t>집단화</t>
  </si>
  <si>
    <t>관련 있는 객체들을 묶어 하나의 상위 객체를 구성하는 것</t>
  </si>
  <si>
    <t>일반화</t>
  </si>
  <si>
    <t>공통적인 성질들로 추상화한 상위 객체를 구성하는 것</t>
  </si>
  <si>
    <t>특수화 / 상세화</t>
  </si>
  <si>
    <t>상위 객체를 구체화하여 하위 객체를 구성하는 것</t>
  </si>
  <si>
    <t>객체지향 분석(OOA)</t>
  </si>
  <si>
    <t>사용자의 요구사항과 관련된 객체, 속성, 연산, 관계 등을 정의하여 모델링하는 작업</t>
  </si>
  <si>
    <t>럼바우 방법</t>
  </si>
  <si>
    <t>분석 활동을 객체 모델, 동적 모델, 기능 모델로 나누어 수행함</t>
  </si>
  <si>
    <t>부치 방법</t>
  </si>
  <si>
    <t>미시적(Micro) 개발 프로세스와 거시적(Macro) 개발 프로세스를 모두 사용</t>
  </si>
  <si>
    <t>jacobson방법</t>
  </si>
  <si>
    <t>유스케이스(Use Case)를 강조하여 사용함</t>
  </si>
  <si>
    <t>coad yourdon 방법</t>
  </si>
  <si>
    <t>E-R 다이어그램을 사용하여 객체의 행위를 모델링 함</t>
  </si>
  <si>
    <t>wirfs-brock 방법</t>
  </si>
  <si>
    <t>분석과 설계 간의 구분이 없고, 고객 명세서를 평가해서 설계 작업까지 연속적으로 수행함</t>
  </si>
  <si>
    <t>객체&gt;동적&gt;기능</t>
  </si>
  <si>
    <t>럼바우 분석 활동 순서</t>
  </si>
  <si>
    <t>객체 모델링</t>
  </si>
  <si>
    <t>정보 모델링, 속성과 연산 식별 및 객체들 간의 관계를 규정하여 객체 다이어그램으로 표시하는 것</t>
  </si>
  <si>
    <t>동적 모델링</t>
  </si>
  <si>
    <t>상태 다이어그램을 이용하여 시간의 흐름에 따른 객체들 간의 동적인 행위를 표현하는 모델링</t>
  </si>
  <si>
    <t>기능 모델링</t>
  </si>
  <si>
    <t>자료 흐름도(DFD)를 이용하여 다수의 프로세스들 간의 자료 흐름을 중심으로 처리 과정을 표현한 모델링</t>
  </si>
  <si>
    <t>SOLID 원칙</t>
  </si>
  <si>
    <t>객체지향 설계 원칙</t>
  </si>
  <si>
    <t>단일 책임 원칙</t>
  </si>
  <si>
    <t>객체는 단 하나의 책임만 가져야 한다는 원칙</t>
  </si>
  <si>
    <t>개방-폐쇄 원칙</t>
  </si>
  <si>
    <t>기존의 코드를 변경하지 않고 기능을 추가할 수 있도록 설계해야 한다는 원칙</t>
  </si>
  <si>
    <t>리스코프 치환 원칙</t>
  </si>
  <si>
    <t>자식 클래스는 최소한 부모 클래스의 기능은 수행할 수 있어야 한다는 원칙</t>
  </si>
  <si>
    <t>인터페이스 분리 원칙</t>
  </si>
  <si>
    <t>자신이 사용하지 않는 인터페이스와 의존 관계를 맺거나 영향을 받지 않아야 한다는 원칙</t>
  </si>
  <si>
    <t>의존 역전 원칙</t>
  </si>
  <si>
    <t>의존 관계 성립 시 추상성이 높은 클래스와 의존 관계를 맺어야 한다는 원칙</t>
  </si>
  <si>
    <t>모듈</t>
  </si>
  <si>
    <t>모듈화를 통해 분리된 시스템의 각 기능</t>
  </si>
  <si>
    <t>결합도</t>
  </si>
  <si>
    <t>모듈 간에 상호 의존하는 정도</t>
  </si>
  <si>
    <t>내용 결합도</t>
  </si>
  <si>
    <t>한 모듈이 다른 모듈의 내부 기능 및 그 내부 자료를 직접 참조하거나 수정할 때의 결합도</t>
  </si>
  <si>
    <t>공통 결합도</t>
  </si>
  <si>
    <t>공유되는 공통 데이터 영역을 여러 모듈이 사용할 때의 결합도</t>
  </si>
  <si>
    <t>외부 결합도</t>
  </si>
  <si>
    <t>어떤 모듈에서 선언한 데이터(변수)를 외부의 다른 모듈에서 참조할 때의 결합도</t>
  </si>
  <si>
    <t>제어 결합도</t>
  </si>
  <si>
    <t>어떤 모듈이 다른 모듈 내부의 논리적인 흐름을 제어하기 위해 제어 신호나 제어 요소를 전달하는 결합도</t>
  </si>
  <si>
    <t>스탬프 결합도</t>
  </si>
  <si>
    <t>모듈 간의 인터페이스로 배열이나 레코드 등의 자료 구조가 전달될 때의 결합도</t>
  </si>
  <si>
    <t>자료 결합도</t>
  </si>
  <si>
    <t>모듈 간의 인터페이스가 자료 요소로만 구성될 때의 결합도</t>
  </si>
  <si>
    <t>응집도</t>
  </si>
  <si>
    <t>모듈의 내부 요소들이 서로 관련되어 있는 정도</t>
  </si>
  <si>
    <t>기능적 응집도</t>
  </si>
  <si>
    <t>모듈 내부의 모든 기능 요소들이 단일 무제와 연관되어 수행될 경우의 응집도</t>
  </si>
  <si>
    <t>순차적 응집도</t>
  </si>
  <si>
    <t>모듈 내 하나의 활동으로부터 나온 출력 데이터를 그 다음 활동의 입력 데이터로 사용할 경우의 응집도</t>
  </si>
  <si>
    <t>교환적 응집도</t>
  </si>
  <si>
    <t>동일한 입력과 출력을 사용하여 서로 다른 기능을 수행하는 구성 요소들이 모였을 경우의 응집도</t>
  </si>
  <si>
    <t>절차적 응집도</t>
  </si>
  <si>
    <t>모듈이 다수의 관련 기능을 가질 때 모듈 안의 구성 요소들이 그 기능을 순차적으로 수행할 경우의 응집도</t>
  </si>
  <si>
    <t>시간적 응집도</t>
  </si>
  <si>
    <t>특정 시간에 처리되는 몇 개의 기능을 모아 하나의 모듈로 작성할 경우의 응집도</t>
  </si>
  <si>
    <t>논리적 응집도</t>
  </si>
  <si>
    <t>유사한 성격을 갖거나 특정 형태로 분류되는 처리 요소들로 하나의 모듈이 형성되는 경우의 응집도</t>
  </si>
  <si>
    <t>우연적 응집도</t>
  </si>
  <si>
    <t>모듈 내부의 각 구성 요소들이 서로 관련 없는 요소로만 구성된 경우의 응집도</t>
  </si>
  <si>
    <t>팬인</t>
  </si>
  <si>
    <t>어떤 모듈을 제어하는 모듈의 수</t>
  </si>
  <si>
    <t>팬아웃</t>
  </si>
  <si>
    <t>어떤 모듈에 의해 제어되는 모듈의 수</t>
  </si>
  <si>
    <t>N-S 차트</t>
  </si>
  <si>
    <t>논리의 기술에 중점을 두고 도형을 이용해 표현하는 방법</t>
  </si>
  <si>
    <t>단위 모듈</t>
  </si>
  <si>
    <t>한 가지 동작을 수행하는 기능을 모듈로 구현한 것</t>
  </si>
  <si>
    <t>IPC</t>
  </si>
  <si>
    <t>모듈 간 통신 방식을 구현하기 위해 사용되는 대표적인 프로그래밍 인터페이스 집합</t>
  </si>
  <si>
    <t>아래의 5가지</t>
  </si>
  <si>
    <t>IPC 대표 메소드 5가지</t>
  </si>
  <si>
    <t>shared memory</t>
  </si>
  <si>
    <t>공유 가능한 메모리를 구성하여 다수의 프로세스가 통신하는 방식</t>
  </si>
  <si>
    <t>socket</t>
  </si>
  <si>
    <t>네트워크 소켓을 이용하여 네트워크를 경우하는 프로세스 간에 통신하는 방식</t>
  </si>
  <si>
    <t>semaphores</t>
  </si>
  <si>
    <t>공유 자원에 대한 접근 제어를 통해 통신하는 방식</t>
  </si>
  <si>
    <t>pipes&amp;named pipes</t>
  </si>
  <si>
    <t>‘Pipe’라고 불리는 선입선출 형태의 메모리를 여러 프로세스가 공유하여 통신하는 방식. 하나씩</t>
  </si>
  <si>
    <t>message queueing</t>
  </si>
  <si>
    <t>메시지가 발생하면 이를 전달하는 방식으로 통신하는 방식</t>
  </si>
  <si>
    <t>단위 모듈 테스트</t>
  </si>
  <si>
    <t>모듈이 정해진 기능을 정확히 수행하는지 검증하는 것</t>
  </si>
  <si>
    <t>테스트 케이스</t>
  </si>
  <si>
    <t>소프트웨어가 사용자의 요구사항을 정확하게 준수했는지를 확인하기 위한 테스트 항목에 대한 명세서</t>
  </si>
  <si>
    <t>코드</t>
  </si>
  <si>
    <t>자료의 분류. 조합. 집계. 추출을 용이하게 하기 위해 사용하는 기호</t>
  </si>
  <si>
    <t>순차 코드</t>
  </si>
  <si>
    <t>최초의 자료부터 차례로 일련번호를 부여하는 방법으로, 순서 코드 or 일련번호 코드라고도 함</t>
  </si>
  <si>
    <t>블록 코드</t>
  </si>
  <si>
    <t>공통성이 있는 것끼리 블록으로 구분하고, 각 블록 내에서 일련번호를 부여하는 방법. 구분 코드</t>
  </si>
  <si>
    <t>이진 코드</t>
  </si>
  <si>
    <t>코드화 대상 항목을 0~9까지 10진 분할하고, 다시 각각에 대해 10진 분할 반복. 도서 분류식 코드</t>
  </si>
  <si>
    <t>그룹 분류 코드</t>
  </si>
  <si>
    <t>코드화 대상 항목을 일정 기준에 따라 구분하고, 각 그룹 안에서 일련번호 부여하는 방법</t>
  </si>
  <si>
    <t>연상 코드</t>
  </si>
  <si>
    <t>코드화 대상 항목의 명칭이나 약호와 관계있는 숫자나 문자, 기호를 이용하여 코드를 부여하는 방법</t>
  </si>
  <si>
    <t>표의 숫자 코드</t>
  </si>
  <si>
    <t>코드화 대상 항목의 물리적 수치를 그대로 코드에 적용시키는 방법으로, 유효 숫자 코드라고도 함</t>
  </si>
  <si>
    <t>합병 코드</t>
  </si>
  <si>
    <t>필요한 기능을 하나의 코드 수행하기 어려운 경우 2개 이상의 코드를 조합하여 만드는 방법</t>
  </si>
  <si>
    <t>디자인 패턴</t>
  </si>
  <si>
    <t>모듈 간의 관계 및 인터페이스를 설계할 때 참조할 수 있는 전형적인 해결 방식 또는 예제</t>
  </si>
  <si>
    <t>생성, 구조, 행위</t>
  </si>
  <si>
    <t>디자인 패턴의 구분 3가지</t>
  </si>
  <si>
    <t>생성 패턴</t>
  </si>
  <si>
    <t>클래스나 객체의 생성과 참조 과정을 정의하는 패턴</t>
  </si>
  <si>
    <t>추상 메소드</t>
  </si>
  <si>
    <t>인터페이스를 통해 서로 연관 의존하는 객체들의 그룹으로 생성하여 추상적으로 표현함</t>
  </si>
  <si>
    <t>빌더</t>
  </si>
  <si>
    <t>작게 분리된 인스턴스를 건축 하듯이 조합하여 객체를 생성함</t>
  </si>
  <si>
    <t>팩토리 메소드</t>
  </si>
  <si>
    <t>상위 클래스에서 인터페이스만 정의하고 분리하여 캡슐화한 패턴</t>
  </si>
  <si>
    <t>프로토타입</t>
  </si>
  <si>
    <t>원본 객체를 복제하는 방법으로 객체를 생성하는 패턴</t>
  </si>
  <si>
    <t>싱글톤</t>
  </si>
  <si>
    <t>하나의 객체를 생성하면 생성된 객체를 어디서든 참조할 수 있지만, 여러 프로세스가 동시에 참조 x</t>
  </si>
  <si>
    <t>구조 패턴</t>
  </si>
  <si>
    <t>클래스나 객체들을 조합하여 더 큰 구조를 만드는 패턴</t>
  </si>
  <si>
    <t>어댑터</t>
  </si>
  <si>
    <t>호환성이 없는 클래스의 인터페이스를 다른 클래스가 이용할 수 있도록 변환해주는 패턴</t>
  </si>
  <si>
    <t>브리지</t>
  </si>
  <si>
    <t>구현부에서 추상층을 분리하여, 서로가 독립적으로 확장할 수 있도록 구성한 패턴</t>
  </si>
  <si>
    <t>컴포지트</t>
  </si>
  <si>
    <t>여러 객체를 가진 복합 객체와 단일 객체를 구분 없이 다루고자 할 때 사용하는 패턴</t>
  </si>
  <si>
    <t>데코레이터</t>
  </si>
  <si>
    <t>객체 간의 결합을 통해 능동적으로 기능들을 확장할 수 있는 패턴</t>
  </si>
  <si>
    <t>퍼싸드</t>
  </si>
  <si>
    <t>복잡한 서브 클래스를 피해 더 상위에 인터페이스 구성함. 서브클래스들의 기능을 간편하게 사용</t>
  </si>
  <si>
    <t>플라이웨이트</t>
  </si>
  <si>
    <t>인스턴스가 필요할 때마다 매번 생성하는 것이 아니고 가능한 한 공유해서 사용</t>
  </si>
  <si>
    <t>프록시</t>
  </si>
  <si>
    <t>접근이 어려운 객체와 여기에 연결하려는 객체 사이에서 인터페이스 역할을 수행하는 패턴</t>
  </si>
  <si>
    <t>행위 패턴</t>
  </si>
  <si>
    <t>클래스나 객체들이 서로 상호작용하는 방법이나 책임 분배 방법을 정의하는 패턴</t>
  </si>
  <si>
    <t>책임 연쇄</t>
  </si>
  <si>
    <t>한 객체가 처리하지 못하면 다음 객체로 넘어가는 형태의 패턴</t>
  </si>
  <si>
    <t>커맨드</t>
  </si>
  <si>
    <t>요청을 객체 형태로 캡슐화하여 재이용하거나 취소할 수 있도록 필요한 정보를 저장하거나 로그에 남기는 패턴</t>
  </si>
  <si>
    <t>인터프리터</t>
  </si>
  <si>
    <t>언어에 문법 표현을 정의하는 패턴</t>
  </si>
  <si>
    <t>반복자</t>
  </si>
  <si>
    <t>자료 구조와 같이 접근이 잦은 객체에 대해 동일한 인터페이스를 사용하도록 하는 패턴</t>
  </si>
  <si>
    <t>중재자</t>
  </si>
  <si>
    <t>수많은 객체들 간의 복잡한 상호작용을 캡슐화하여 객체로 정의하는 패턴</t>
  </si>
  <si>
    <t>메멘토</t>
  </si>
  <si>
    <t>특정 시점에서의 객체 내부 상태를 객체화함으로써 객체를 해당 시점의 상태로 돌릴 수 있는 기능을 제공</t>
  </si>
  <si>
    <t>옵서버</t>
  </si>
  <si>
    <t>한 객체의 상태가 변화하면 객체에 상속되어 있는 다른 객체들에게 변화된 상태를 전달하는 패턴</t>
  </si>
  <si>
    <t>상태</t>
  </si>
  <si>
    <t>객체의 상태에 따라 동일한 동작을 다르게 처리해야 할 때 사용하는 패턴</t>
  </si>
  <si>
    <t>전략</t>
  </si>
  <si>
    <t>동일한 계열의 알고리즘들을 개별적으로 캡슐화하여 상호 교환할 수 있게 정의하는 패턴</t>
  </si>
  <si>
    <t>템플릿 메소드</t>
  </si>
  <si>
    <t>상위 클래스에서 골격을 정의하고, 하위 클래스에서 세부 처리를 구체화</t>
  </si>
  <si>
    <t>배치 프로그램</t>
  </si>
  <si>
    <t>여러 작업들을 미리 정해진 일련의 순서에 따라 일괄적으로 처리하도록 만든 프로그램</t>
  </si>
  <si>
    <t>배치 스케줄러</t>
  </si>
  <si>
    <t>일괄 처리(Batch Processing) 작업이 설정된 주기에 맞춰서 자동으로 수행되도록 지원해주는 도구</t>
  </si>
  <si>
    <t>spring 배치</t>
  </si>
  <si>
    <t>Spring Source 사와 Accenture 사가 2007년 공동 개발한 오픈 소스 프레임워크</t>
  </si>
  <si>
    <t>Quartz</t>
  </si>
  <si>
    <t>스프링 프레임워크로 개발되는 응용 프로그램들의 일괄 처리를 위한 기능을 제공하는 오픈 소스 라이브러리</t>
  </si>
  <si>
    <t>리눅스의 기본 스케줄러 도구. crontab 명령어를 통해 작업 예약할 수 있음</t>
  </si>
  <si>
    <t>Secure SDLC</t>
  </si>
  <si>
    <t>SDLC에 보안 강화를 위한 프로세스를 포함한 것</t>
  </si>
  <si>
    <t>CLASP,SDL,SevenTouchpoints</t>
  </si>
  <si>
    <t>Secure SDLC의 대표적인 방법론</t>
  </si>
  <si>
    <t>요구사항 분석, 설계, 구현, 테스트, 유지보수</t>
  </si>
  <si>
    <t>SDLC 단계별 보안 활동</t>
  </si>
  <si>
    <t>기밀성,무결성,가용성,인증,부인 방지</t>
  </si>
  <si>
    <t>소프트웨어 개발 보안 요소</t>
  </si>
  <si>
    <t>기밀성</t>
  </si>
  <si>
    <t>시스템 내의 정보와 자원은 인가된 사용자에게만 접근이 허용됨</t>
  </si>
  <si>
    <t>무결성</t>
  </si>
  <si>
    <t>시스템 내의 정보는 오직 인가된 사용자만 수정할 수 있음</t>
  </si>
  <si>
    <t>가용성</t>
  </si>
  <si>
    <t>인가받은 사용자는 시스템 내의 정보와 자원을 언제라도 사용할 수 있음</t>
  </si>
  <si>
    <t>인증</t>
  </si>
  <si>
    <t>시스템 내의 정보와 자원을 사용하려는 사용자가 합법적인 사용자인지를 확인하는 모든 행위</t>
  </si>
  <si>
    <t>부인 방지</t>
  </si>
  <si>
    <t>데이터를 송수신한 자가 송수신 사실을 부인할 수 없도록 송수신 증거를 제공함</t>
  </si>
  <si>
    <t>시큐어 코딩</t>
  </si>
  <si>
    <t>보안 요소들을 고려하며 코딩하는 것</t>
  </si>
  <si>
    <t>암호 알고리즘</t>
  </si>
  <si>
    <t>중요 정보를 보호하기 위해 평문을 암호화된 문장으로 만드는 절차 또는 방법</t>
  </si>
  <si>
    <t>개인키 암호화 기법</t>
  </si>
  <si>
    <t>동일한 키로 데이터를 암호화하고 복호화하는 암호화 기법</t>
  </si>
  <si>
    <t>스트림, 블록 암호화 방식</t>
  </si>
  <si>
    <t>개인키 암호화 기법의 종류 2가지</t>
  </si>
  <si>
    <t>공개키 암호화 방식</t>
  </si>
  <si>
    <t>암호화할 때 사용하는 공개키는 공개하고, 비밀키는 관리자가 비밀리에 관리하는 암호화 기법</t>
  </si>
  <si>
    <t>SEED,ARIA,DES,AES,RSA</t>
  </si>
  <si>
    <t>양방향 알고리즘의 종류</t>
  </si>
  <si>
    <t>해시(Hash)</t>
  </si>
  <si>
    <t>임의의 길이의 입력 데이터나 메시지를 고정된 길이의 값이나 키로 변환하는 것</t>
  </si>
  <si>
    <t>해시 함수의 종류 4가지</t>
  </si>
  <si>
    <t>서비스 거부(DoS)</t>
  </si>
  <si>
    <t>대량의 데이터를 한 곳의 서버에 집중적으로 전송함으로써, 서버의 정상적인 기능을 방해하는 것</t>
  </si>
  <si>
    <t>Ping of Death(죽음의 핑)</t>
  </si>
  <si>
    <t>패킷의 크기를 인터넷 프로토콜 허용 범위 이상으로 전송하여 네트워크를 마비시킴</t>
  </si>
  <si>
    <t>3-way-handshake 과정을 의도적으로 중단시켜서 서버가 대기 상태에 놓여 정상적인 서비스를 수행하지 못하게 함</t>
  </si>
  <si>
    <t>TearDrop</t>
  </si>
  <si>
    <t>offset 값을 변경시켜 수신 측에서 과부하를 발생시킴으로써 시스템이 다운되도록 하는 공격 방법</t>
  </si>
  <si>
    <t>LAND Attack</t>
  </si>
  <si>
    <t>패킷을 전송할 때 송신 IP 주소와 수신 IP 주소를 모두 공격 대상으로 하여 자신에 대해 무한히 응답하게 하는 공격</t>
  </si>
  <si>
    <t>DDos(분산 서비스 거부) 공격</t>
  </si>
  <si>
    <t>여러 곳에 분산된 공격 지점에서 한 곳의 서버에 대해 분산 서비스 공격을 수행하는 것</t>
  </si>
  <si>
    <t>분산 서비스 공격용 툴</t>
  </si>
  <si>
    <t xml:space="preserve">에이전트의 역할을 수행하도록 설계된 프로그램으로, 데몬(Deamon)이라고 부름. </t>
  </si>
  <si>
    <t>Trin00, TFN, Stacheldraht</t>
  </si>
  <si>
    <t>데몬의 종류 3가지</t>
  </si>
  <si>
    <t>Trin00</t>
  </si>
  <si>
    <t>가장 초기 형태의 데몬으로, 주로 UDP Flooding 공격을 수행</t>
  </si>
  <si>
    <t>UDP Flooding 뿐만 아니라 TCP SYN Flood 공격, ICMP 응답 요청, 스머핑 공격 수행</t>
  </si>
  <si>
    <t>Stacheldraht</t>
  </si>
  <si>
    <t>이전 툴 기능을 유지하며, 공격자, 마스터, 에이전트가 쉽게 노출되지 않도록 암호화된 통신 수행</t>
  </si>
  <si>
    <t>세션 하이재킹</t>
  </si>
  <si>
    <t>상호 인증 과정을 거친 후 접속해 있는 서버와 클라이언트 사이의 세션 정보를 가로채는 공격</t>
  </si>
  <si>
    <t>자신의 물리적 주소(MAC)을 공격대상의 것으로 변조하여 공격 대상에게 도달해야 하는 데이터 패킷을 가로채거나 방해함</t>
  </si>
  <si>
    <t>스미싱</t>
  </si>
  <si>
    <t>문자 메시지를 이용해 사용자의 개인 신용 정보를 빼내는 수법</t>
  </si>
  <si>
    <t>스피어 피싱</t>
  </si>
  <si>
    <t>일반적인 이메일로 위장한 메일을 지속적으로 발송하여, 본문 링크나 첨부된 파일을 클릭하도록 유도해 사용자의 개인 정보를 탈취함</t>
  </si>
  <si>
    <t>무작위 대입 공격</t>
  </si>
  <si>
    <t>암호화된 문서의 암호키를 찾아내기 위해 적용 가능한 모든 값을 대입하여 공격하는 방식</t>
  </si>
  <si>
    <t>큐싱</t>
  </si>
  <si>
    <t>QR코드를 통해 악성 앱의 다운로드를 유도하거나 악성 프로그램을 설치하도록 하는 기법</t>
  </si>
  <si>
    <t>SQL 삽입 공격</t>
  </si>
  <si>
    <t>웹사이트를 무차별적으로 공격하는 과정에서 취약한 사이트가 발견되면 데이터베이스 등의 데이터를 조작하는 일련의 공격 방식</t>
  </si>
  <si>
    <t>크로스 사이트 스크립팅</t>
  </si>
  <si>
    <t>웹 페이지의 이용을 사용자 브라우저에 표현하기 위해 사용되는 스크럽트의 취약점 악용한 기법</t>
  </si>
  <si>
    <t>스니핑</t>
  </si>
  <si>
    <t>네트워크의 중간에서 남의 패킷 정보를 도청하는 해킹 유형의 하나로 수동적 공격에 해당</t>
  </si>
  <si>
    <t>좀비 PC</t>
  </si>
  <si>
    <t>악성 코드에 감염되어 다른 프로그램이나 컴퓨터를 조정하도록 만들어진 컴퓨터</t>
  </si>
  <si>
    <t>C &amp; C 서버</t>
  </si>
  <si>
    <t>해커가 원격지에서 감염된 좀비 PC에 명령을 내리고 악성코드 제어 위한 용도로 사용하는 서버</t>
  </si>
  <si>
    <t>봇넷(Botnet)</t>
  </si>
  <si>
    <t>악성 프로그램에 감염되어 악의적인 의도로 사용될 수 있는 컴퓨터들이 네트워크로 연결된 형태</t>
  </si>
  <si>
    <t>웜(Worm)</t>
  </si>
  <si>
    <t>네트워크를 통해 연속적으로 자신을 복제하여 시스템의 부하를 높임으로써 시스템을 다운 시킴</t>
  </si>
  <si>
    <t>제로 데이 공격</t>
  </si>
  <si>
    <t>키로커 공격</t>
  </si>
  <si>
    <t>컴퓨터 사용자의 키보드 움직임을 탐지해 개인의 중요한 정볼를 몰래 빼가는 해킹 공격</t>
  </si>
  <si>
    <t>랜섬웨어</t>
  </si>
  <si>
    <t>인터넷 사용자의 컴퓨터에 잠입해 내부 문서나 파일 등을 암호화해 사용자가 열지 못하게 하는 프로그램</t>
  </si>
  <si>
    <t>백도어</t>
  </si>
  <si>
    <t>트로이 목마</t>
  </si>
  <si>
    <t>정상적인 기능을 하는 프로그램으로 위장하여 프로그램 내에 숨어 있다가 해당 프로그램이 동작할 때 활성화되어 부작용을 일으키는 것</t>
  </si>
  <si>
    <t>방화벽</t>
  </si>
  <si>
    <t>침입탐지 시스템(IDS)</t>
  </si>
  <si>
    <t>컴퓨터 시스템의 비정상적인 사용.오용.남용 등을 실시간으로 탐지하는 시스템</t>
  </si>
  <si>
    <t>침입 방지 시스템(IPS)</t>
  </si>
  <si>
    <t>비정상적인 트래픽을 능동적으로 차단하고 격리하는 보안 솔루션</t>
  </si>
  <si>
    <t>데이터 유출 방지(DLP)</t>
  </si>
  <si>
    <t>내부 정보의 외부 유출을 방지하는 보안 솔루션</t>
  </si>
  <si>
    <t>웹 방화벽</t>
  </si>
  <si>
    <t>웹 기반 공격을 방어할 목적으로 만들어진 웹 서버에 특화된 방화벽</t>
  </si>
  <si>
    <t>VPN</t>
  </si>
  <si>
    <t>공중 네트워크와 암호화 기술을 이용하여 사용자가 마치 자신의 전용 회선을 사용하는 것처럼 해주는 보안 솔루션</t>
  </si>
  <si>
    <t>네트워크에 접속하는 내부 PC의 일관된 보안 관리 기능을 제공하는 보안 솔루션</t>
  </si>
  <si>
    <t>로그 및 보안 이벤트를 통합하여 관리하는 보안 솔루션</t>
  </si>
  <si>
    <t>NAC (Network Access Control)</t>
  </si>
  <si>
    <r>
      <t>ESM</t>
    </r>
    <r>
      <rPr>
        <sz val="16"/>
        <color theme="1"/>
        <rFont val="210 네모진 020"/>
        <family val="1"/>
        <charset val="129"/>
      </rPr>
      <t>(Enterprise Security Management)</t>
    </r>
    <phoneticPr fontId="3" type="noConversion"/>
  </si>
  <si>
    <r>
      <t xml:space="preserve">APT </t>
    </r>
    <r>
      <rPr>
        <sz val="18"/>
        <color theme="1"/>
        <rFont val="210 네모진 020"/>
        <family val="1"/>
        <charset val="129"/>
      </rPr>
      <t>(Advanced Persistent Threat)</t>
    </r>
    <phoneticPr fontId="3" type="noConversion"/>
  </si>
  <si>
    <t>조직적으로 특정 기업이나 조직 네트워크에 침투해 활동 거점을 마련한 뒤 때를 기다리면서 보안을 무력화시키고 정보 수집 후 외부로 빼돌리는 형태 의 공격</t>
    <phoneticPr fontId="3" type="noConversion"/>
  </si>
  <si>
    <t>보안 취약점이 발견되었을 떄 발견된 취약점의 존재 자체가 널리 공표되기도 전에 해당 취약점을 통해 이루어지는 보안 공격으로, 공격의 신속성을 말함</t>
    <phoneticPr fontId="3" type="noConversion"/>
  </si>
  <si>
    <t>시스템 설계자가 서비스 기술자나 유지보수 프로그램 작성자의 액세스 편의를 위해 시스템 보안을 제거하여 만들어놓은 비밀통로로, 컴퓨터 범죄에 악용되기도 함</t>
    <phoneticPr fontId="3" type="noConversion"/>
  </si>
  <si>
    <r>
      <t xml:space="preserve">ARP 스푸핑 </t>
    </r>
    <r>
      <rPr>
        <sz val="14"/>
        <color theme="1"/>
        <rFont val="210 네모진 020"/>
        <family val="1"/>
        <charset val="129"/>
      </rPr>
      <t>(Address Resolution Protocol)</t>
    </r>
    <phoneticPr fontId="3" type="noConversion"/>
  </si>
  <si>
    <t xml:space="preserve">소프트웨어 생명 주기 </t>
  </si>
  <si>
    <t xml:space="preserve">폭포수 모형 </t>
  </si>
  <si>
    <t>나선형 모형</t>
    <phoneticPr fontId="3" type="noConversion"/>
  </si>
  <si>
    <t xml:space="preserve">프로토타입 모형 </t>
  </si>
  <si>
    <t xml:space="preserve">나선형 모형 </t>
  </si>
  <si>
    <t>나선형 모형의 개발 단계</t>
    <phoneticPr fontId="3" type="noConversion"/>
  </si>
  <si>
    <t>계획수립 &gt; 위험 분석 &gt; 개발 및 검증 &gt; 고객평가</t>
  </si>
  <si>
    <t xml:space="preserve">애자일 모형 </t>
  </si>
  <si>
    <t xml:space="preserve">소프트웨어 공학 </t>
  </si>
  <si>
    <t xml:space="preserve">XP </t>
  </si>
  <si>
    <t>의사소통, 단순성, 용기, 존중, 피드백</t>
  </si>
  <si>
    <t>XP 개발 프로세스</t>
  </si>
  <si>
    <t>릴리즈 계획 수립, 이터레이션, 승인 검사, 소규모 릴리즈</t>
    <phoneticPr fontId="3" type="noConversion"/>
  </si>
  <si>
    <t xml:space="preserve">Pair Programming(짝 프로그래밍) </t>
  </si>
  <si>
    <t xml:space="preserve">Collective Ownership(공동 코드 소유) </t>
  </si>
  <si>
    <t xml:space="preserve">Whole Team(전체 팀) </t>
  </si>
  <si>
    <t>Continuous Integration(계속적인 통합)</t>
    <phoneticPr fontId="3" type="noConversion"/>
  </si>
  <si>
    <t xml:space="preserve">Refactoring(리팩토링) </t>
  </si>
  <si>
    <t xml:space="preserve">Small Releases(소규모 릴리즈) </t>
  </si>
  <si>
    <t>릴리즈 기간을 짧게 반복함으로써 고객의 요구 변화에 신속히 대응할 수 있음</t>
  </si>
  <si>
    <t>프로그램 기능의 변경 없이 시스템을 재구성함</t>
  </si>
  <si>
    <t>모듈 단위로 나눠서 개발된 코드들은 하나의 작업이 마무리 될 때마다 지속적통합</t>
  </si>
  <si>
    <t>개발에 참여하는 모든 구성원들은 각자 자신의 역할이 있고 그 역할에 대한 책임을 가져야 함</t>
  </si>
  <si>
    <t>개발자가 실제 코드를 작성하기 전에 테스트 케이스를 먼저 작성</t>
  </si>
  <si>
    <t>개발 코드에 대한 권한과 책임을 공동으로 소유함</t>
  </si>
  <si>
    <t>다른 사람과 함께 프로그래밍을 수행. 개발에 대한 책임을 공동으로 가짐</t>
  </si>
  <si>
    <t>요구사항</t>
  </si>
  <si>
    <t>소프트웨어가 어떤 문제를 해결하기 위해 제공하는 서비스에 대한 설명과 운영되는데 필요한 제약조건</t>
  </si>
  <si>
    <t xml:space="preserve">요구사항의 유형 </t>
  </si>
  <si>
    <t>기능, 비기능, 사용자, 시스템</t>
  </si>
  <si>
    <t xml:space="preserve">기능 요구사항 </t>
  </si>
  <si>
    <t xml:space="preserve">비기능 요구사항 </t>
  </si>
  <si>
    <t xml:space="preserve">사용자 요구사항 </t>
  </si>
  <si>
    <t xml:space="preserve">시스템 요구사항 </t>
  </si>
  <si>
    <t>사용자 관점에서 본 시스템이 제공해야 할 요구사항</t>
  </si>
  <si>
    <t>기능이나 수행과 관련된 요구사항</t>
  </si>
  <si>
    <t xml:space="preserve">관계 </t>
  </si>
  <si>
    <t>사물과 사물 사이의 연관성을 표현하는 것</t>
  </si>
  <si>
    <t xml:space="preserve">관계의 종류 </t>
  </si>
  <si>
    <t>연관, 집합, 포함, 일반화, 의존, 실체화</t>
  </si>
  <si>
    <t xml:space="preserve">연관(Association) 관계 </t>
  </si>
  <si>
    <t xml:space="preserve">집합(Aggregation) 관계 </t>
  </si>
  <si>
    <t xml:space="preserve">포함(Composition) 관계 </t>
  </si>
  <si>
    <t xml:space="preserve">일반화(Generalization) 관계 </t>
  </si>
  <si>
    <t xml:space="preserve">의존(Dependency) 관계 </t>
  </si>
  <si>
    <t xml:space="preserve">실체화(Realization) 관계 </t>
  </si>
  <si>
    <t>할 수 있거나 해야 하는 기능으로, 서로를 그룹화 할 수 있는 관계. 사물에서 기능 쪽으로 속이 빈 점선 화살표</t>
    <phoneticPr fontId="3" type="noConversion"/>
  </si>
  <si>
    <t xml:space="preserve">서로에게 영향을 주는 짧은 시간 동안만 연관을 유지하는 관계. 영향을 주는 사물(이용자)이 영향을 받는 사물(제공자) 쪽으로 점선 화살표 </t>
    <phoneticPr fontId="3" type="noConversion"/>
  </si>
  <si>
    <t xml:space="preserve">하나의 사물이 다른 사물에 비해 더 일반적이거나 구체적인 관계. 구체적(하위)인 사물에서 일반적(상위)인 사물 쪽으로 속이 빈 화살표 </t>
    <phoneticPr fontId="3" type="noConversion"/>
  </si>
  <si>
    <t>포함하는 사물의 변화가 포함되는 사물에게 영향을 미치는 관계. 포함되는 쪽에서 포함하는 쪽으로 속이 채워진 마름모</t>
    <phoneticPr fontId="3" type="noConversion"/>
  </si>
  <si>
    <t>하나의 사물이 다른 사물에 포함되어 있는 관계. 포함되는 쪽에서 포함 하는 쪽으로 손이 빈 마름모</t>
    <phoneticPr fontId="3" type="noConversion"/>
  </si>
  <si>
    <t>2개 이상의 사물이 서로 관련되어 있는 관계. 실선. 다중도를 선 위에 표기</t>
    <phoneticPr fontId="3" type="noConversion"/>
  </si>
  <si>
    <t xml:space="preserve">정적 모델링 </t>
  </si>
  <si>
    <t>사용자가 요구한 기능을 구현하는데 필요한 자료들의 논리적인 구조를 표현한 것</t>
  </si>
  <si>
    <t xml:space="preserve">클래스 다이어그램 </t>
  </si>
  <si>
    <t>클래스와 클래스가 가지는 속성, 클래스 사이의 관계를 표현한 것</t>
  </si>
  <si>
    <t>클래스, 제약조건, 관계</t>
    <phoneticPr fontId="3" type="noConversion"/>
  </si>
  <si>
    <t xml:space="preserve">연관 클래스 </t>
  </si>
  <si>
    <t>연관 관계에 있는 두 클래스에 추가적으로 표현해야 할 속성이나 오퍼레이션이 있는 경우 생성하는 클래스</t>
  </si>
  <si>
    <t xml:space="preserve">패키지 다이어그램 </t>
  </si>
  <si>
    <t xml:space="preserve">패키지 다이어그램의 구성 요소 </t>
  </si>
  <si>
    <t>패키지, 객체, 의존 관계</t>
    <phoneticPr fontId="3" type="noConversion"/>
  </si>
  <si>
    <t>수학적 산정 기법 종류</t>
    <phoneticPr fontId="3" type="noConversion"/>
  </si>
  <si>
    <t xml:space="preserve">COCOMO 모형 </t>
  </si>
  <si>
    <t>COCOMO의 소프트웨어 개발 유형 종류 3가지</t>
    <phoneticPr fontId="3" type="noConversion"/>
  </si>
  <si>
    <t xml:space="preserve">조직형 </t>
  </si>
  <si>
    <t xml:space="preserve">반분리형 </t>
  </si>
  <si>
    <t xml:space="preserve">내장형 </t>
  </si>
  <si>
    <t>초대형 규모의 소프트웨어. 30만 라인 이상. 시스템 프로그램 개발에 적합</t>
  </si>
  <si>
    <t>조직형과 내장형의 중간형. 30만 라인 이하. 컴파일러, 인터프리터와 같은 유틸리티 개발에 적합</t>
  </si>
  <si>
    <t>기관 내부에서 개발된 중소규모의 소프트웨어. 5만 라인 이하. 사무 처리용, 업무용, 과학용 응용소프트웨어 개발 적합</t>
  </si>
  <si>
    <t>COCOMO 모형의 종류 3가지</t>
    <phoneticPr fontId="3" type="noConversion"/>
  </si>
  <si>
    <t>기본형, 중간형, 발전형</t>
    <phoneticPr fontId="3" type="noConversion"/>
  </si>
  <si>
    <t xml:space="preserve">기본형(Basic) COCOMO </t>
  </si>
  <si>
    <t xml:space="preserve">중간형(Intermediate) COCOMO </t>
  </si>
  <si>
    <t xml:space="preserve">발전형(Detailed) COCOMO </t>
  </si>
  <si>
    <t>소프트웨어의 크기와 개발 유형만을 이용하여 비용 산정</t>
  </si>
  <si>
    <t>개발 공정별로 보다 자세하고 정확하게 노력을 산출하여 비용산정</t>
  </si>
  <si>
    <t xml:space="preserve">Putnam 모형 </t>
  </si>
  <si>
    <t>소프트웨어 생명 주기의 전 과정 동안에 사용될 노력의 분포를 예상하는 모형</t>
  </si>
  <si>
    <t xml:space="preserve">기능 점수(FP) 모형 </t>
  </si>
  <si>
    <t xml:space="preserve">SLIM </t>
  </si>
  <si>
    <t xml:space="preserve">ESTIMACS </t>
  </si>
  <si>
    <t xml:space="preserve">소프트웨어 개발 표준 </t>
  </si>
  <si>
    <t>ISO/IEC 12207, CMMI, SPICE</t>
    <phoneticPr fontId="3" type="noConversion"/>
  </si>
  <si>
    <t xml:space="preserve">ISO/IEC 12207 </t>
  </si>
  <si>
    <t>ISO(국제표준화기구)에서 만든 표준 소프트웨어 생명 주기 프로세스</t>
  </si>
  <si>
    <t>ISO/IEC 12207의 프로세스 단계</t>
    <phoneticPr fontId="3" type="noConversion"/>
  </si>
  <si>
    <t>기본, 지원, 조직</t>
    <phoneticPr fontId="3" type="noConversion"/>
  </si>
  <si>
    <t>CMMI의 소프트웨어 프로세스 성숙도 단계</t>
    <phoneticPr fontId="3" type="noConversion"/>
  </si>
  <si>
    <t>초기, 관리, 정의, 정량적 관리, 최적화</t>
    <phoneticPr fontId="3" type="noConversion"/>
  </si>
  <si>
    <t xml:space="preserve">SPICE </t>
  </si>
  <si>
    <t>고객-공급자, 공학, 지원, 관리, 조직</t>
    <phoneticPr fontId="3" type="noConversion"/>
  </si>
  <si>
    <t>불완전, 수행, 관리, 확립, 예측, 최적화</t>
    <phoneticPr fontId="3" type="noConversion"/>
  </si>
  <si>
    <t>최적화(Optimizing)</t>
  </si>
  <si>
    <t xml:space="preserve">예측(Predictble) </t>
  </si>
  <si>
    <t xml:space="preserve">확립(Established) </t>
  </si>
  <si>
    <t xml:space="preserve">관리(Managed) </t>
  </si>
  <si>
    <t xml:space="preserve">수행(Perfomed) </t>
  </si>
  <si>
    <t xml:space="preserve">불완전(Incomplete) </t>
  </si>
  <si>
    <t xml:space="preserve">고객-공급자 프로세스 </t>
  </si>
  <si>
    <t xml:space="preserve">공학 프로세스 </t>
  </si>
  <si>
    <t xml:space="preserve">관리 프로세스 </t>
  </si>
  <si>
    <t xml:space="preserve">조직 프로세스 </t>
  </si>
  <si>
    <t>COCOMO, Putnam, 기능 점수(FP) 모형</t>
    <phoneticPr fontId="3" type="noConversion"/>
  </si>
  <si>
    <t xml:space="preserve">xp 주요 실천 방법 </t>
    <phoneticPr fontId="3" type="noConversion"/>
  </si>
  <si>
    <t>아래 7가지</t>
    <phoneticPr fontId="3" type="noConversion"/>
  </si>
  <si>
    <t>소프트웨어 위기를 극복하기 위한 방안으로 연구된 학문</t>
    <phoneticPr fontId="3" type="noConversion"/>
  </si>
  <si>
    <t>품질이나 제약사항과 관련된 요구사항</t>
    <phoneticPr fontId="3" type="noConversion"/>
  </si>
  <si>
    <t>개발자 관점에서 본 시스템 전체가 제공해야 할 요구사항</t>
    <phoneticPr fontId="3" type="noConversion"/>
  </si>
  <si>
    <t>조직형, 반분리형, 내장형</t>
    <phoneticPr fontId="3" type="noConversion"/>
  </si>
  <si>
    <t>기본형 COCOMO의 공식을 토대로 사용</t>
    <phoneticPr fontId="3" type="noConversion"/>
  </si>
  <si>
    <t>요소들을 그룹화한 패키지 간의 의존 관계를 표현한 것</t>
    <phoneticPr fontId="3" type="noConversion"/>
  </si>
  <si>
    <r>
      <t xml:space="preserve">소프트웨어 품질 및 생산성 향상을 위해 </t>
    </r>
    <r>
      <rPr>
        <sz val="20"/>
        <color rgb="FFFF0000"/>
        <rFont val="210 네모진 020"/>
        <family val="1"/>
        <charset val="129"/>
      </rPr>
      <t>소프트웨어 프로세스를 평가 및 개선</t>
    </r>
    <r>
      <rPr>
        <sz val="20"/>
        <color theme="1"/>
        <rFont val="210 네모진 020"/>
        <family val="1"/>
        <charset val="129"/>
      </rPr>
      <t>하는 국제 표준</t>
    </r>
    <phoneticPr fontId="3" type="noConversion"/>
  </si>
  <si>
    <r>
      <t xml:space="preserve">소프트웨어를 개발하여 </t>
    </r>
    <r>
      <rPr>
        <sz val="20"/>
        <color rgb="FFFF0000"/>
        <rFont val="210 네모진 020"/>
        <family val="1"/>
        <charset val="129"/>
      </rPr>
      <t>고객에게 전달하는 것을 지원</t>
    </r>
    <r>
      <rPr>
        <sz val="20"/>
        <color theme="1"/>
        <rFont val="210 네모진 020"/>
        <family val="1"/>
        <charset val="129"/>
      </rPr>
      <t xml:space="preserve">하고, 소프트웨어의 </t>
    </r>
    <r>
      <rPr>
        <sz val="20"/>
        <color rgb="FFFF0000"/>
        <rFont val="210 네모진 020"/>
        <family val="1"/>
        <charset val="129"/>
      </rPr>
      <t>정확한 운용 및 사용</t>
    </r>
    <r>
      <rPr>
        <sz val="20"/>
        <color theme="1"/>
        <rFont val="210 네모진 020"/>
        <family val="1"/>
        <charset val="129"/>
      </rPr>
      <t>을 위한 프로세스로 구성됨</t>
    </r>
    <phoneticPr fontId="3" type="noConversion"/>
  </si>
  <si>
    <r>
      <t xml:space="preserve">시스템과 소프트웨어 제품의 </t>
    </r>
    <r>
      <rPr>
        <sz val="20"/>
        <color rgb="FFFF0000"/>
        <rFont val="210 네모진 020"/>
        <family val="1"/>
        <charset val="129"/>
      </rPr>
      <t>명세화, 구현, 유지보수</t>
    </r>
    <r>
      <rPr>
        <sz val="20"/>
        <color theme="1"/>
        <rFont val="210 네모진 020"/>
        <family val="1"/>
        <charset val="129"/>
      </rPr>
      <t>를 하는데 사용되는 프로세스로 구성됨</t>
    </r>
    <phoneticPr fontId="3" type="noConversion"/>
  </si>
  <si>
    <r>
      <t xml:space="preserve">소프트웨어 생명 주기에서 다른 프로세스에 의해 </t>
    </r>
    <r>
      <rPr>
        <sz val="20"/>
        <color rgb="FFFF0000"/>
        <rFont val="210 네모진 020"/>
        <family val="1"/>
        <charset val="129"/>
      </rPr>
      <t>이용되는 프로세스</t>
    </r>
    <r>
      <rPr>
        <sz val="20"/>
        <color theme="1"/>
        <rFont val="210 네모진 020"/>
        <family val="1"/>
        <charset val="129"/>
      </rPr>
      <t>로 구성됨</t>
    </r>
    <phoneticPr fontId="3" type="noConversion"/>
  </si>
  <si>
    <r>
      <t xml:space="preserve">소프트웨어 생명 주기에서 </t>
    </r>
    <r>
      <rPr>
        <sz val="20"/>
        <color rgb="FFFF0000"/>
        <rFont val="210 네모진 020"/>
        <family val="1"/>
        <charset val="129"/>
      </rPr>
      <t>프로젝트 관리자</t>
    </r>
    <r>
      <rPr>
        <sz val="20"/>
        <color theme="1"/>
        <rFont val="210 네모진 020"/>
        <family val="1"/>
        <charset val="129"/>
      </rPr>
      <t>에 의해 사용되는 프로세스로 구성됨</t>
    </r>
    <phoneticPr fontId="3" type="noConversion"/>
  </si>
  <si>
    <r>
      <rPr>
        <sz val="20"/>
        <color rgb="FFFF0000"/>
        <rFont val="210 네모진 020"/>
        <family val="1"/>
        <charset val="129"/>
      </rPr>
      <t>조직의 업무 목적 수립과 업무 목표 달성</t>
    </r>
    <r>
      <rPr>
        <sz val="20"/>
        <color theme="1"/>
        <rFont val="210 네모진 020"/>
        <family val="1"/>
        <charset val="129"/>
      </rPr>
      <t>을 위한 프로세스로 구성됨</t>
    </r>
    <phoneticPr fontId="3" type="noConversion"/>
  </si>
  <si>
    <t>SPICE의 프로세스 수행 능력 단계</t>
    <phoneticPr fontId="3" type="noConversion"/>
  </si>
  <si>
    <r>
      <t xml:space="preserve">프로세스가 </t>
    </r>
    <r>
      <rPr>
        <sz val="20"/>
        <color rgb="FFFF0000"/>
        <rFont val="210 네모진 020"/>
        <family val="1"/>
        <charset val="129"/>
      </rPr>
      <t>구현되지 않았거나 목적을 달성하지 못한</t>
    </r>
    <r>
      <rPr>
        <sz val="20"/>
        <color theme="1"/>
        <rFont val="210 네모진 020"/>
        <family val="1"/>
        <charset val="129"/>
      </rPr>
      <t xml:space="preserve"> 단계</t>
    </r>
    <phoneticPr fontId="3" type="noConversion"/>
  </si>
  <si>
    <r>
      <t xml:space="preserve">정의된 자원의 한도 내에서 그 프로세스가 </t>
    </r>
    <r>
      <rPr>
        <sz val="20"/>
        <color rgb="FFFF0000"/>
        <rFont val="210 네모진 020"/>
        <family val="1"/>
        <charset val="129"/>
      </rPr>
      <t>작업 산출물을 인도</t>
    </r>
    <r>
      <rPr>
        <sz val="20"/>
        <color theme="1"/>
        <rFont val="210 네모진 020"/>
        <family val="1"/>
        <charset val="129"/>
      </rPr>
      <t>하는 단계</t>
    </r>
    <phoneticPr fontId="3" type="noConversion"/>
  </si>
  <si>
    <r>
      <rPr>
        <sz val="20"/>
        <color rgb="FFFF0000"/>
        <rFont val="210 네모진 020"/>
        <family val="1"/>
        <charset val="129"/>
      </rPr>
      <t>소프트웨어 공학 원칙에 기반하</t>
    </r>
    <r>
      <rPr>
        <sz val="20"/>
        <color theme="1"/>
        <rFont val="210 네모진 020"/>
        <family val="1"/>
        <charset val="129"/>
      </rPr>
      <t>여 정의된 프로세스가 수행되는 단계</t>
    </r>
    <phoneticPr fontId="3" type="noConversion"/>
  </si>
  <si>
    <r>
      <t xml:space="preserve">프로세스 수행을 </t>
    </r>
    <r>
      <rPr>
        <sz val="20"/>
        <color rgb="FFFF0000"/>
        <rFont val="210 네모진 020"/>
        <family val="1"/>
        <charset val="129"/>
      </rPr>
      <t>최적화</t>
    </r>
    <r>
      <rPr>
        <sz val="20"/>
        <color theme="1"/>
        <rFont val="210 네모진 020"/>
        <family val="1"/>
        <charset val="129"/>
      </rPr>
      <t>하고, 지속적인 개선을 통해 업무 목적을 만족시키는 단계</t>
    </r>
    <phoneticPr fontId="3" type="noConversion"/>
  </si>
  <si>
    <t>각 단계를 확실히 매듭짓고 결과를 검토하여 승인 과정을 거친 후 다음 단계를 진행하는 개발 방법론</t>
    <phoneticPr fontId="3" type="noConversion"/>
  </si>
  <si>
    <r>
      <t xml:space="preserve">소프트웨어를 개발하기 위한 </t>
    </r>
    <r>
      <rPr>
        <sz val="20"/>
        <color rgb="FFFF0000"/>
        <rFont val="210 네모진 020"/>
        <family val="1"/>
        <charset val="129"/>
      </rPr>
      <t xml:space="preserve">과정을 각 단계별로 </t>
    </r>
    <r>
      <rPr>
        <sz val="20"/>
        <color theme="1"/>
        <rFont val="210 네모진 020"/>
        <family val="1"/>
        <charset val="129"/>
      </rPr>
      <t>나눈 것</t>
    </r>
    <phoneticPr fontId="3" type="noConversion"/>
  </si>
  <si>
    <t>실제 개발될 소프트웨어 견본폰(Prototype)을 만들어 최종 결과물을 예측하는 모형</t>
    <phoneticPr fontId="3" type="noConversion"/>
  </si>
  <si>
    <t>여러 번의 소프트웨어 개발 과정을 거쳐 점진적으로 개발하는 모형</t>
    <phoneticPr fontId="3" type="noConversion"/>
  </si>
  <si>
    <t>요구사항 변화에 유연하게 대응할 수 있도록 일정한 주기를 반복하면서 개발하는 모형</t>
    <phoneticPr fontId="3" type="noConversion"/>
  </si>
  <si>
    <t>요구사항에 유연하게 대응하기 위해 고객의 참여와 개발 과정의 반복을 극대화하여 생산성을 향상시키는 방법</t>
    <phoneticPr fontId="3" type="noConversion"/>
  </si>
  <si>
    <t xml:space="preserve">XP의 5가지 핵심 가치 </t>
    <phoneticPr fontId="3" type="noConversion"/>
  </si>
  <si>
    <t>의사소통, 단순성, 용기, 존중, 피드백</t>
    <phoneticPr fontId="3" type="noConversion"/>
  </si>
  <si>
    <r>
      <rPr>
        <sz val="20"/>
        <color rgb="FFFF0000"/>
        <rFont val="210 네모진 020"/>
        <family val="1"/>
        <charset val="129"/>
      </rPr>
      <t>LOC(원시 코드 라인 수)</t>
    </r>
    <r>
      <rPr>
        <sz val="20"/>
        <color theme="1"/>
        <rFont val="210 네모진 020"/>
        <family val="1"/>
        <charset val="129"/>
      </rPr>
      <t>에 의한 비용 산정 기법</t>
    </r>
    <phoneticPr fontId="3" type="noConversion"/>
  </si>
  <si>
    <t>기능을 증대시키는 요인별로 기능 점수를 구한 후 비용을 산정하는 기법</t>
    <phoneticPr fontId="3" type="noConversion"/>
  </si>
  <si>
    <r>
      <t>다양한 프로젝트와 개인 별 요소를 수용하도록</t>
    </r>
    <r>
      <rPr>
        <sz val="20"/>
        <color rgb="FFFF0000"/>
        <rFont val="210 네모진 020"/>
        <family val="1"/>
        <charset val="129"/>
      </rPr>
      <t xml:space="preserve"> FP 모형</t>
    </r>
    <r>
      <rPr>
        <sz val="20"/>
        <color theme="1"/>
        <rFont val="210 네모진 020"/>
        <family val="1"/>
        <charset val="129"/>
      </rPr>
      <t>을 기초로 하여 개발된 자동화 추정 도구</t>
    </r>
    <phoneticPr fontId="3" type="noConversion"/>
  </si>
  <si>
    <r>
      <rPr>
        <sz val="20"/>
        <color rgb="FFFF0000"/>
        <rFont val="210 네모진 020"/>
        <family val="1"/>
        <charset val="129"/>
      </rPr>
      <t>Rayleigh-Norden 곡선과 Putnam 예</t>
    </r>
    <r>
      <rPr>
        <sz val="20"/>
        <color theme="1"/>
        <rFont val="210 네모진 020"/>
        <family val="1"/>
        <charset val="129"/>
      </rPr>
      <t>측 모델을 기초로 하여 개발된 자동화 추정 도구</t>
    </r>
    <phoneticPr fontId="3" type="noConversion"/>
  </si>
  <si>
    <r>
      <t xml:space="preserve">소프트웨어 개발 단계에서 수행하는 </t>
    </r>
    <r>
      <rPr>
        <sz val="20"/>
        <color rgb="FFFF0000"/>
        <rFont val="210 네모진 020"/>
        <family val="1"/>
        <charset val="129"/>
      </rPr>
      <t>품질 관리</t>
    </r>
    <r>
      <rPr>
        <sz val="20"/>
        <color theme="1"/>
        <rFont val="210 네모진 020"/>
        <family val="1"/>
        <charset val="129"/>
      </rPr>
      <t>에서 사용되는 국제 표준</t>
    </r>
    <phoneticPr fontId="3" type="noConversion"/>
  </si>
  <si>
    <t>주요 소프트웨어 개발 표준</t>
    <phoneticPr fontId="3" type="noConversion"/>
  </si>
  <si>
    <t xml:space="preserve">SPICE의 구성 </t>
    <phoneticPr fontId="3" type="noConversion"/>
  </si>
  <si>
    <t>폭포수 모형</t>
    <phoneticPr fontId="3" type="noConversion"/>
  </si>
  <si>
    <t xml:space="preserve">지원 프로세스 </t>
    <phoneticPr fontId="3" type="noConversion"/>
  </si>
  <si>
    <t>프로토타입 모형</t>
    <phoneticPr fontId="3" type="noConversion"/>
  </si>
  <si>
    <t>애자일 모형</t>
    <phoneticPr fontId="3" type="noConversion"/>
  </si>
  <si>
    <t>소프트웨어 공학</t>
    <phoneticPr fontId="3" type="noConversion"/>
  </si>
  <si>
    <t>짝 프로그래밍</t>
    <phoneticPr fontId="3" type="noConversion"/>
  </si>
  <si>
    <t>테스트 주도 개발</t>
    <phoneticPr fontId="3" type="noConversion"/>
  </si>
  <si>
    <t>전체 팀</t>
    <phoneticPr fontId="3" type="noConversion"/>
  </si>
  <si>
    <t xml:space="preserve">Test-Driven Development(테스트 주도 개발) </t>
    <phoneticPr fontId="3" type="noConversion"/>
  </si>
  <si>
    <t>리팩토링</t>
    <phoneticPr fontId="3" type="noConversion"/>
  </si>
  <si>
    <t>요구사항</t>
    <phoneticPr fontId="3" type="noConversion"/>
  </si>
  <si>
    <t>기능 요구사항</t>
    <phoneticPr fontId="3" type="noConversion"/>
  </si>
  <si>
    <t>비기능 요구사항</t>
    <phoneticPr fontId="3" type="noConversion"/>
  </si>
  <si>
    <t>사용자 요구사항</t>
    <phoneticPr fontId="3" type="noConversion"/>
  </si>
  <si>
    <t>시스템 요구사항</t>
    <phoneticPr fontId="3" type="noConversion"/>
  </si>
  <si>
    <t>관계</t>
    <phoneticPr fontId="3" type="noConversion"/>
  </si>
  <si>
    <t>연관, 집합, 포함, 일반화, 의존, 실체화</t>
    <phoneticPr fontId="3" type="noConversion"/>
  </si>
  <si>
    <t>클래스 다이어그램</t>
    <phoneticPr fontId="3" type="noConversion"/>
  </si>
  <si>
    <t>연관 클래스</t>
    <phoneticPr fontId="3" type="noConversion"/>
  </si>
  <si>
    <t>패키지 다이어그램</t>
    <phoneticPr fontId="3" type="noConversion"/>
  </si>
  <si>
    <t>COCOMO 모형</t>
    <phoneticPr fontId="3" type="noConversion"/>
  </si>
  <si>
    <t>반분리형</t>
    <phoneticPr fontId="3" type="noConversion"/>
  </si>
  <si>
    <t>내장형</t>
    <phoneticPr fontId="3" type="noConversion"/>
  </si>
  <si>
    <t>중간형</t>
    <phoneticPr fontId="3" type="noConversion"/>
  </si>
  <si>
    <t>발전형</t>
    <phoneticPr fontId="3" type="noConversion"/>
  </si>
  <si>
    <t>Putnam 모형</t>
    <phoneticPr fontId="3" type="noConversion"/>
  </si>
  <si>
    <t>SLIM</t>
    <phoneticPr fontId="3" type="noConversion"/>
  </si>
  <si>
    <t>ESTIMACS</t>
    <phoneticPr fontId="3" type="noConversion"/>
  </si>
  <si>
    <t>최적화 단계</t>
    <phoneticPr fontId="3" type="noConversion"/>
  </si>
  <si>
    <r>
      <t xml:space="preserve">프로세스가 목적 달성을 위해 </t>
    </r>
    <r>
      <rPr>
        <sz val="20"/>
        <color rgb="FFFF0000"/>
        <rFont val="210 네모진 020"/>
        <family val="1"/>
        <charset val="129"/>
      </rPr>
      <t>통제</t>
    </r>
    <r>
      <rPr>
        <sz val="20"/>
        <color theme="1"/>
        <rFont val="210 네모진 020"/>
        <family val="1"/>
        <charset val="129"/>
      </rPr>
      <t xml:space="preserve">되고, 양적인 측정을 통해서 </t>
    </r>
    <r>
      <rPr>
        <sz val="20"/>
        <color rgb="FFFF0000"/>
        <rFont val="210 네모진 020"/>
        <family val="1"/>
        <charset val="129"/>
      </rPr>
      <t>일관되게 수행</t>
    </r>
    <r>
      <rPr>
        <sz val="20"/>
        <color theme="1"/>
        <rFont val="210 네모진 020"/>
        <family val="1"/>
        <charset val="129"/>
      </rPr>
      <t>되는 단계</t>
    </r>
    <phoneticPr fontId="3" type="noConversion"/>
  </si>
  <si>
    <t>불완전 단계</t>
    <phoneticPr fontId="3" type="noConversion"/>
  </si>
  <si>
    <r>
      <t xml:space="preserve">프로세스가 </t>
    </r>
    <r>
      <rPr>
        <sz val="20"/>
        <color rgb="FFFF0000"/>
        <rFont val="210 네모진 020"/>
        <family val="1"/>
        <charset val="129"/>
      </rPr>
      <t>수행</t>
    </r>
    <r>
      <rPr>
        <sz val="20"/>
        <color theme="1"/>
        <rFont val="210 네모진 020"/>
        <family val="1"/>
        <charset val="129"/>
      </rPr>
      <t xml:space="preserve">되고 </t>
    </r>
    <r>
      <rPr>
        <sz val="20"/>
        <color rgb="FFFF0000"/>
        <rFont val="210 네모진 020"/>
        <family val="1"/>
        <charset val="129"/>
      </rPr>
      <t>목적이 달성</t>
    </r>
    <r>
      <rPr>
        <sz val="20"/>
        <color theme="1"/>
        <rFont val="210 네모진 020"/>
        <family val="1"/>
        <charset val="129"/>
      </rPr>
      <t>된 단계</t>
    </r>
    <phoneticPr fontId="3" type="noConversion"/>
  </si>
  <si>
    <t>수행 단계</t>
    <phoneticPr fontId="3" type="noConversion"/>
  </si>
  <si>
    <t>확립 단계</t>
    <phoneticPr fontId="3" type="noConversion"/>
  </si>
  <si>
    <t>예측 단계</t>
    <phoneticPr fontId="3" type="noConversion"/>
  </si>
  <si>
    <t>계속적인 통합</t>
    <phoneticPr fontId="3" type="noConversion"/>
  </si>
  <si>
    <t>클래스 다이어그램의 구성 요소</t>
    <phoneticPr fontId="3" type="noConversion"/>
  </si>
  <si>
    <t>공동 코드 소유</t>
    <phoneticPr fontId="3" type="noConversion"/>
  </si>
  <si>
    <t>소규모 릴리즈</t>
    <phoneticPr fontId="3" type="noConversion"/>
  </si>
  <si>
    <t>반정규화</t>
    <phoneticPr fontId="3" type="noConversion"/>
  </si>
  <si>
    <t>정적, 동적 분석 도구</t>
    <phoneticPr fontId="3" type="noConversion"/>
  </si>
  <si>
    <t>VPN</t>
    <phoneticPr fontId="3" type="noConversion"/>
  </si>
  <si>
    <t>XML</t>
    <phoneticPr fontId="3" type="noConversion"/>
  </si>
  <si>
    <t>SOAP</t>
    <phoneticPr fontId="3" type="noConversion"/>
  </si>
  <si>
    <t>WSDL</t>
    <phoneticPr fontId="3" type="noConversion"/>
  </si>
  <si>
    <r>
      <t>SOAP</t>
    </r>
    <r>
      <rPr>
        <sz val="12"/>
        <color theme="1"/>
        <rFont val="210 네모진 020"/>
        <family val="1"/>
        <charset val="129"/>
      </rPr>
      <t>(Simple Object Access Protocol)</t>
    </r>
    <phoneticPr fontId="3" type="noConversion"/>
  </si>
  <si>
    <r>
      <t>WSDL</t>
    </r>
    <r>
      <rPr>
        <sz val="11"/>
        <color theme="1"/>
        <rFont val="210 네모진 020"/>
        <family val="1"/>
        <charset val="129"/>
      </rPr>
      <t xml:space="preserve">(Web services Description Lanuage) </t>
    </r>
    <phoneticPr fontId="3" type="noConversion"/>
  </si>
  <si>
    <t>특수한 목적을 갖는 마크업 언어를 만드는 데 사용되는 다목적 마크업 언어</t>
  </si>
  <si>
    <t>웹 서비스와 관련된 서식이나 프로토콜 등을 표준적인 방법으로 기술하고 게시하기 위한 언어</t>
  </si>
  <si>
    <t>미들웨어</t>
    <phoneticPr fontId="3" type="noConversion"/>
  </si>
  <si>
    <t>미들웨어 종류</t>
    <phoneticPr fontId="3" type="noConversion"/>
  </si>
  <si>
    <t>DB</t>
    <phoneticPr fontId="3" type="noConversion"/>
  </si>
  <si>
    <t>RPC(원격 프로시저 호출)</t>
    <phoneticPr fontId="3" type="noConversion"/>
  </si>
  <si>
    <t>MOM(메시지 지향 미들웨어)</t>
    <phoneticPr fontId="3" type="noConversion"/>
  </si>
  <si>
    <t>TP-monitor(트랜잭션 처리 모니터)</t>
    <phoneticPr fontId="3" type="noConversion"/>
  </si>
  <si>
    <t>ORB(객체 요청 브로커)</t>
    <phoneticPr fontId="3" type="noConversion"/>
  </si>
  <si>
    <t>WAS(웹 애플리케이션 서버)</t>
    <phoneticPr fontId="3" type="noConversion"/>
  </si>
  <si>
    <t>EAI, ESB, 웹 서비스</t>
    <phoneticPr fontId="3" type="noConversion"/>
  </si>
  <si>
    <t>EAI</t>
    <phoneticPr fontId="3" type="noConversion"/>
  </si>
  <si>
    <t>EAI의 구축 유형 4가지</t>
    <phoneticPr fontId="3" type="noConversion"/>
  </si>
  <si>
    <t xml:space="preserve">Point-to-Point </t>
  </si>
  <si>
    <t xml:space="preserve">Hub &amp; Spoke </t>
  </si>
  <si>
    <t>Message Bus</t>
  </si>
  <si>
    <t>Hybrid</t>
  </si>
  <si>
    <t>ESB</t>
    <phoneticPr fontId="3" type="noConversion"/>
  </si>
  <si>
    <t>웹 서비스</t>
    <phoneticPr fontId="3" type="noConversion"/>
  </si>
  <si>
    <t>UDDI</t>
    <phoneticPr fontId="3" type="noConversion"/>
  </si>
  <si>
    <t>인터페이스 보안</t>
    <phoneticPr fontId="3" type="noConversion"/>
  </si>
  <si>
    <t>데이터 무결성 검사 도구</t>
    <phoneticPr fontId="3" type="noConversion"/>
  </si>
  <si>
    <t>Tripwire, AIDE, Samhaim,          Claymore, Slipwire, Fcheck</t>
    <phoneticPr fontId="3" type="noConversion"/>
  </si>
  <si>
    <t>인터페이스 구현 검증 도구</t>
  </si>
  <si>
    <t>xUnit</t>
  </si>
  <si>
    <t>STAF</t>
    <phoneticPr fontId="3" type="noConversion"/>
  </si>
  <si>
    <t>FitNesse</t>
  </si>
  <si>
    <t>NTAF</t>
  </si>
  <si>
    <t>Selenium</t>
    <phoneticPr fontId="3" type="noConversion"/>
  </si>
  <si>
    <t>watir</t>
    <phoneticPr fontId="3" type="noConversion"/>
  </si>
  <si>
    <t xml:space="preserve">APM </t>
  </si>
  <si>
    <t>APM 의 유형 두가지</t>
    <phoneticPr fontId="3" type="noConversion"/>
  </si>
  <si>
    <t>리소스 방식, 엔드투엔드 방식</t>
    <phoneticPr fontId="3" type="noConversion"/>
  </si>
  <si>
    <t>대표적인 APM</t>
    <phoneticPr fontId="3" type="noConversion"/>
  </si>
  <si>
    <t>스카우터, 제니퍼</t>
    <phoneticPr fontId="3" type="noConversion"/>
  </si>
  <si>
    <t>스카우터(Scouter)</t>
    <phoneticPr fontId="3" type="noConversion"/>
  </si>
  <si>
    <t>제니퍼(Jennifer)</t>
    <phoneticPr fontId="3" type="noConversion"/>
  </si>
  <si>
    <t>전 단계에 걸쳐 성능을 모니터링하고 분석해주는 소프트웨어</t>
  </si>
  <si>
    <t>애플리케이션 및 OS 자원에 대한 모니터링 기능을 제공하는 오픈소스 APM 소프트웨어</t>
  </si>
  <si>
    <t>사용자 인터페이스</t>
    <phoneticPr fontId="3" type="noConversion"/>
  </si>
  <si>
    <t>사용자와 시스템 간의 상호작용이 이뤄지도록 도와주는 장치나 소프트웨어</t>
  </si>
  <si>
    <t>명령과 출력이 텍스트 형태로 이뤄지는 인터페이스</t>
  </si>
  <si>
    <t>아이콘이나 메뉴를 마우스로 선택하여 작업을 수행하는 그래픽 환경의 인터페이스</t>
  </si>
  <si>
    <t>사용자의 말이나 행동으로 기기를 조작하는 인터페이스</t>
  </si>
  <si>
    <t>사용자 인터페이스 기본 원칙</t>
  </si>
  <si>
    <t>누구나 쉽게 이해하고 사용할 수 있어야 함</t>
  </si>
  <si>
    <t>사용자의 목적을 정확하고 완벽하게 달성해야 함</t>
  </si>
  <si>
    <t>누구나 쉽게 배우고 익힐 수 있어야 함</t>
  </si>
  <si>
    <t>사용자의 요구사항을 최대한 수용하고 실수를 최소해야 함</t>
  </si>
  <si>
    <t>CLI</t>
    <phoneticPr fontId="3" type="noConversion"/>
  </si>
  <si>
    <t>GUI</t>
    <phoneticPr fontId="3" type="noConversion"/>
  </si>
  <si>
    <t>NUI</t>
    <phoneticPr fontId="3" type="noConversion"/>
  </si>
  <si>
    <t>직관성, 유효성, 학습성, 유연성</t>
    <phoneticPr fontId="3" type="noConversion"/>
  </si>
  <si>
    <t>유효성</t>
    <phoneticPr fontId="3" type="noConversion"/>
  </si>
  <si>
    <t>학습성</t>
    <phoneticPr fontId="3" type="noConversion"/>
  </si>
  <si>
    <t>유연성</t>
    <phoneticPr fontId="3" type="noConversion"/>
  </si>
  <si>
    <t>직관성</t>
    <phoneticPr fontId="3" type="noConversion"/>
  </si>
  <si>
    <t xml:space="preserve">소프트웨어 패키징 </t>
  </si>
  <si>
    <t>기능식별&gt;모듈화&gt;빌드 진행&gt;사용자환경분석&gt;패키징및적용시험&gt;패키징변경개선&gt;배포</t>
    <phoneticPr fontId="3" type="noConversion"/>
  </si>
  <si>
    <t>저작권</t>
  </si>
  <si>
    <t xml:space="preserve">디지털 저작권 관리(DRM) </t>
  </si>
  <si>
    <t>클리어링 하우스</t>
    <phoneticPr fontId="3" type="noConversion"/>
  </si>
  <si>
    <t>콘텐츠 제공자</t>
    <phoneticPr fontId="3" type="noConversion"/>
  </si>
  <si>
    <t>패키저</t>
    <phoneticPr fontId="3" type="noConversion"/>
  </si>
  <si>
    <t>콘텐츠 분배자</t>
    <phoneticPr fontId="3" type="noConversion"/>
  </si>
  <si>
    <t>콘텐츠 소비자</t>
    <phoneticPr fontId="3" type="noConversion"/>
  </si>
  <si>
    <t>DRM 컨트롤러</t>
    <phoneticPr fontId="3" type="noConversion"/>
  </si>
  <si>
    <t>보안 컨테이너</t>
    <phoneticPr fontId="3" type="noConversion"/>
  </si>
  <si>
    <t>저작권에 대한 사용 권한, 라이선스 발급, 암호화된 키 관리, 사용량에 따른 결제 관리 등을 수행하는 곳</t>
  </si>
  <si>
    <t>콘텐츠를 제공하는 저작권자</t>
  </si>
  <si>
    <t>콘텐츠를 메타 데이터와 함께 배포 가능한 형태로 묶어 암호화하는 프로그램</t>
  </si>
  <si>
    <t>암호화된 콘텐츠를 유통하는 곳이나 사람</t>
  </si>
  <si>
    <t>콘텐츠를 구매해서 사용하는 주체</t>
  </si>
  <si>
    <t>배포된 콘텐츠의 이용 권한을 통제하는 프로그램</t>
  </si>
  <si>
    <t>콘텐츠 원본을 안전하게 유통하기 위한 전자적 보안 장치</t>
  </si>
  <si>
    <t xml:space="preserve">형상 관리(SCM) </t>
  </si>
  <si>
    <t>개발 과정에서 소프트웨어의 변경 사항을 관리하기 위해 개발된 일련의 활동</t>
  </si>
  <si>
    <t xml:space="preserve">저장소(Repository) </t>
  </si>
  <si>
    <t xml:space="preserve">가져오기 (Import) </t>
  </si>
  <si>
    <t xml:space="preserve">체크아웃(Check-Out) </t>
  </si>
  <si>
    <t xml:space="preserve">체크인(Check-In) </t>
  </si>
  <si>
    <t xml:space="preserve">커밋(Commit) </t>
  </si>
  <si>
    <t xml:space="preserve">동기화(Update) </t>
  </si>
  <si>
    <t>체크인을 수행할 때 이전에 갱신된 내용이 있는 경우에는 충돌(Conflict)를 알리고 diff 도구를 이용해 수정한 후 갱신을 완료함</t>
    <phoneticPr fontId="3" type="noConversion"/>
  </si>
  <si>
    <t>체크아웃 한 파일을 수정을 완료한 후 저장소의 파일을 새로운 버전으로 갱신함</t>
  </si>
  <si>
    <t xml:space="preserve">프로그램을 수정하기 위해 저장소에서 파일을 받아 옴. </t>
  </si>
  <si>
    <t>버전 관리가 되고 있지 않은 아무것도 없는 저장소에 처음으로 파일을 복사 함</t>
  </si>
  <si>
    <t>최신 버전의 파일들과 변경 내역에 대한 정보들이 저장되어 있는 곳</t>
    <phoneticPr fontId="3" type="noConversion"/>
  </si>
  <si>
    <t xml:space="preserve">소프트웨어 버전 등록 과정 </t>
  </si>
  <si>
    <t>가져오기&gt;인출&gt;예치&gt;동기화&gt;차이</t>
    <phoneticPr fontId="3" type="noConversion"/>
  </si>
  <si>
    <t xml:space="preserve">Windows </t>
  </si>
  <si>
    <t>1990년대 마이크로소프트 사가 개발한 운영체제</t>
  </si>
  <si>
    <t>GUI, 선점형 멀티태스킹, PnP, OLE, 255자, Single-User 시스템</t>
    <phoneticPr fontId="3" type="noConversion"/>
  </si>
  <si>
    <t xml:space="preserve">UNIX </t>
  </si>
  <si>
    <t>커널, 쉘, 유틸리티 프로그램</t>
    <phoneticPr fontId="3" type="noConversion"/>
  </si>
  <si>
    <t xml:space="preserve">커널(Kernel) </t>
  </si>
  <si>
    <t xml:space="preserve">쉘(Shell) </t>
  </si>
  <si>
    <t xml:space="preserve">유틸리티 프로그램(Utility Program) </t>
  </si>
  <si>
    <t xml:space="preserve">LINUX </t>
  </si>
  <si>
    <t xml:space="preserve">MacOS </t>
  </si>
  <si>
    <t xml:space="preserve">Android </t>
  </si>
  <si>
    <t xml:space="preserve">iOS </t>
  </si>
  <si>
    <t>애플 사에서 개발한 모바일 운영체제</t>
  </si>
  <si>
    <t>반입, 배치, 교체 전략</t>
    <phoneticPr fontId="3" type="noConversion"/>
  </si>
  <si>
    <t xml:space="preserve">반입 전략 </t>
  </si>
  <si>
    <t xml:space="preserve">배치 전략 </t>
  </si>
  <si>
    <t xml:space="preserve">교체 전략 </t>
  </si>
  <si>
    <t>프로그램이나 데이터를 주기억장치의 어디에 위치 시킬 것인지를 결정</t>
  </si>
  <si>
    <t>반입전략 종류 두가지</t>
    <phoneticPr fontId="3" type="noConversion"/>
  </si>
  <si>
    <t>요구반입, 예상반입</t>
    <phoneticPr fontId="3" type="noConversion"/>
  </si>
  <si>
    <t>최초, 최적, 최악</t>
    <phoneticPr fontId="3" type="noConversion"/>
  </si>
  <si>
    <t>배치 전략 종류 세가지</t>
    <phoneticPr fontId="3" type="noConversion"/>
  </si>
  <si>
    <t xml:space="preserve">가상기억장치 </t>
  </si>
  <si>
    <t xml:space="preserve">페이징(Paging) 기법 </t>
  </si>
  <si>
    <t xml:space="preserve">페이지(Page) </t>
  </si>
  <si>
    <t xml:space="preserve">페이지 프레임(Page Frame) </t>
    <phoneticPr fontId="3" type="noConversion"/>
  </si>
  <si>
    <t xml:space="preserve">세그먼테이션 기법 </t>
  </si>
  <si>
    <t xml:space="preserve">세그먼트 </t>
  </si>
  <si>
    <t xml:space="preserve">페이지 교체 알고리즘 </t>
  </si>
  <si>
    <t xml:space="preserve">OPT(최적교체) </t>
  </si>
  <si>
    <t>FIFO</t>
    <phoneticPr fontId="3" type="noConversion"/>
  </si>
  <si>
    <t>LRU</t>
    <phoneticPr fontId="3" type="noConversion"/>
  </si>
  <si>
    <t>LFU</t>
    <phoneticPr fontId="3" type="noConversion"/>
  </si>
  <si>
    <t>NUR</t>
    <phoneticPr fontId="3" type="noConversion"/>
  </si>
  <si>
    <t>SCR(2차 기회 교체)</t>
    <phoneticPr fontId="3" type="noConversion"/>
  </si>
  <si>
    <t>최근에 사용하지 않은 페이지를 교체. 참조 비트와 변형 비트가 사용 됨.</t>
  </si>
  <si>
    <t>사용 빈도가 가장 적은 페이지를 교체</t>
  </si>
  <si>
    <t xml:space="preserve">프로세스 </t>
  </si>
  <si>
    <t xml:space="preserve">PCB(프로세스 제어 블록) </t>
  </si>
  <si>
    <t>프로세스 상태 전이 단계</t>
    <phoneticPr fontId="3" type="noConversion"/>
  </si>
  <si>
    <t>제출, 접수, 준비, 실행, 대기, 블록, 종료</t>
    <phoneticPr fontId="3" type="noConversion"/>
  </si>
  <si>
    <t xml:space="preserve">제출(Submit) </t>
  </si>
  <si>
    <t xml:space="preserve">접수(Hold) </t>
  </si>
  <si>
    <t xml:space="preserve">준비(Ready) </t>
  </si>
  <si>
    <t xml:space="preserve">실행(Run) </t>
  </si>
  <si>
    <t>대기(Wait), 블록(Block)</t>
    <phoneticPr fontId="3" type="noConversion"/>
  </si>
  <si>
    <t xml:space="preserve">종료(Terminated, Exit) </t>
  </si>
  <si>
    <t xml:space="preserve">프로세스에 입출력 처리가 필요하면 현재 실행 중인 프로세스가 중단되고, 입출력 처리가 완료될 떄까지 대기하고 있는 상태 </t>
    <phoneticPr fontId="3" type="noConversion"/>
  </si>
  <si>
    <t>준비상태 큐에 있는 프로세스가 프로세서를 할당받아 실행되는 상태</t>
  </si>
  <si>
    <t>제출된 작업이 스풀 공간인 디스크의 할당 위치에 저장된 상태</t>
  </si>
  <si>
    <t>작업을 처리하기 위해 사용자가 작업을 시스템에 제출한 상태</t>
  </si>
  <si>
    <t>프로세스가 프로세서를 할당받기 위해 기다리고 있는 상태</t>
  </si>
  <si>
    <t xml:space="preserve">Dispatch </t>
  </si>
  <si>
    <t>Wake Up</t>
  </si>
  <si>
    <t xml:space="preserve">Spooling </t>
  </si>
  <si>
    <t xml:space="preserve">교통량 제어기 </t>
  </si>
  <si>
    <t xml:space="preserve">스레드 </t>
  </si>
  <si>
    <t>입 출력할 데이터를 나중에 한꺼번에 입출력 하기 위해 디스크에 저장하는 과정</t>
  </si>
  <si>
    <t xml:space="preserve">FCFS(선입선출) </t>
  </si>
  <si>
    <t xml:space="preserve">HRN(Highest Response-ratio Next) </t>
  </si>
  <si>
    <t>우선순위 계산 식</t>
    <phoneticPr fontId="3" type="noConversion"/>
  </si>
  <si>
    <t>(대기시간+서비스시간)/서비스시간</t>
    <phoneticPr fontId="3" type="noConversion"/>
  </si>
  <si>
    <t xml:space="preserve">인터넷 </t>
    <phoneticPr fontId="3" type="noConversion"/>
  </si>
  <si>
    <t xml:space="preserve">IP주소 </t>
  </si>
  <si>
    <t xml:space="preserve">서브네팅 </t>
  </si>
  <si>
    <t xml:space="preserve">IPv6 </t>
  </si>
  <si>
    <t>현재 사용하고 있는 IP주소 체계인 Ipv4의 주소 부족 문제를 해결하기 위해 개발. 128비트. 인증성, 기밀성, 테이터 무결성의 지원</t>
    <phoneticPr fontId="3" type="noConversion"/>
  </si>
  <si>
    <t>IPv6의 세 가지 주소 체계</t>
    <phoneticPr fontId="3" type="noConversion"/>
  </si>
  <si>
    <t>유니캐스트, 멀티캐스트, 애니캐스트</t>
    <phoneticPr fontId="3" type="noConversion"/>
  </si>
  <si>
    <t>도메인 네임</t>
    <phoneticPr fontId="3" type="noConversion"/>
  </si>
  <si>
    <t xml:space="preserve">DNS </t>
  </si>
  <si>
    <t xml:space="preserve">물리 계층(Physical Layer) </t>
  </si>
  <si>
    <t>데이터 링크 계층(Data Link Layer)</t>
  </si>
  <si>
    <t xml:space="preserve">네트워크 계층(Network Layer, 망 계층) </t>
  </si>
  <si>
    <t xml:space="preserve">전송 계층(Transport Layer) </t>
  </si>
  <si>
    <t xml:space="preserve">세션 계층(Session Layer) </t>
  </si>
  <si>
    <t xml:space="preserve">표현 계층(Presentation Layer) </t>
  </si>
  <si>
    <t xml:space="preserve">응용 계층(Application Layer) </t>
  </si>
  <si>
    <t xml:space="preserve">프로토콜(Protocol) </t>
  </si>
  <si>
    <t>프로토콜 구성요소 3가지</t>
    <phoneticPr fontId="3" type="noConversion"/>
  </si>
  <si>
    <t>구문, 의미, 시간</t>
    <phoneticPr fontId="3" type="noConversion"/>
  </si>
  <si>
    <t xml:space="preserve">구문(Syntax) </t>
  </si>
  <si>
    <t xml:space="preserve">의미(Semantics) </t>
  </si>
  <si>
    <t xml:space="preserve">시간(Timing) </t>
  </si>
  <si>
    <t xml:space="preserve">TCP/IP </t>
  </si>
  <si>
    <t xml:space="preserve">FTP </t>
  </si>
  <si>
    <t>SMTP</t>
    <phoneticPr fontId="3" type="noConversion"/>
  </si>
  <si>
    <t>TELNET</t>
    <phoneticPr fontId="3" type="noConversion"/>
  </si>
  <si>
    <t>SNMP</t>
    <phoneticPr fontId="3" type="noConversion"/>
  </si>
  <si>
    <t xml:space="preserve">DNS </t>
    <phoneticPr fontId="3" type="noConversion"/>
  </si>
  <si>
    <t>HTTP</t>
    <phoneticPr fontId="3" type="noConversion"/>
  </si>
  <si>
    <t>TCP</t>
    <phoneticPr fontId="3" type="noConversion"/>
  </si>
  <si>
    <t>UDP</t>
    <phoneticPr fontId="3" type="noConversion"/>
  </si>
  <si>
    <t>RTCP</t>
    <phoneticPr fontId="3" type="noConversion"/>
  </si>
  <si>
    <t>IP</t>
    <phoneticPr fontId="3" type="noConversion"/>
  </si>
  <si>
    <t>ICMP</t>
    <phoneticPr fontId="3" type="noConversion"/>
  </si>
  <si>
    <t>IGMP</t>
    <phoneticPr fontId="3" type="noConversion"/>
  </si>
  <si>
    <t>ARP</t>
    <phoneticPr fontId="3" type="noConversion"/>
  </si>
  <si>
    <t>RARP</t>
    <phoneticPr fontId="3" type="noConversion"/>
  </si>
  <si>
    <t>Ethernet</t>
    <phoneticPr fontId="3" type="noConversion"/>
  </si>
  <si>
    <t>IEEE 802</t>
    <phoneticPr fontId="3" type="noConversion"/>
  </si>
  <si>
    <t>HDLC</t>
    <phoneticPr fontId="3" type="noConversion"/>
  </si>
  <si>
    <t>X.25</t>
    <phoneticPr fontId="3" type="noConversion"/>
  </si>
  <si>
    <t>RS-232C</t>
    <phoneticPr fontId="3" type="noConversion"/>
  </si>
  <si>
    <t>호스트의 IP 주소를 호스트와 연결된 네트워크 접속 장치의 물리적 주소(MAC Address)로 바꿈</t>
    <phoneticPr fontId="3" type="noConversion"/>
  </si>
  <si>
    <t>실세계와 가상 세계의 다양한 사물들을 인터넷으로 서로 연결하여 진보된 서비스를 제공하기 위한 서비스 기반 기술</t>
  </si>
  <si>
    <t>지능형 초연결망</t>
  </si>
  <si>
    <t xml:space="preserve">네트워크 </t>
  </si>
  <si>
    <t>네트워크 설치 구조</t>
    <phoneticPr fontId="3" type="noConversion"/>
  </si>
  <si>
    <t>성형, 링형, 버스형, 계층형, 망형</t>
  </si>
  <si>
    <t>네트워크 분류</t>
    <phoneticPr fontId="3" type="noConversion"/>
  </si>
  <si>
    <t>LAN, WAN</t>
    <phoneticPr fontId="3" type="noConversion"/>
  </si>
  <si>
    <t xml:space="preserve">근거리 통신망(LAN) </t>
  </si>
  <si>
    <t xml:space="preserve">광대역 통신망(WAN) </t>
  </si>
  <si>
    <t>멀리 떨어진 사이트들을 연결하여 구성함</t>
    <phoneticPr fontId="3" type="noConversion"/>
  </si>
  <si>
    <t xml:space="preserve">NAT(네트워크 주소 변환) </t>
    <phoneticPr fontId="3" type="noConversion"/>
  </si>
  <si>
    <t xml:space="preserve">802.11(초기 버전) </t>
  </si>
  <si>
    <t xml:space="preserve">경로 제어 </t>
  </si>
  <si>
    <t>경로 제어 프로토콜(Routing Protocol) 종류</t>
    <phoneticPr fontId="3" type="noConversion"/>
  </si>
  <si>
    <t>IGP의 종류 두가지</t>
    <phoneticPr fontId="3" type="noConversion"/>
  </si>
  <si>
    <t>RIP, OSPF</t>
    <phoneticPr fontId="3" type="noConversion"/>
  </si>
  <si>
    <t>BGP(Border Gateway Protocol)</t>
  </si>
  <si>
    <t xml:space="preserve">트래픽 제어(Traffic Control) </t>
  </si>
  <si>
    <t xml:space="preserve">흐름 제어(Flow Control) </t>
  </si>
  <si>
    <t>정지-대기(Stop-and-Wait)</t>
  </si>
  <si>
    <t xml:space="preserve">슬라이딩 윈도우(Sliding Window) </t>
  </si>
  <si>
    <t>확인 신호, 즉 수신 통지를 이용하여 송신 데이터 양을 조절하는 방식. 수신 측의 확인 신호를 받지 않더라도 미리 정해진 패킷의 수 만큼 연속적으로 전송하는 방식</t>
    <phoneticPr fontId="3" type="noConversion"/>
  </si>
  <si>
    <t xml:space="preserve">폭주 제어(Congestion Control) </t>
  </si>
  <si>
    <t>폭주제어 종류 두가지</t>
    <phoneticPr fontId="3" type="noConversion"/>
  </si>
  <si>
    <t>느린 시작, 혼잡 회피</t>
    <phoneticPr fontId="3" type="noConversion"/>
  </si>
  <si>
    <t>개인 정보를 활용하는 새로운 정보시스템의 도입 및 기존 정보시스템의 중요한 변경 시 시스템의 구축 운영이 국민의 사생활에 미칠 영향에 대해 미리 조사 분석 평가하는 제도</t>
  </si>
  <si>
    <t>소프트웨어를 제공하는 입장에서는 악의적이지 않은 유용한 소프트웨어 라고 주장할 수 있지만 사용자 입장에서는 유용할 수도 있고 악의적일수도 있는 애드웨어, 트랙웨어, 기타 악성 코드나 악성 공유웨어를 말함</t>
  </si>
  <si>
    <t>3D Printing</t>
  </si>
  <si>
    <t>4D Printing</t>
  </si>
  <si>
    <t>특정 시간이나 환경 조건이 갖추어지면 스스로 형태를 변화시키거나 제조되는 자가 조립 기술이 적용된 제품을 3D Printing 하는 기술</t>
  </si>
  <si>
    <t>4K 해상도</t>
  </si>
  <si>
    <t>N개의 서로 다른 단말기에서 동일한 콘텐츠를 자유롭게 이용할 수 있는 서비스</t>
  </si>
  <si>
    <t>TV 방송 시청 시 방송 내용을 공유하며 추가적인 기능을 수행할 수 있는 스마트폰, 태블릿 PC 의미앤 스크린(N Screen)의 한 종류로 , 세컨드 스크린이라고도 불림</t>
  </si>
  <si>
    <t>C형 유에스비</t>
  </si>
  <si>
    <t xml:space="preserve">회복(Recovery) </t>
  </si>
  <si>
    <t>회복 기법의 종류</t>
  </si>
  <si>
    <t>연기 갱신 기법(Deferred Update)</t>
  </si>
  <si>
    <t>즉각 갱신 기법(Immediate Update)</t>
  </si>
  <si>
    <t>그림자 페이지 대체 기법(Shadow Paging)</t>
  </si>
  <si>
    <t>검사점 기법(Check Point)</t>
  </si>
  <si>
    <t>연기갱신, 즉각갱신, 그림자페이지 대체, 검사점 기법</t>
    <phoneticPr fontId="3" type="noConversion"/>
  </si>
  <si>
    <t xml:space="preserve">병행제어(Concurrency Control) </t>
  </si>
  <si>
    <t xml:space="preserve">로킹(Locking) </t>
  </si>
  <si>
    <t>타임 스탬프 순서(Time Stamp Ordering)</t>
  </si>
  <si>
    <t>다중 버전 기법</t>
  </si>
  <si>
    <t xml:space="preserve">로킹 단위(Locking Granularity) </t>
  </si>
  <si>
    <t>병행제어 기법의 종류</t>
    <phoneticPr fontId="3" type="noConversion"/>
  </si>
  <si>
    <t>IoT (사물 인터넷)</t>
  </si>
  <si>
    <t>M2M (사물 통신)</t>
  </si>
  <si>
    <t>모바일 컴퓨팅(Mobile Computing)</t>
  </si>
  <si>
    <t>클라우드 컴퓨팅 (Cloud Computing)</t>
  </si>
  <si>
    <t>그리드 컴퓨팅(Grid Computing)</t>
  </si>
  <si>
    <t>모바일 클라우드 컴퓨팅(MCC)</t>
  </si>
  <si>
    <t>메시 네트워크(Mesh Network)</t>
  </si>
  <si>
    <t>와이선(Wi-SUN)</t>
  </si>
  <si>
    <t>NDN(Named Data Networking)</t>
  </si>
  <si>
    <t>NGN (차세대 통신망, Next Generation Network)</t>
  </si>
  <si>
    <t>UWB (초광대역, Ultra WideBand)</t>
  </si>
  <si>
    <t>피코넷 (PICONET)</t>
  </si>
  <si>
    <t>애드 훅 네트워크(Ad-hoc Network)</t>
  </si>
  <si>
    <t>네트워크 슬라이싱(Network Slicing)</t>
  </si>
  <si>
    <t>소프트웨어 정의 데이터 센터(SDDC, Software Defined Data Center)</t>
  </si>
  <si>
    <t>인공지능 (AI)</t>
  </si>
  <si>
    <t>뉴럴링크 (Neuralink)</t>
  </si>
  <si>
    <t>딥 러닝 (Deep Learning)</t>
  </si>
  <si>
    <t>전문가 시스템 (Expert System)</t>
  </si>
  <si>
    <t>증강현실 (AR)</t>
  </si>
  <si>
    <t>블록체인 (Blockchain)</t>
  </si>
  <si>
    <t>해시 (Hash)</t>
  </si>
  <si>
    <t>그레이웨어 (Grayware)</t>
  </si>
  <si>
    <t>매시업 (Mashup)</t>
  </si>
  <si>
    <t>시맨틱 웹 (Semantic Web)</t>
  </si>
  <si>
    <t>증발품 (Vaporware)</t>
  </si>
  <si>
    <t>오픈 그리드 서비스 아키텍처(OGSA)</t>
  </si>
  <si>
    <t>디지털 트윈 (Digital Twin)</t>
  </si>
  <si>
    <t>고가용성(HA; High Availability)</t>
  </si>
  <si>
    <t>앤 스크린 (N-Screen)</t>
  </si>
  <si>
    <t>신 클라이언트 PC(Thin Client PC)</t>
  </si>
  <si>
    <t>패블릿 (Phablet)</t>
  </si>
  <si>
    <t>엠디스크(M-Disc)</t>
  </si>
  <si>
    <t>멤리스터(Memrister)</t>
  </si>
  <si>
    <t>빅데이터 (Big Data)</t>
  </si>
  <si>
    <t>브로드 데이터(Broad Data)</t>
  </si>
  <si>
    <t>메타 데이터(Meta Data)</t>
  </si>
  <si>
    <t>디지털 아카이빙(Digital Archiving)</t>
  </si>
  <si>
    <t>하둡(Hadoop)</t>
  </si>
  <si>
    <t>맵리듀스(MapReduce)</t>
  </si>
  <si>
    <t>타조 (Tajo)</t>
  </si>
  <si>
    <t>데이터 다이어트(Data Diet)</t>
  </si>
  <si>
    <t>데이터 마이닝(Data Mining)</t>
  </si>
  <si>
    <t>SDN (소프트웨어 정의 네트워킹,   Software Defined Networking)</t>
    <phoneticPr fontId="3" type="noConversion"/>
  </si>
  <si>
    <t>NFC (근거리 무선 통신,                        Near Field Communication)</t>
    <phoneticPr fontId="3" type="noConversion"/>
  </si>
  <si>
    <t>SON (자동 구성 네트워크,Self Organizing Network)</t>
    <phoneticPr fontId="3" type="noConversion"/>
  </si>
  <si>
    <t>인터클라우드 컴퓨팅                                        (Inter-Cloud Computing)</t>
    <phoneticPr fontId="3" type="noConversion"/>
  </si>
  <si>
    <t>WBAN (Wireless Body Area Network)</t>
    <phoneticPr fontId="3" type="noConversion"/>
  </si>
  <si>
    <t>GIS (지리 정보 시스템)</t>
    <phoneticPr fontId="3" type="noConversion"/>
  </si>
  <si>
    <t>USN (유비쿼터스 센서 네트워크)</t>
    <phoneticPr fontId="3" type="noConversion"/>
  </si>
  <si>
    <t>저전력 블루투스 기술                   (BLE; Bluetooth Low Energy)</t>
    <phoneticPr fontId="3" type="noConversion"/>
  </si>
  <si>
    <t>파장 분할 다중화 (WDM, 
Wavelength Division Multiplexing)</t>
    <phoneticPr fontId="3" type="noConversion"/>
  </si>
  <si>
    <t>개방형 링크드 데이터
(LOD, Linked Open Data)</t>
    <phoneticPr fontId="3" type="noConversion"/>
  </si>
  <si>
    <t xml:space="preserve">IGP (내부 게이트웨이 프로토콜) </t>
    <phoneticPr fontId="3" type="noConversion"/>
  </si>
  <si>
    <t>RIP (Routing Information Protocol)</t>
    <phoneticPr fontId="3" type="noConversion"/>
  </si>
  <si>
    <t>OSPF
(Open Shortest Path First Protocol)</t>
    <phoneticPr fontId="3" type="noConversion"/>
  </si>
  <si>
    <t>EGP (외부 게이트웨이 프로토콜)</t>
    <phoneticPr fontId="3" type="noConversion"/>
  </si>
  <si>
    <t>분산 원장 기술 (DLT;
Distributed Ledger Technology)</t>
    <phoneticPr fontId="3" type="noConversion"/>
  </si>
  <si>
    <t>양자 암호키 분배 (QKD; 
Quantum Key Distribution)</t>
    <phoneticPr fontId="3" type="noConversion"/>
  </si>
  <si>
    <t>프라이버시 강화 기술 (PET;
Privacy Engancing Technology)</t>
    <phoneticPr fontId="3" type="noConversion"/>
  </si>
  <si>
    <t>공통 평가 기준 
(CC; Common Criteria)</t>
    <phoneticPr fontId="3" type="noConversion"/>
  </si>
  <si>
    <t>개인정보 영향평가 제도 (PIA; 
Privacy Impact Assessment)</t>
    <phoneticPr fontId="3" type="noConversion"/>
  </si>
  <si>
    <t>리치 인터넷 애플리케이션 (RIA; 
Rich Internet Application)</t>
    <phoneticPr fontId="3" type="noConversion"/>
  </si>
  <si>
    <t>서비스 지향 아키텍처 (SOA;
Service Oriented Architecture)</t>
    <phoneticPr fontId="3" type="noConversion"/>
  </si>
  <si>
    <t>서비스형 소프트웨어 (SaaS; 
Software as a Service)</t>
    <phoneticPr fontId="3" type="noConversion"/>
  </si>
  <si>
    <t>소프트웨어 에스크로 
(Software Escrow)</t>
    <phoneticPr fontId="3" type="noConversion"/>
  </si>
  <si>
    <t>복잡 이벤트 처리 (CEP; 
Complex Event Preocessing)</t>
    <phoneticPr fontId="3" type="noConversion"/>
  </si>
  <si>
    <t>RAID</t>
    <phoneticPr fontId="3" type="noConversion"/>
  </si>
  <si>
    <t>컴패니언 스크린(Companion Screen)</t>
    <phoneticPr fontId="3" type="noConversion"/>
  </si>
  <si>
    <t>멤스 (MEMS; 
Micro-Electro Mechanical Systems)</t>
    <phoneticPr fontId="3" type="noConversion"/>
  </si>
  <si>
    <t>트러스트존 기술
(TrustZone Technology)</t>
    <phoneticPr fontId="3" type="noConversion"/>
  </si>
  <si>
    <t>OLAP 
(Online Analytical Processing)</t>
    <phoneticPr fontId="3" type="noConversion"/>
  </si>
  <si>
    <t>최적 병행수행
(검증 기법, 확인 기법, 낙관적 기법)</t>
    <phoneticPr fontId="3" type="noConversion"/>
  </si>
  <si>
    <t>객체지향</t>
    <phoneticPr fontId="3" type="noConversion"/>
  </si>
  <si>
    <t>클래스, 객체, 메시지</t>
    <phoneticPr fontId="3" type="noConversion"/>
  </si>
  <si>
    <t>객체</t>
    <phoneticPr fontId="3" type="noConversion"/>
  </si>
  <si>
    <t>클래스</t>
    <phoneticPr fontId="3" type="noConversion"/>
  </si>
  <si>
    <t>메시지</t>
    <phoneticPr fontId="3" type="noConversion"/>
  </si>
  <si>
    <t>캡슐화</t>
    <phoneticPr fontId="3" type="noConversion"/>
  </si>
  <si>
    <t>상속</t>
    <phoneticPr fontId="3" type="noConversion"/>
  </si>
  <si>
    <t>다형성</t>
    <phoneticPr fontId="3" type="noConversion"/>
  </si>
  <si>
    <t>연관화</t>
    <phoneticPr fontId="3" type="noConversion"/>
  </si>
  <si>
    <t>연관성</t>
    <phoneticPr fontId="3" type="noConversion"/>
  </si>
  <si>
    <t>분류화</t>
    <phoneticPr fontId="3" type="noConversion"/>
  </si>
  <si>
    <t>집단화</t>
    <phoneticPr fontId="3" type="noConversion"/>
  </si>
  <si>
    <t>일반화</t>
    <phoneticPr fontId="3" type="noConversion"/>
  </si>
  <si>
    <t>상세화</t>
    <phoneticPr fontId="3" type="noConversion"/>
  </si>
  <si>
    <t>럼바우 방법</t>
    <phoneticPr fontId="3" type="noConversion"/>
  </si>
  <si>
    <t>부치 방법</t>
    <phoneticPr fontId="3" type="noConversion"/>
  </si>
  <si>
    <t>jacobson 방법</t>
    <phoneticPr fontId="3" type="noConversion"/>
  </si>
  <si>
    <t>coad yourdon 방법</t>
    <phoneticPr fontId="3" type="noConversion"/>
  </si>
  <si>
    <t>wirfs-brock 방법</t>
    <phoneticPr fontId="3" type="noConversion"/>
  </si>
  <si>
    <t>동적 모델링</t>
    <phoneticPr fontId="3" type="noConversion"/>
  </si>
  <si>
    <t>SOLID 원칙</t>
    <phoneticPr fontId="3" type="noConversion"/>
  </si>
  <si>
    <t>단일 책임 원칙</t>
    <phoneticPr fontId="3" type="noConversion"/>
  </si>
  <si>
    <t>개방-폐쇄 원칙</t>
    <phoneticPr fontId="3" type="noConversion"/>
  </si>
  <si>
    <t>리스코프 치환 원칙</t>
    <phoneticPr fontId="3" type="noConversion"/>
  </si>
  <si>
    <t>인터페이스 분리 원칙</t>
    <phoneticPr fontId="3" type="noConversion"/>
  </si>
  <si>
    <t>모듈</t>
    <phoneticPr fontId="3" type="noConversion"/>
  </si>
  <si>
    <t>결합도</t>
    <phoneticPr fontId="3" type="noConversion"/>
  </si>
  <si>
    <t>내용 결합도</t>
    <phoneticPr fontId="3" type="noConversion"/>
  </si>
  <si>
    <t>공통 결합도</t>
    <phoneticPr fontId="3" type="noConversion"/>
  </si>
  <si>
    <t>외부 결합도</t>
    <phoneticPr fontId="3" type="noConversion"/>
  </si>
  <si>
    <t>제어 결합도</t>
    <phoneticPr fontId="3" type="noConversion"/>
  </si>
  <si>
    <t>스탬프 결합도</t>
    <phoneticPr fontId="3" type="noConversion"/>
  </si>
  <si>
    <t>자료 결합도</t>
    <phoneticPr fontId="3" type="noConversion"/>
  </si>
  <si>
    <t>응집도</t>
    <phoneticPr fontId="3" type="noConversion"/>
  </si>
  <si>
    <t>순차적 응집도</t>
    <phoneticPr fontId="3" type="noConversion"/>
  </si>
  <si>
    <t>기능적 응집도</t>
    <phoneticPr fontId="3" type="noConversion"/>
  </si>
  <si>
    <t>교환적 응집도</t>
    <phoneticPr fontId="3" type="noConversion"/>
  </si>
  <si>
    <t>절차적 응집도</t>
    <phoneticPr fontId="3" type="noConversion"/>
  </si>
  <si>
    <t>시간적 응집도</t>
    <phoneticPr fontId="3" type="noConversion"/>
  </si>
  <si>
    <t>논리적 응집도</t>
    <phoneticPr fontId="3" type="noConversion"/>
  </si>
  <si>
    <t>우연적 응집도</t>
    <phoneticPr fontId="3" type="noConversion"/>
  </si>
  <si>
    <t>팬인</t>
    <phoneticPr fontId="3" type="noConversion"/>
  </si>
  <si>
    <t>팬아웃</t>
    <phoneticPr fontId="3" type="noConversion"/>
  </si>
  <si>
    <t>N-S 차트</t>
    <phoneticPr fontId="3" type="noConversion"/>
  </si>
  <si>
    <t>단위 모듈</t>
    <phoneticPr fontId="3" type="noConversion"/>
  </si>
  <si>
    <t>IPC</t>
    <phoneticPr fontId="3" type="noConversion"/>
  </si>
  <si>
    <t>socket</t>
    <phoneticPr fontId="3" type="noConversion"/>
  </si>
  <si>
    <t>semaphores</t>
    <phoneticPr fontId="3" type="noConversion"/>
  </si>
  <si>
    <t>pipes&amp;named pipes</t>
    <phoneticPr fontId="3" type="noConversion"/>
  </si>
  <si>
    <t>message queueing</t>
    <phoneticPr fontId="3" type="noConversion"/>
  </si>
  <si>
    <t>단위 모듈 테스트</t>
    <phoneticPr fontId="3" type="noConversion"/>
  </si>
  <si>
    <t>테스트 케이스</t>
    <phoneticPr fontId="3" type="noConversion"/>
  </si>
  <si>
    <t>코드</t>
    <phoneticPr fontId="3" type="noConversion"/>
  </si>
  <si>
    <t>순차 코드</t>
    <phoneticPr fontId="3" type="noConversion"/>
  </si>
  <si>
    <t>블록 코드</t>
    <phoneticPr fontId="3" type="noConversion"/>
  </si>
  <si>
    <t>이진 코드</t>
    <phoneticPr fontId="3" type="noConversion"/>
  </si>
  <si>
    <t>그룹 분류 코드</t>
    <phoneticPr fontId="3" type="noConversion"/>
  </si>
  <si>
    <t>연상 코드</t>
    <phoneticPr fontId="3" type="noConversion"/>
  </si>
  <si>
    <t>표의 숫자 코드</t>
    <phoneticPr fontId="3" type="noConversion"/>
  </si>
  <si>
    <t>합병 코드</t>
    <phoneticPr fontId="3" type="noConversion"/>
  </si>
  <si>
    <t>디자인 패턴</t>
    <phoneticPr fontId="3" type="noConversion"/>
  </si>
  <si>
    <t>생성, 구조, 행위</t>
    <phoneticPr fontId="3" type="noConversion"/>
  </si>
  <si>
    <t>생성 패턴</t>
    <phoneticPr fontId="3" type="noConversion"/>
  </si>
  <si>
    <t>빌더</t>
    <phoneticPr fontId="3" type="noConversion"/>
  </si>
  <si>
    <t>프로토타입</t>
    <phoneticPr fontId="3" type="noConversion"/>
  </si>
  <si>
    <t>싱글톤</t>
    <phoneticPr fontId="3" type="noConversion"/>
  </si>
  <si>
    <t>팩토리 메소드</t>
    <phoneticPr fontId="3" type="noConversion"/>
  </si>
  <si>
    <t>구조 패턴</t>
    <phoneticPr fontId="3" type="noConversion"/>
  </si>
  <si>
    <t>어댑터</t>
    <phoneticPr fontId="3" type="noConversion"/>
  </si>
  <si>
    <t>브리지</t>
    <phoneticPr fontId="3" type="noConversion"/>
  </si>
  <si>
    <t>컴포지트</t>
    <phoneticPr fontId="3" type="noConversion"/>
  </si>
  <si>
    <t>데코레이터</t>
    <phoneticPr fontId="3" type="noConversion"/>
  </si>
  <si>
    <t>퍼싸드</t>
    <phoneticPr fontId="3" type="noConversion"/>
  </si>
  <si>
    <t>플라이웨이트</t>
    <phoneticPr fontId="3" type="noConversion"/>
  </si>
  <si>
    <t>프록시</t>
    <phoneticPr fontId="3" type="noConversion"/>
  </si>
  <si>
    <t>행위 패턴</t>
    <phoneticPr fontId="3" type="noConversion"/>
  </si>
  <si>
    <t>책임 연쇄</t>
    <phoneticPr fontId="3" type="noConversion"/>
  </si>
  <si>
    <t>커맨드</t>
    <phoneticPr fontId="3" type="noConversion"/>
  </si>
  <si>
    <t>인터프리터</t>
    <phoneticPr fontId="3" type="noConversion"/>
  </si>
  <si>
    <t>반복자</t>
    <phoneticPr fontId="3" type="noConversion"/>
  </si>
  <si>
    <t>메멘토</t>
    <phoneticPr fontId="3" type="noConversion"/>
  </si>
  <si>
    <t>옵서버</t>
    <phoneticPr fontId="3" type="noConversion"/>
  </si>
  <si>
    <t>템플릿 메소드</t>
    <phoneticPr fontId="3" type="noConversion"/>
  </si>
  <si>
    <t>배치 프로그램</t>
    <phoneticPr fontId="3" type="noConversion"/>
  </si>
  <si>
    <t>Quartz</t>
    <phoneticPr fontId="3" type="noConversion"/>
  </si>
  <si>
    <t>cron</t>
    <phoneticPr fontId="3" type="noConversion"/>
  </si>
  <si>
    <t>채점</t>
    <phoneticPr fontId="3" type="noConversion"/>
  </si>
  <si>
    <t>데이터베이스</t>
    <phoneticPr fontId="3" type="noConversion"/>
  </si>
  <si>
    <t>DBMS</t>
    <phoneticPr fontId="3" type="noConversion"/>
  </si>
  <si>
    <t>논리적 독립성</t>
    <phoneticPr fontId="3" type="noConversion"/>
  </si>
  <si>
    <t>물리적 독립성</t>
    <phoneticPr fontId="3" type="noConversion"/>
  </si>
  <si>
    <t>스키마</t>
    <phoneticPr fontId="3" type="noConversion"/>
  </si>
  <si>
    <t>개념 스키마</t>
    <phoneticPr fontId="3" type="noConversion"/>
  </si>
  <si>
    <t>외부 스키마</t>
    <phoneticPr fontId="3" type="noConversion"/>
  </si>
  <si>
    <t>내부 스키마</t>
    <phoneticPr fontId="3" type="noConversion"/>
  </si>
  <si>
    <t>개체, 속성, 관계</t>
    <phoneticPr fontId="3" type="noConversion"/>
  </si>
  <si>
    <t>튜플</t>
    <phoneticPr fontId="3" type="noConversion"/>
  </si>
  <si>
    <t>속성</t>
    <phoneticPr fontId="3" type="noConversion"/>
  </si>
  <si>
    <t>도메인</t>
    <phoneticPr fontId="3" type="noConversion"/>
  </si>
  <si>
    <t>후보키</t>
    <phoneticPr fontId="3" type="noConversion"/>
  </si>
  <si>
    <t>기본키</t>
    <phoneticPr fontId="3" type="noConversion"/>
  </si>
  <si>
    <t>대체키</t>
    <phoneticPr fontId="3" type="noConversion"/>
  </si>
  <si>
    <t>슈퍼키</t>
    <phoneticPr fontId="3" type="noConversion"/>
  </si>
  <si>
    <t>외래키</t>
    <phoneticPr fontId="3" type="noConversion"/>
  </si>
  <si>
    <t>관계대수</t>
    <phoneticPr fontId="3" type="noConversion"/>
  </si>
  <si>
    <t>select</t>
    <phoneticPr fontId="3" type="noConversion"/>
  </si>
  <si>
    <t>project</t>
    <phoneticPr fontId="3" type="noConversion"/>
  </si>
  <si>
    <t>join</t>
    <phoneticPr fontId="3" type="noConversion"/>
  </si>
  <si>
    <t>division</t>
    <phoneticPr fontId="3" type="noConversion"/>
  </si>
  <si>
    <t>관계해석</t>
    <phoneticPr fontId="3" type="noConversion"/>
  </si>
  <si>
    <t>정규화</t>
    <phoneticPr fontId="3" type="noConversion"/>
  </si>
  <si>
    <t>수평분할</t>
    <phoneticPr fontId="3" type="noConversion"/>
  </si>
  <si>
    <t>수직분할</t>
    <phoneticPr fontId="3" type="noConversion"/>
  </si>
  <si>
    <t>트랜잭션</t>
    <phoneticPr fontId="3" type="noConversion"/>
  </si>
  <si>
    <t>원자성</t>
    <phoneticPr fontId="3" type="noConversion"/>
  </si>
  <si>
    <t>일관성</t>
    <phoneticPr fontId="3" type="noConversion"/>
  </si>
  <si>
    <t>독립성</t>
    <phoneticPr fontId="3" type="noConversion"/>
  </si>
  <si>
    <t>CRUD 분석</t>
    <phoneticPr fontId="3" type="noConversion"/>
  </si>
  <si>
    <t>뷰</t>
    <phoneticPr fontId="3" type="noConversion"/>
  </si>
  <si>
    <t>MAC</t>
    <phoneticPr fontId="3" type="noConversion"/>
  </si>
  <si>
    <t>DAC</t>
    <phoneticPr fontId="3" type="noConversion"/>
  </si>
  <si>
    <t>RBAC</t>
    <phoneticPr fontId="3" type="noConversion"/>
  </si>
  <si>
    <t>접근통제 메커니즘</t>
    <phoneticPr fontId="3" type="noConversion"/>
  </si>
  <si>
    <t>트리</t>
    <phoneticPr fontId="3" type="noConversion"/>
  </si>
  <si>
    <t>이진 트리</t>
    <phoneticPr fontId="3" type="noConversion"/>
  </si>
  <si>
    <t>삽입 정렬</t>
    <phoneticPr fontId="3" type="noConversion"/>
  </si>
  <si>
    <t>선택정렬</t>
    <phoneticPr fontId="3" type="noConversion"/>
  </si>
  <si>
    <t>버블 정렬</t>
    <phoneticPr fontId="3" type="noConversion"/>
  </si>
  <si>
    <t>쉘 정렬</t>
    <phoneticPr fontId="3" type="noConversion"/>
  </si>
  <si>
    <t>퀵 정렬</t>
    <phoneticPr fontId="3" type="noConversion"/>
  </si>
  <si>
    <t>힙정렬</t>
    <phoneticPr fontId="3" type="noConversion"/>
  </si>
  <si>
    <t>2-way 합병 정렬</t>
    <phoneticPr fontId="3" type="noConversion"/>
  </si>
  <si>
    <t>기수 정렬</t>
    <phoneticPr fontId="3" type="noConversion"/>
  </si>
  <si>
    <t>사용자나 응용 프로그래머가 각 개인의 입장에서 필요로 하는 데이터베이스의 논리적 구조를 정의한 것</t>
    <phoneticPr fontId="3" type="noConversion"/>
  </si>
  <si>
    <t>데이터베이스의 전체적인 논리적 구조. 하나만 존재</t>
    <phoneticPr fontId="3" type="noConversion"/>
  </si>
  <si>
    <t>물리적 저장장치의 입장에서 본 데이터베이스의 구조. 실제로 저장될 레코드의 형식, 저장 데이터 항목의 표현 방법, 내부 레코드의 물리적 순서 등을 나타냄.</t>
    <phoneticPr fontId="3" type="noConversion"/>
  </si>
  <si>
    <t>직관성,유효성,학습성,유연성</t>
    <phoneticPr fontId="3" type="noConversion"/>
  </si>
  <si>
    <t>정의, 조작, 제어</t>
    <phoneticPr fontId="3" type="noConversion"/>
  </si>
  <si>
    <t>논리적 설계</t>
    <phoneticPr fontId="3" type="noConversion"/>
  </si>
  <si>
    <t>물리적 설계</t>
    <phoneticPr fontId="3" type="noConversion"/>
  </si>
  <si>
    <t>데이터베이스 구현</t>
    <phoneticPr fontId="3" type="noConversion"/>
  </si>
  <si>
    <t>개념적 설계</t>
    <phoneticPr fontId="3" type="noConversion"/>
  </si>
  <si>
    <t>관계형 데이터베이스</t>
    <phoneticPr fontId="3" type="noConversion"/>
  </si>
  <si>
    <t>요구 조건 분석</t>
    <phoneticPr fontId="3" type="noConversion"/>
  </si>
  <si>
    <t>현실 세계의 정보들을 체계적으로 표현한 개념적 모형</t>
    <phoneticPr fontId="3" type="noConversion"/>
  </si>
  <si>
    <t>기밀성, 무결성, 접근통제모델</t>
    <phoneticPr fontId="3" type="noConversion"/>
  </si>
  <si>
    <t>데이터 모델</t>
    <phoneticPr fontId="3" type="noConversion"/>
  </si>
  <si>
    <t>개체, 관계, 속성</t>
    <phoneticPr fontId="3" type="noConversion"/>
  </si>
  <si>
    <t>개념적 데이터 모델</t>
    <phoneticPr fontId="3" type="noConversion"/>
  </si>
  <si>
    <t>논리적 데이터 모델</t>
    <phoneticPr fontId="3" type="noConversion"/>
  </si>
  <si>
    <t>E-R 모델</t>
    <phoneticPr fontId="3" type="noConversion"/>
  </si>
  <si>
    <t>관계형 데이터모델</t>
    <phoneticPr fontId="3" type="noConversion"/>
  </si>
  <si>
    <t>영속성/지속성</t>
    <phoneticPr fontId="3" type="noConversion"/>
  </si>
  <si>
    <t>CRUD 매트릭스</t>
    <phoneticPr fontId="3" type="noConversion"/>
  </si>
  <si>
    <t>트랜잭션 분석</t>
    <phoneticPr fontId="3" type="noConversion"/>
  </si>
  <si>
    <t>클러스터</t>
    <phoneticPr fontId="3" type="noConversion"/>
  </si>
  <si>
    <t>정책, 메커니즘, 보안모델</t>
    <phoneticPr fontId="3" type="noConversion"/>
  </si>
  <si>
    <t>기밀성 모델</t>
    <phoneticPr fontId="3" type="noConversion"/>
  </si>
  <si>
    <t>무결성 모델</t>
    <phoneticPr fontId="3" type="noConversion"/>
  </si>
  <si>
    <t>접근통제 모델</t>
    <phoneticPr fontId="3" type="noConversion"/>
  </si>
  <si>
    <t>접근통제 행렬</t>
    <phoneticPr fontId="3" type="noConversion"/>
  </si>
  <si>
    <r>
      <t xml:space="preserve">임의적인 접근통제를 관리 위한 보안 모델, 행은 </t>
    </r>
    <r>
      <rPr>
        <sz val="20"/>
        <color theme="9"/>
        <rFont val="210 네모진 020"/>
        <family val="1"/>
        <charset val="129"/>
      </rPr>
      <t>주체</t>
    </r>
    <r>
      <rPr>
        <sz val="20"/>
        <color theme="1"/>
        <rFont val="210 네모진 020"/>
        <family val="1"/>
        <charset val="129"/>
      </rPr>
      <t xml:space="preserve">, 열은 </t>
    </r>
    <r>
      <rPr>
        <sz val="20"/>
        <color theme="9"/>
        <rFont val="210 네모진 020"/>
        <family val="1"/>
        <charset val="129"/>
      </rPr>
      <t>객체</t>
    </r>
    <r>
      <rPr>
        <sz val="20"/>
        <color theme="1"/>
        <rFont val="210 네모진 020"/>
        <family val="1"/>
        <charset val="129"/>
      </rPr>
      <t>로 객체의 권한 유형을 나타냄</t>
    </r>
    <phoneticPr fontId="3" type="noConversion"/>
  </si>
  <si>
    <t>값 종속 통제</t>
    <phoneticPr fontId="3" type="noConversion"/>
  </si>
  <si>
    <t>다중 사용자 통제</t>
    <phoneticPr fontId="3" type="noConversion"/>
  </si>
  <si>
    <t>컨텍스트 기반 통제</t>
    <phoneticPr fontId="3" type="noConversion"/>
  </si>
  <si>
    <t>감사 추적</t>
    <phoneticPr fontId="3" type="noConversion"/>
  </si>
  <si>
    <t>union,
intersection, 
difference, 
cartesian product</t>
    <phoneticPr fontId="3" type="noConversion"/>
  </si>
  <si>
    <t>secure SDLC</t>
    <phoneticPr fontId="3" type="noConversion"/>
  </si>
  <si>
    <t>가용성</t>
    <phoneticPr fontId="3" type="noConversion"/>
  </si>
  <si>
    <t>기밀성</t>
    <phoneticPr fontId="3" type="noConversion"/>
  </si>
  <si>
    <t>무결성</t>
    <phoneticPr fontId="3" type="noConversion"/>
  </si>
  <si>
    <t>인증</t>
    <phoneticPr fontId="3" type="noConversion"/>
  </si>
  <si>
    <t>부인방지</t>
    <phoneticPr fontId="3" type="noConversion"/>
  </si>
  <si>
    <t>시큐어 코딩</t>
    <phoneticPr fontId="3" type="noConversion"/>
  </si>
  <si>
    <t>암호 알고리즘</t>
    <phoneticPr fontId="3" type="noConversion"/>
  </si>
  <si>
    <t>공개키 암호화 방식</t>
    <phoneticPr fontId="3" type="noConversion"/>
  </si>
  <si>
    <t>해시</t>
    <phoneticPr fontId="3" type="noConversion"/>
  </si>
  <si>
    <t>죽음의 핑</t>
    <phoneticPr fontId="3" type="noConversion"/>
  </si>
  <si>
    <t>IP나 ICMP의 특성 악용해 엄청난 양의 데이터를 한 사이트에 집중적으로 보냄으로써 네트워크를 불능 상태로</t>
    <phoneticPr fontId="3" type="noConversion"/>
  </si>
  <si>
    <t>세션 하이재킹</t>
    <phoneticPr fontId="3" type="noConversion"/>
  </si>
  <si>
    <t>스미싱</t>
    <phoneticPr fontId="3" type="noConversion"/>
  </si>
  <si>
    <t>스피어 피싱</t>
    <phoneticPr fontId="3" type="noConversion"/>
  </si>
  <si>
    <t>무작위 대입 공격</t>
    <phoneticPr fontId="3" type="noConversion"/>
  </si>
  <si>
    <t>큐싱</t>
    <phoneticPr fontId="3" type="noConversion"/>
  </si>
  <si>
    <t>SQL 삽입 공격</t>
    <phoneticPr fontId="3" type="noConversion"/>
  </si>
  <si>
    <t>좀비 PC</t>
    <phoneticPr fontId="3" type="noConversion"/>
  </si>
  <si>
    <t>C&amp;C 서버</t>
    <phoneticPr fontId="3" type="noConversion"/>
  </si>
  <si>
    <t>봇넷</t>
    <phoneticPr fontId="3" type="noConversion"/>
  </si>
  <si>
    <t>웜</t>
    <phoneticPr fontId="3" type="noConversion"/>
  </si>
  <si>
    <t>제로데이 공격</t>
    <phoneticPr fontId="3" type="noConversion"/>
  </si>
  <si>
    <t>키로커 공격</t>
    <phoneticPr fontId="3" type="noConversion"/>
  </si>
  <si>
    <t>랜섬웨어</t>
    <phoneticPr fontId="3" type="noConversion"/>
  </si>
  <si>
    <t>백도어</t>
    <phoneticPr fontId="3" type="noConversion"/>
  </si>
  <si>
    <t>IDS</t>
    <phoneticPr fontId="3" type="noConversion"/>
  </si>
  <si>
    <t>IPS</t>
    <phoneticPr fontId="3" type="noConversion"/>
  </si>
  <si>
    <t>방화벽</t>
    <phoneticPr fontId="3" type="noConversion"/>
  </si>
  <si>
    <t>웹 방화벽</t>
    <phoneticPr fontId="3" type="noConversion"/>
  </si>
  <si>
    <r>
      <t>SYN Flooding</t>
    </r>
    <r>
      <rPr>
        <sz val="11"/>
        <color theme="1"/>
        <rFont val="210 네모진 020"/>
        <family val="1"/>
        <charset val="129"/>
      </rPr>
      <t>(SYnchronize Sequence Numbers)</t>
    </r>
    <phoneticPr fontId="3" type="noConversion"/>
  </si>
  <si>
    <t>기밀성, 무결성, 가용성, 인증, 부인방지</t>
    <phoneticPr fontId="3" type="noConversion"/>
  </si>
  <si>
    <t>개인키 암호화 기법</t>
    <phoneticPr fontId="3" type="noConversion"/>
  </si>
  <si>
    <t>SHA,MD5,N-NASH,SNEFRU</t>
    <phoneticPr fontId="3" type="noConversion"/>
  </si>
  <si>
    <t>TFN (Tribal Flood Network)</t>
    <phoneticPr fontId="3" type="noConversion"/>
  </si>
  <si>
    <t>내부의 네트워크와 인터넷 간에 전송되는 정보를 선별하여 수용.거부.수정하는 기능을 가진 침입 차단 시스템</t>
    <phoneticPr fontId="3" type="noConversion"/>
  </si>
  <si>
    <t>clasp, sdl, seventouchpoints</t>
    <phoneticPr fontId="3" type="noConversion"/>
  </si>
  <si>
    <t>SMURFING(스머핑)</t>
    <phoneticPr fontId="3" type="noConversion"/>
  </si>
  <si>
    <t>ARP 스푸핑</t>
    <phoneticPr fontId="3" type="noConversion"/>
  </si>
  <si>
    <t>요구사항 분석,설계,구현,테스트,유지보수</t>
    <phoneticPr fontId="3" type="noConversion"/>
  </si>
  <si>
    <t>스트림, 블록 암호화 방식</t>
    <phoneticPr fontId="3" type="noConversion"/>
  </si>
  <si>
    <t>AES, DES, RSA, ARIA, SEED</t>
    <phoneticPr fontId="3" type="noConversion"/>
  </si>
  <si>
    <t>MD5, SHA, SNEFRU, N-NASH</t>
    <phoneticPr fontId="3" type="noConversion"/>
  </si>
  <si>
    <t>Dos</t>
    <phoneticPr fontId="3" type="noConversion"/>
  </si>
  <si>
    <t>스머핑</t>
    <phoneticPr fontId="3" type="noConversion"/>
  </si>
  <si>
    <t>SYN FLOODING</t>
    <phoneticPr fontId="3" type="noConversion"/>
  </si>
  <si>
    <t>Teardrop</t>
    <phoneticPr fontId="3" type="noConversion"/>
  </si>
  <si>
    <t>LAND attack</t>
    <phoneticPr fontId="3" type="noConversion"/>
  </si>
  <si>
    <t>ddos</t>
    <phoneticPr fontId="3" type="noConversion"/>
  </si>
  <si>
    <t>분산 서비스 공격용 툴</t>
    <phoneticPr fontId="3" type="noConversion"/>
  </si>
  <si>
    <t>trin00, tfn, stacheldraht</t>
    <phoneticPr fontId="3" type="noConversion"/>
  </si>
  <si>
    <t>trin00</t>
    <phoneticPr fontId="3" type="noConversion"/>
  </si>
  <si>
    <t>tfn</t>
    <phoneticPr fontId="3" type="noConversion"/>
  </si>
  <si>
    <t>stacheldraht</t>
    <phoneticPr fontId="3" type="noConversion"/>
  </si>
  <si>
    <t>APT</t>
    <phoneticPr fontId="3" type="noConversion"/>
  </si>
  <si>
    <t>크로스 사이트 스크립팅</t>
    <phoneticPr fontId="3" type="noConversion"/>
  </si>
  <si>
    <t>스니핑</t>
    <phoneticPr fontId="3" type="noConversion"/>
  </si>
  <si>
    <t>트로이목마</t>
    <phoneticPr fontId="3" type="noConversion"/>
  </si>
  <si>
    <t>DLP</t>
    <phoneticPr fontId="3" type="noConversion"/>
  </si>
  <si>
    <t>NAC</t>
    <phoneticPr fontId="3" type="noConversion"/>
  </si>
  <si>
    <t>ESM</t>
    <phoneticPr fontId="3" type="noConversion"/>
  </si>
  <si>
    <t>변수의 정의와 변수 사용의 위치에 초점을 맞춰 실시하는 테스트 케이스 설계 기법</t>
    <phoneticPr fontId="3" type="noConversion"/>
  </si>
  <si>
    <t>화이트박스 테스트</t>
    <phoneticPr fontId="3" type="noConversion"/>
  </si>
  <si>
    <t>기초 경로 검사</t>
    <phoneticPr fontId="3" type="noConversion"/>
  </si>
  <si>
    <t>문장, 조건, 분기, 분기/조건</t>
    <phoneticPr fontId="3" type="noConversion"/>
  </si>
  <si>
    <t>블랙박스 테스트</t>
    <phoneticPr fontId="3" type="noConversion"/>
  </si>
  <si>
    <t>원인-효과 그래프 검사</t>
    <phoneticPr fontId="3" type="noConversion"/>
  </si>
  <si>
    <t>xp</t>
    <phoneticPr fontId="3" type="noConversion"/>
  </si>
  <si>
    <t>연관</t>
    <phoneticPr fontId="3" type="noConversion"/>
  </si>
  <si>
    <t>집합</t>
    <phoneticPr fontId="3" type="noConversion"/>
  </si>
  <si>
    <t>포함</t>
    <phoneticPr fontId="3" type="noConversion"/>
  </si>
  <si>
    <t>의존</t>
    <phoneticPr fontId="3" type="noConversion"/>
  </si>
  <si>
    <t>실체화</t>
    <phoneticPr fontId="3" type="noConversion"/>
  </si>
  <si>
    <t>fp</t>
    <phoneticPr fontId="3" type="noConversion"/>
  </si>
  <si>
    <t xml:space="preserve">기본형 </t>
    <phoneticPr fontId="3" type="noConversion"/>
  </si>
  <si>
    <t>릴리즈계획수립,이터레이션,승인검사,소규모릴리즈</t>
    <phoneticPr fontId="3" type="noConversion"/>
  </si>
  <si>
    <t xml:space="preserve">CMMI </t>
    <phoneticPr fontId="3" type="noConversion"/>
  </si>
  <si>
    <r>
      <t xml:space="preserve">소프트웨어 개발 </t>
    </r>
    <r>
      <rPr>
        <sz val="20"/>
        <color rgb="FFFF0000"/>
        <rFont val="210 네모진 020"/>
        <family val="1"/>
        <charset val="129"/>
      </rPr>
      <t>조직</t>
    </r>
    <r>
      <rPr>
        <sz val="20"/>
        <color theme="1"/>
        <rFont val="210 네모진 020"/>
        <family val="1"/>
        <charset val="129"/>
      </rPr>
      <t xml:space="preserve">의 </t>
    </r>
    <r>
      <rPr>
        <sz val="20"/>
        <color rgb="FFFF0000"/>
        <rFont val="210 네모진 020"/>
        <family val="1"/>
        <charset val="129"/>
      </rPr>
      <t>업무 능력 및 조직의 성숙도</t>
    </r>
    <r>
      <rPr>
        <sz val="20"/>
        <color theme="1"/>
        <rFont val="210 네모진 020"/>
        <family val="1"/>
        <charset val="129"/>
      </rPr>
      <t>를 평가하는 모델</t>
    </r>
    <phoneticPr fontId="3" type="noConversion"/>
  </si>
  <si>
    <t>기능, 비기능, 시스템, 사용자</t>
    <phoneticPr fontId="3" type="noConversion"/>
  </si>
  <si>
    <t>클래스, 관계, 제약조건</t>
    <phoneticPr fontId="3" type="noConversion"/>
  </si>
  <si>
    <t xml:space="preserve">COCOMO, Putnam, FP </t>
    <phoneticPr fontId="3" type="noConversion"/>
  </si>
  <si>
    <t xml:space="preserve">조직형 </t>
    <phoneticPr fontId="3" type="noConversion"/>
  </si>
  <si>
    <t>기지조</t>
    <phoneticPr fontId="3" type="noConversion"/>
  </si>
  <si>
    <t>초기에 관리를 해야 정의를 내리구 정량적관리를 최적화할수 있다.</t>
    <phoneticPr fontId="3" type="noConversion"/>
  </si>
  <si>
    <t>불완전,수행,관리,확립,예측, 최적화</t>
    <phoneticPr fontId="3" type="noConversion"/>
  </si>
  <si>
    <t>불완전한 수행은 관리자가 없어서 확립이 어렵고 예측이 불가능해서 최적화못함.</t>
    <phoneticPr fontId="3" type="noConversion"/>
  </si>
  <si>
    <t>가장 먼저 들어와서 가장 오래 있었던 페이지를 교체</t>
    <phoneticPr fontId="3" type="noConversion"/>
  </si>
  <si>
    <t>준비 상태에서 대기하고 있는 프로세스 중 하나가 프로세서를 할당받아 실행 상태로 전이되는 과정</t>
    <phoneticPr fontId="3" type="noConversion"/>
  </si>
  <si>
    <t>입 출력 작업이 완료되어 프로세스가 대기 상태에서 준비 상태로 전이 되는 과정</t>
    <phoneticPr fontId="3" type="noConversion"/>
  </si>
  <si>
    <t xml:space="preserve">SJF(단기 작업 우선) </t>
    <phoneticPr fontId="3" type="noConversion"/>
  </si>
  <si>
    <t>AT&amp;T 벨(Bell) 연구소, MIT, General Eletric이 공동 개발한 운영체제</t>
    <phoneticPr fontId="3" type="noConversion"/>
  </si>
  <si>
    <t xml:space="preserve">Windows 주요 특징 </t>
    <phoneticPr fontId="3" type="noConversion"/>
  </si>
  <si>
    <t>IPv6</t>
    <phoneticPr fontId="3" type="noConversion"/>
  </si>
  <si>
    <t>사용자의 명령어를 인식하여 프로그램을 호출하고 명령을 수행하는 명령어 해석기</t>
    <phoneticPr fontId="3" type="noConversion"/>
  </si>
  <si>
    <t>프로세스의 실행이 끝나고 프로세스 할당이 해제된 상태</t>
    <phoneticPr fontId="3" type="noConversion"/>
  </si>
  <si>
    <r>
      <t xml:space="preserve">전송에 필요한 </t>
    </r>
    <r>
      <rPr>
        <sz val="20"/>
        <color rgb="FFFF0000"/>
        <rFont val="210 네모진 020"/>
        <family val="1"/>
        <charset val="129"/>
      </rPr>
      <t>두 장치 간의 실제 접속</t>
    </r>
    <r>
      <rPr>
        <sz val="20"/>
        <color theme="1"/>
        <rFont val="210 네모진 020"/>
        <family val="1"/>
        <charset val="129"/>
      </rPr>
      <t>과 절단 등 기계적, 전지적, 기능적, 절차적 특성에 대한 규칙 정의</t>
    </r>
    <phoneticPr fontId="3" type="noConversion"/>
  </si>
  <si>
    <r>
      <t xml:space="preserve">두 개의 인접한 개방 시스템들 간에 신뢰성 있고 효율적인 정보 전송을 할 수 있도록 </t>
    </r>
    <r>
      <rPr>
        <sz val="20"/>
        <color rgb="FFFF0000"/>
        <rFont val="210 네모진 020"/>
        <family val="1"/>
        <charset val="129"/>
      </rPr>
      <t>시스템 간 연결 설정과 유지 및 종료</t>
    </r>
    <phoneticPr fontId="3" type="noConversion"/>
  </si>
  <si>
    <r>
      <t xml:space="preserve">개방 시스템들 간의 </t>
    </r>
    <r>
      <rPr>
        <sz val="20"/>
        <color rgb="FFFF0000"/>
        <rFont val="210 네모진 020"/>
        <family val="1"/>
        <charset val="129"/>
      </rPr>
      <t>네트워크 연결을 관리</t>
    </r>
    <r>
      <rPr>
        <sz val="20"/>
        <color theme="1"/>
        <rFont val="210 네모진 020"/>
        <family val="1"/>
        <charset val="129"/>
      </rPr>
      <t xml:space="preserve">하는 기능과 </t>
    </r>
    <r>
      <rPr>
        <sz val="20"/>
        <color rgb="FFFF0000"/>
        <rFont val="210 네모진 020"/>
        <family val="1"/>
        <charset val="129"/>
      </rPr>
      <t>데이터의 교환 및 중계</t>
    </r>
    <phoneticPr fontId="3" type="noConversion"/>
  </si>
  <si>
    <r>
      <rPr>
        <sz val="20"/>
        <color rgb="FFFF0000"/>
        <rFont val="210 네모진 020"/>
        <family val="1"/>
        <charset val="129"/>
      </rPr>
      <t>논리적 안정과 균일한 데이터 전송 서비스</t>
    </r>
    <r>
      <rPr>
        <sz val="20"/>
        <color theme="1"/>
        <rFont val="210 네모진 020"/>
        <family val="1"/>
        <charset val="129"/>
      </rPr>
      <t>를 제공함으로써 종단 시스템간에 투명한 데이터 전송 가능</t>
    </r>
    <phoneticPr fontId="3" type="noConversion"/>
  </si>
  <si>
    <r>
      <rPr>
        <sz val="20"/>
        <color rgb="FFFF0000"/>
        <rFont val="210 네모진 020"/>
        <family val="1"/>
        <charset val="129"/>
      </rPr>
      <t>송수신 측 간의 관련성을 유지하고 대화 제어</t>
    </r>
    <r>
      <rPr>
        <sz val="20"/>
        <color theme="1"/>
        <rFont val="210 네모진 020"/>
        <family val="1"/>
        <charset val="129"/>
      </rPr>
      <t>를 담당</t>
    </r>
    <phoneticPr fontId="3" type="noConversion"/>
  </si>
  <si>
    <r>
      <t xml:space="preserve">응용 계층으로부터 받은 데이터를 통신에 적당한 </t>
    </r>
    <r>
      <rPr>
        <sz val="20"/>
        <color rgb="FFFF0000"/>
        <rFont val="210 네모진 020"/>
        <family val="1"/>
        <charset val="129"/>
      </rPr>
      <t>형태로 변환</t>
    </r>
    <r>
      <rPr>
        <sz val="20"/>
        <color theme="1"/>
        <rFont val="210 네모진 020"/>
        <family val="1"/>
        <charset val="129"/>
      </rPr>
      <t>하고, 세션 계층에서 받은 데이터는 응용 계층에 맞게 변환</t>
    </r>
    <phoneticPr fontId="3" type="noConversion"/>
  </si>
  <si>
    <r>
      <rPr>
        <sz val="20"/>
        <color rgb="FFFF0000"/>
        <rFont val="210 네모진 020"/>
        <family val="1"/>
        <charset val="129"/>
      </rPr>
      <t>사용자(응용 프로그램)가 OSI 환경에 접근</t>
    </r>
    <r>
      <rPr>
        <sz val="20"/>
        <color theme="1"/>
        <rFont val="210 네모진 020"/>
        <family val="1"/>
        <charset val="129"/>
      </rPr>
      <t>할 수 있도록 서비스를 제공</t>
    </r>
    <phoneticPr fontId="3" type="noConversion"/>
  </si>
  <si>
    <t>데이터 교환을 원활하게 수행할 수 있도록 표준화시켜 놓은 통신 규약</t>
    <phoneticPr fontId="3" type="noConversion"/>
  </si>
  <si>
    <t>두 기기 간의 통신 속도, 메시지 순서 제어 등을 규정</t>
    <phoneticPr fontId="3" type="noConversion"/>
  </si>
  <si>
    <t>두 기기 간의 효율적이고 정확한 정보 전송을 위한 협조 사항과 오류 관리를 위한 제어 정보 규정</t>
    <phoneticPr fontId="3" type="noConversion"/>
  </si>
  <si>
    <t>전송하고자 하는 데이터의 형식, 부호화, 신호 레벨 등을 규정</t>
    <phoneticPr fontId="3" type="noConversion"/>
  </si>
  <si>
    <t>서로 다른 기종의 컴퓨터들이 데이터를 주고받을 수 있도록 하는 표준 프로토콜</t>
    <phoneticPr fontId="3" type="noConversion"/>
  </si>
  <si>
    <r>
      <t xml:space="preserve">컴퓨터와 컴퓨터 또는 컴퓨터와 인터넷 사이에서 파일을 주고 받을 수 있도록 하는 </t>
    </r>
    <r>
      <rPr>
        <sz val="20"/>
        <color rgb="FFFF0000"/>
        <rFont val="210 네모진 020"/>
        <family val="1"/>
        <charset val="129"/>
      </rPr>
      <t>원격 파일 전송 프로토콜</t>
    </r>
    <phoneticPr fontId="3" type="noConversion"/>
  </si>
  <si>
    <r>
      <rPr>
        <sz val="20"/>
        <color rgb="FFFF0000"/>
        <rFont val="210 네모진 020"/>
        <family val="1"/>
        <charset val="129"/>
      </rPr>
      <t>멀리 떨어져 있는 컴퓨터에 접속</t>
    </r>
    <r>
      <rPr>
        <sz val="20"/>
        <color theme="1"/>
        <rFont val="210 네모진 020"/>
        <family val="1"/>
        <charset val="129"/>
      </rPr>
      <t>하여 자신의 컴퓨터처럼 사용할 수 있도록 해주는 서비스</t>
    </r>
    <phoneticPr fontId="3" type="noConversion"/>
  </si>
  <si>
    <r>
      <rPr>
        <sz val="20"/>
        <color rgb="FFFF0000"/>
        <rFont val="210 네모진 020"/>
        <family val="1"/>
        <charset val="129"/>
      </rPr>
      <t>TCP/IP의 네트워크 관리 프로토콜</t>
    </r>
    <r>
      <rPr>
        <sz val="20"/>
        <color theme="1"/>
        <rFont val="210 네모진 020"/>
        <family val="1"/>
        <charset val="129"/>
      </rPr>
      <t xml:space="preserve">로, 라우터나 허브 등 </t>
    </r>
    <r>
      <rPr>
        <sz val="20"/>
        <color rgb="FFFF0000"/>
        <rFont val="210 네모진 020"/>
        <family val="1"/>
        <charset val="129"/>
      </rPr>
      <t>네트워크 기기의 네트워크 정보를 네트워크 관리 시스템에 보내는데 사용</t>
    </r>
    <r>
      <rPr>
        <sz val="20"/>
        <color theme="1"/>
        <rFont val="210 네모진 020"/>
        <family val="1"/>
        <charset val="129"/>
      </rPr>
      <t>되는 표준 통신 규약</t>
    </r>
    <phoneticPr fontId="3" type="noConversion"/>
  </si>
  <si>
    <t>도메인 네임을 IP 주소로 매핑하는 시스템</t>
    <phoneticPr fontId="3" type="noConversion"/>
  </si>
  <si>
    <t>월드 와이드 웹에서 HTML 문서를 송수신 하기 위한 표준 프로토콜</t>
    <phoneticPr fontId="3" type="noConversion"/>
  </si>
  <si>
    <t>신뢰성 있는 경로를 확립하고 메시지 전송을 감독함</t>
    <phoneticPr fontId="3" type="noConversion"/>
  </si>
  <si>
    <t>데이터 전송 전에 연결을 설정하지 않은 비연결형 서비스를 제공</t>
    <phoneticPr fontId="3" type="noConversion"/>
  </si>
  <si>
    <r>
      <rPr>
        <sz val="20"/>
        <color rgb="FFFF0000"/>
        <rFont val="210 네모진 020"/>
        <family val="1"/>
        <charset val="129"/>
      </rPr>
      <t>RTP 패킷의 전송 품질을 제어</t>
    </r>
    <r>
      <rPr>
        <sz val="20"/>
        <color theme="1"/>
        <rFont val="210 네모진 020"/>
        <family val="1"/>
        <charset val="129"/>
      </rPr>
      <t>하기 위한 제어 프로토콜</t>
    </r>
    <phoneticPr fontId="3" type="noConversion"/>
  </si>
  <si>
    <r>
      <rPr>
        <sz val="20"/>
        <color rgb="FFFF0000"/>
        <rFont val="210 네모진 020"/>
        <family val="1"/>
        <charset val="129"/>
      </rPr>
      <t>전송할 데이터에 주소를 지정하고, 경로를 설정</t>
    </r>
    <r>
      <rPr>
        <sz val="20"/>
        <color theme="1"/>
        <rFont val="210 네모진 020"/>
        <family val="1"/>
        <charset val="129"/>
      </rPr>
      <t xml:space="preserve">하는 기능을 함. </t>
    </r>
    <phoneticPr fontId="3" type="noConversion"/>
  </si>
  <si>
    <t>IP와 조합하여 통신중에 발생하는 오류의 처리와 전송 경로 변경 등을 위한 제어 메시지를 관리하는 역할</t>
    <phoneticPr fontId="3" type="noConversion"/>
  </si>
  <si>
    <r>
      <t xml:space="preserve">멀티캐스트를 지원하는 호스트나 라우터 사이에서 </t>
    </r>
    <r>
      <rPr>
        <sz val="20"/>
        <color rgb="FFFF0000"/>
        <rFont val="210 네모진 020"/>
        <family val="1"/>
        <charset val="129"/>
      </rPr>
      <t>멀티캐스트 그룹 유지</t>
    </r>
    <r>
      <rPr>
        <sz val="20"/>
        <color theme="1"/>
        <rFont val="210 네모진 020"/>
        <family val="1"/>
        <charset val="129"/>
      </rPr>
      <t>를 위해 사용</t>
    </r>
    <phoneticPr fontId="3" type="noConversion"/>
  </si>
  <si>
    <t>ARP와 반대로 물리적 주소를 IP주소로 변환</t>
    <phoneticPr fontId="3" type="noConversion"/>
  </si>
  <si>
    <t>CSMA/CD 방식의 LAN</t>
    <phoneticPr fontId="3" type="noConversion"/>
  </si>
  <si>
    <t>LAN을 위한 표준 프로토콜</t>
    <phoneticPr fontId="3" type="noConversion"/>
  </si>
  <si>
    <t>비트 위주의 데이터 링크 제어 프로토콜</t>
    <phoneticPr fontId="3" type="noConversion"/>
  </si>
  <si>
    <t>패킷 교환망을 통한 DTE와 DCE간의 인터페이스를 제공하는 프로토콜</t>
    <phoneticPr fontId="3" type="noConversion"/>
  </si>
  <si>
    <t>공중 전화 교환망(PSTN)을 통한 DTE와 DCE 간의 인터페이스를 제공하는 프로토콜</t>
    <phoneticPr fontId="3" type="noConversion"/>
  </si>
  <si>
    <t>무선 통신을 이용한 기계와 기계 사이의 통신</t>
    <phoneticPr fontId="3" type="noConversion"/>
  </si>
  <si>
    <t>휴대형 기기로 이동하면서 자유로이 네트워크에 접속하여 업무를 처리할 수 있는 환경</t>
    <phoneticPr fontId="3" type="noConversion"/>
  </si>
  <si>
    <r>
      <t xml:space="preserve">각종 컴퓨팅 자원을 </t>
    </r>
    <r>
      <rPr>
        <sz val="20"/>
        <color rgb="FFFF0000"/>
        <rFont val="210 네모진 020"/>
        <family val="1"/>
        <charset val="129"/>
      </rPr>
      <t>중앙 컴퓨터에 두고 인터넷 기능을 갖는 단말기</t>
    </r>
    <r>
      <rPr>
        <sz val="20"/>
        <color theme="1"/>
        <rFont val="210 네모진 020"/>
        <family val="1"/>
        <charset val="129"/>
      </rPr>
      <t>로 언제 어디서나 인터넷을 통해 컴퓨터 작업을 수행할 수 있는 가상화된 환경</t>
    </r>
    <phoneticPr fontId="3" type="noConversion"/>
  </si>
  <si>
    <r>
      <t>지리적으로 분산되어 있는 컴퓨터를</t>
    </r>
    <r>
      <rPr>
        <sz val="20"/>
        <color rgb="FFFF0000"/>
        <rFont val="210 네모진 020"/>
        <family val="1"/>
        <charset val="129"/>
      </rPr>
      <t xml:space="preserve"> 초고속 인터넷망으로 연결하여 공유</t>
    </r>
    <r>
      <rPr>
        <sz val="20"/>
        <color theme="1"/>
        <rFont val="210 네모진 020"/>
        <family val="1"/>
        <charset val="129"/>
      </rPr>
      <t xml:space="preserve">함으로써 </t>
    </r>
    <r>
      <rPr>
        <sz val="20"/>
        <color rgb="FFFF0000"/>
        <rFont val="210 네모진 020"/>
        <family val="1"/>
        <charset val="129"/>
      </rPr>
      <t>하나의 고성능 컴퓨터</t>
    </r>
    <r>
      <rPr>
        <sz val="20"/>
        <color theme="1"/>
        <rFont val="210 네모진 020"/>
        <family val="1"/>
        <charset val="129"/>
      </rPr>
      <t>처럼 활용하는 기술</t>
    </r>
    <phoneticPr fontId="3" type="noConversion"/>
  </si>
  <si>
    <r>
      <rPr>
        <sz val="20"/>
        <color rgb="FFFF0000"/>
        <rFont val="210 네모진 020"/>
        <family val="1"/>
        <charset val="129"/>
      </rPr>
      <t>클라우드 서비스를 이용하여 모바일 기기</t>
    </r>
    <r>
      <rPr>
        <sz val="20"/>
        <color theme="1"/>
        <rFont val="210 네모진 020"/>
        <family val="1"/>
        <charset val="129"/>
      </rPr>
      <t>로 클라우드 컴퓨팅 인프라를 구성하여 여러 가지 정보와 자원을 공유하는 ICT 기술</t>
    </r>
    <phoneticPr fontId="3" type="noConversion"/>
  </si>
  <si>
    <r>
      <t xml:space="preserve">각기 다른 클라우드 서비스를 연동하거나 컴퓨팅 자원의 동적 할당이 가능하도록 여러 클라우드 서비스 제공자들이 제공하는 </t>
    </r>
    <r>
      <rPr>
        <sz val="20"/>
        <color rgb="FFFF0000"/>
        <rFont val="210 네모진 020"/>
        <family val="1"/>
        <charset val="129"/>
      </rPr>
      <t>클라우드 서비스나 자원을 연결하는 기술</t>
    </r>
    <phoneticPr fontId="3" type="noConversion"/>
  </si>
  <si>
    <r>
      <t xml:space="preserve">차세대 이동통신, 홈네트워킹, 공공 안전 등 </t>
    </r>
    <r>
      <rPr>
        <sz val="20"/>
        <color rgb="FFFF0000"/>
        <rFont val="210 네모진 020"/>
        <family val="1"/>
        <charset val="129"/>
      </rPr>
      <t>특수 목적</t>
    </r>
    <r>
      <rPr>
        <sz val="20"/>
        <color theme="1"/>
        <rFont val="210 네모진 020"/>
        <family val="1"/>
        <charset val="129"/>
      </rPr>
      <t>을 위한 새로운 방식의 네트워크 기술. 대규모 디바이스의 네트워크 생성에 최적화</t>
    </r>
    <phoneticPr fontId="3" type="noConversion"/>
  </si>
  <si>
    <r>
      <t xml:space="preserve">장거리 무선 통신을 필요로 하는 사물 인터넷 서비스를 위한 </t>
    </r>
    <r>
      <rPr>
        <sz val="20"/>
        <color rgb="FFFF0000"/>
        <rFont val="210 네모진 020"/>
        <family val="1"/>
        <charset val="129"/>
      </rPr>
      <t>저전력 장거리 통신 기술</t>
    </r>
    <phoneticPr fontId="3" type="noConversion"/>
  </si>
  <si>
    <r>
      <rPr>
        <sz val="20"/>
        <color rgb="FFFF0000"/>
        <rFont val="210 네모진 020"/>
        <family val="1"/>
        <charset val="129"/>
      </rPr>
      <t>콘텐츠 자체의 정보와 라우터 기능만으로 데이터 전송</t>
    </r>
    <r>
      <rPr>
        <sz val="20"/>
        <color theme="1"/>
        <rFont val="210 네모진 020"/>
        <family val="1"/>
        <charset val="129"/>
      </rPr>
      <t>을 수행하는 기술. 기존의 IP 망을 대체할 새로운 인터넷 아키텍처</t>
    </r>
    <phoneticPr fontId="3" type="noConversion"/>
  </si>
  <si>
    <r>
      <t xml:space="preserve">ITU-T에서 개발하고 있는 </t>
    </r>
    <r>
      <rPr>
        <sz val="20"/>
        <color rgb="FFFF0000"/>
        <rFont val="210 네모진 020"/>
        <family val="1"/>
        <charset val="129"/>
      </rPr>
      <t>유선망 기반의 차세대 통신망</t>
    </r>
    <r>
      <rPr>
        <sz val="20"/>
        <color theme="1"/>
        <rFont val="210 네모진 020"/>
        <family val="1"/>
        <charset val="129"/>
      </rPr>
      <t>. 유선망뿐만 아니라 이동 사용자를 목표로 하여, 완전한 이동성 제공을 목표로 개발</t>
    </r>
    <phoneticPr fontId="3" type="noConversion"/>
  </si>
  <si>
    <r>
      <t xml:space="preserve">네트워크를 컴퓨터처럼 모델링하여 여러 사용자가 </t>
    </r>
    <r>
      <rPr>
        <sz val="20"/>
        <color rgb="FFFF0000"/>
        <rFont val="210 네모진 020"/>
        <family val="1"/>
        <charset val="129"/>
      </rPr>
      <t>각각의 소프트웨어로 네트워킹을 가상화</t>
    </r>
    <r>
      <rPr>
        <sz val="20"/>
        <color theme="1"/>
        <rFont val="210 네모진 020"/>
        <family val="1"/>
        <charset val="129"/>
      </rPr>
      <t xml:space="preserve">하여 제어하고 관리하는 네트워크 </t>
    </r>
    <phoneticPr fontId="3" type="noConversion"/>
  </si>
  <si>
    <r>
      <rPr>
        <sz val="20"/>
        <color rgb="FFFF0000"/>
        <rFont val="210 네모진 020"/>
        <family val="1"/>
        <charset val="129"/>
      </rPr>
      <t>고주파를 이용한 근거리 무선 통신 기술</t>
    </r>
    <r>
      <rPr>
        <sz val="20"/>
        <color theme="1"/>
        <rFont val="210 네모진 020"/>
        <family val="1"/>
        <charset val="129"/>
      </rPr>
      <t>. 아주 가까운 거리에서 양방향 통신을 지원하는 RFID 기술의 일종</t>
    </r>
    <phoneticPr fontId="3" type="noConversion"/>
  </si>
  <si>
    <t>UNIX의 시스템의 구성</t>
    <phoneticPr fontId="3" type="noConversion"/>
  </si>
  <si>
    <t>하드웨어를 보호하고, 프로그램과 하드웨어 간의 인터페이스 역할 담당.</t>
    <phoneticPr fontId="3" type="noConversion"/>
  </si>
  <si>
    <t>일반 사용자가 작성한 응용 프로그램을 처리하는 데 사용</t>
    <phoneticPr fontId="3" type="noConversion"/>
  </si>
  <si>
    <t>리누스 토발즈가 UNIX를 기반으로 개발한 운영체제</t>
    <phoneticPr fontId="3" type="noConversion"/>
  </si>
  <si>
    <t>애플 사가 UNIX를 기반으로 개발한 운영체제</t>
    <phoneticPr fontId="3" type="noConversion"/>
  </si>
  <si>
    <t>구글 사에서 개발한 모바일 운영체제</t>
    <phoneticPr fontId="3" type="noConversion"/>
  </si>
  <si>
    <t xml:space="preserve">기억장치의 관리 전략 </t>
    <phoneticPr fontId="3" type="noConversion"/>
  </si>
  <si>
    <t>프로그램이나 데이터를 언제 주기억 장치로 적재할 것인지를 결정</t>
    <phoneticPr fontId="3" type="noConversion"/>
  </si>
  <si>
    <t>프로그램을 일정한 크기로 나눈 단위</t>
    <phoneticPr fontId="3" type="noConversion"/>
  </si>
  <si>
    <t>프로그램과 주기억장치의 영역을 동일한 크기로 나눈 후 주기억장치의 영역에 적재시켜 실행</t>
    <phoneticPr fontId="3" type="noConversion"/>
  </si>
  <si>
    <t>보조기억장치의 일부를 주기억장치처럼 사용하는 것</t>
    <phoneticPr fontId="3" type="noConversion"/>
  </si>
  <si>
    <t>이미 사용되고 있는 영역 중에서 어느 영역을 교체하여 사용할 것인지를 결정</t>
    <phoneticPr fontId="3" type="noConversion"/>
  </si>
  <si>
    <t>페이지 크기로 일정하게 나누어진 주기억장치의 단위</t>
    <phoneticPr fontId="3" type="noConversion"/>
  </si>
  <si>
    <t>프로그램을 다양한 크기의 논리적인 단위로 나눈 후 주기억장치에 적재시켜 실행</t>
    <phoneticPr fontId="3" type="noConversion"/>
  </si>
  <si>
    <t>프로그램을 배열이나 함수 등과 같은 논리적인 크기로 나눈 단위</t>
    <phoneticPr fontId="3" type="noConversion"/>
  </si>
  <si>
    <t>페이지 부재가 발생하면 어떤 페이지 프레임을 선택하여 교체할 것인지를 결정</t>
    <phoneticPr fontId="3" type="noConversion"/>
  </si>
  <si>
    <t>앞으로 가장 오랫동안 사용하지 않을 페이지를 교체</t>
    <phoneticPr fontId="3" type="noConversion"/>
  </si>
  <si>
    <t>최근에 가장 오랫동안 사용하지 않은 페이지를 교체</t>
    <phoneticPr fontId="3" type="noConversion"/>
  </si>
  <si>
    <t>가장 오랫동안 주기억장치에 있던 페이지 중 자주 사용되는 페이지의 교체를 방지</t>
    <phoneticPr fontId="3" type="noConversion"/>
  </si>
  <si>
    <t>실행중인 프로그램</t>
    <phoneticPr fontId="3" type="noConversion"/>
  </si>
  <si>
    <t>운영체제가 프로세스에 대한 중요한 정보를 저장해 놓은 곳</t>
    <phoneticPr fontId="3" type="noConversion"/>
  </si>
  <si>
    <t>시스템의 여러 자원을 할당받아 실행하는 프로그램의 단위</t>
    <phoneticPr fontId="3" type="noConversion"/>
  </si>
  <si>
    <t>프로세스의 상태에 대한 조사와 통보 담당</t>
    <phoneticPr fontId="3" type="noConversion"/>
  </si>
  <si>
    <t>준비상태 큐에 도착한 순서에 따라 차례로 CPU를 할당하는 기법</t>
    <phoneticPr fontId="3" type="noConversion"/>
  </si>
  <si>
    <t>실행시간이 가장 짧은 프로세스에게 먼저 CPU를 할당하는 기법</t>
    <phoneticPr fontId="3" type="noConversion"/>
  </si>
  <si>
    <t>대기 시간과 서비스 시간을 이용하는 기법</t>
    <phoneticPr fontId="3" type="noConversion"/>
  </si>
  <si>
    <t>전 세계 수많은 컴퓨터와 네트워크들이 연결된 광범위한 컴퓨터 통신망</t>
    <phoneticPr fontId="3" type="noConversion"/>
  </si>
  <si>
    <t>인터넷에 연결된 모든 컴퓨터 자원을 구분하기 위한 고유한 주소. 8비트씩 4부분. 총 32비트</t>
    <phoneticPr fontId="3" type="noConversion"/>
  </si>
  <si>
    <t>네트워크 주소를 여러 개의 작은 네트워크로 나누어 사용하는 것</t>
    <phoneticPr fontId="3" type="noConversion"/>
  </si>
  <si>
    <t>숫자로 된 IP주소를 문자 형태로 표현한 것</t>
    <phoneticPr fontId="3" type="noConversion"/>
  </si>
  <si>
    <t>문자로 된 도메인 네임을 컴퓨터가 이해할 수 있는 IP주소로 변환하는 역할을 하는 시스템</t>
    <phoneticPr fontId="3" type="noConversion"/>
  </si>
  <si>
    <t>ISO(국제표준화기구)에서 제안한 통신 규약(Protocol)</t>
    <phoneticPr fontId="3" type="noConversion"/>
  </si>
  <si>
    <t>전자 우편을 교환하는 서비스</t>
    <phoneticPr fontId="3" type="noConversion"/>
  </si>
  <si>
    <t>Windows</t>
    <phoneticPr fontId="3" type="noConversion"/>
  </si>
  <si>
    <t>UNIX</t>
    <phoneticPr fontId="3" type="noConversion"/>
  </si>
  <si>
    <t>쉘, 커널, 유틸리티 프로그램</t>
    <phoneticPr fontId="3" type="noConversion"/>
  </si>
  <si>
    <t>커널</t>
    <phoneticPr fontId="3" type="noConversion"/>
  </si>
  <si>
    <t>쉘</t>
    <phoneticPr fontId="3" type="noConversion"/>
  </si>
  <si>
    <t>유틸리티 프로그램</t>
    <phoneticPr fontId="3" type="noConversion"/>
  </si>
  <si>
    <t>LINUX</t>
    <phoneticPr fontId="3" type="noConversion"/>
  </si>
  <si>
    <t>MacOS</t>
    <phoneticPr fontId="3" type="noConversion"/>
  </si>
  <si>
    <t>Android</t>
    <phoneticPr fontId="3" type="noConversion"/>
  </si>
  <si>
    <t>iOS</t>
    <phoneticPr fontId="3" type="noConversion"/>
  </si>
  <si>
    <t>반입 전략, 배치전략, 교체전략</t>
    <phoneticPr fontId="3" type="noConversion"/>
  </si>
  <si>
    <t>배치 전략</t>
    <phoneticPr fontId="3" type="noConversion"/>
  </si>
  <si>
    <t>반입 전략</t>
    <phoneticPr fontId="3" type="noConversion"/>
  </si>
  <si>
    <t>교체 전략</t>
    <phoneticPr fontId="3" type="noConversion"/>
  </si>
  <si>
    <t>가상 기억장치</t>
    <phoneticPr fontId="3" type="noConversion"/>
  </si>
  <si>
    <t>페이징 기법</t>
    <phoneticPr fontId="3" type="noConversion"/>
  </si>
  <si>
    <t>페이지</t>
    <phoneticPr fontId="3" type="noConversion"/>
  </si>
  <si>
    <t>페이지 프레임</t>
    <phoneticPr fontId="3" type="noConversion"/>
  </si>
  <si>
    <t>세그먼테이션 기법</t>
    <phoneticPr fontId="3" type="noConversion"/>
  </si>
  <si>
    <t>세그먼트</t>
    <phoneticPr fontId="3" type="noConversion"/>
  </si>
  <si>
    <t>페이지 교체 알고리즘</t>
    <phoneticPr fontId="3" type="noConversion"/>
  </si>
  <si>
    <t>OPT</t>
    <phoneticPr fontId="3" type="noConversion"/>
  </si>
  <si>
    <t>SCR</t>
    <phoneticPr fontId="3" type="noConversion"/>
  </si>
  <si>
    <t>프로세스</t>
    <phoneticPr fontId="3" type="noConversion"/>
  </si>
  <si>
    <t xml:space="preserve">PCB </t>
    <phoneticPr fontId="3" type="noConversion"/>
  </si>
  <si>
    <t>submit</t>
    <phoneticPr fontId="3" type="noConversion"/>
  </si>
  <si>
    <t>hold</t>
    <phoneticPr fontId="3" type="noConversion"/>
  </si>
  <si>
    <t>ready</t>
    <phoneticPr fontId="3" type="noConversion"/>
  </si>
  <si>
    <t>run</t>
    <phoneticPr fontId="3" type="noConversion"/>
  </si>
  <si>
    <t>wait, block</t>
    <phoneticPr fontId="3" type="noConversion"/>
  </si>
  <si>
    <t>exit</t>
    <phoneticPr fontId="3" type="noConversion"/>
  </si>
  <si>
    <t>dispatch</t>
    <phoneticPr fontId="3" type="noConversion"/>
  </si>
  <si>
    <t>wake up</t>
    <phoneticPr fontId="3" type="noConversion"/>
  </si>
  <si>
    <t>spooling</t>
    <phoneticPr fontId="3" type="noConversion"/>
  </si>
  <si>
    <t>교통량 제어기</t>
    <phoneticPr fontId="3" type="noConversion"/>
  </si>
  <si>
    <t>스레드</t>
    <phoneticPr fontId="3" type="noConversion"/>
  </si>
  <si>
    <t>FCFS</t>
    <phoneticPr fontId="3" type="noConversion"/>
  </si>
  <si>
    <t>HRN</t>
    <phoneticPr fontId="3" type="noConversion"/>
  </si>
  <si>
    <t>인터넷</t>
    <phoneticPr fontId="3" type="noConversion"/>
  </si>
  <si>
    <t>IP 주소</t>
    <phoneticPr fontId="3" type="noConversion"/>
  </si>
  <si>
    <t>서브네팅</t>
    <phoneticPr fontId="3" type="noConversion"/>
  </si>
  <si>
    <t>DNS</t>
    <phoneticPr fontId="3" type="noConversion"/>
  </si>
  <si>
    <t>물리 계층</t>
    <phoneticPr fontId="3" type="noConversion"/>
  </si>
  <si>
    <t>데이터 링크 계층</t>
    <phoneticPr fontId="3" type="noConversion"/>
  </si>
  <si>
    <t>네트워크 계층</t>
    <phoneticPr fontId="3" type="noConversion"/>
  </si>
  <si>
    <t>전송계층</t>
    <phoneticPr fontId="3" type="noConversion"/>
  </si>
  <si>
    <t>세션 계층</t>
    <phoneticPr fontId="3" type="noConversion"/>
  </si>
  <si>
    <t>표현 계층</t>
    <phoneticPr fontId="3" type="noConversion"/>
  </si>
  <si>
    <t>응용 계층</t>
    <phoneticPr fontId="3" type="noConversion"/>
  </si>
  <si>
    <t>프로토콜</t>
    <phoneticPr fontId="3" type="noConversion"/>
  </si>
  <si>
    <t>구문</t>
    <phoneticPr fontId="3" type="noConversion"/>
  </si>
  <si>
    <t>의미</t>
    <phoneticPr fontId="3" type="noConversion"/>
  </si>
  <si>
    <t>시간</t>
    <phoneticPr fontId="3" type="noConversion"/>
  </si>
  <si>
    <t>TCP/IP</t>
    <phoneticPr fontId="3" type="noConversion"/>
  </si>
  <si>
    <t>FTP</t>
    <phoneticPr fontId="3" type="noConversion"/>
  </si>
  <si>
    <t>IoT</t>
    <phoneticPr fontId="3" type="noConversion"/>
  </si>
  <si>
    <t>M2M</t>
    <phoneticPr fontId="3" type="noConversion"/>
  </si>
  <si>
    <t>모바일 컴퓨팅</t>
    <phoneticPr fontId="3" type="noConversion"/>
  </si>
  <si>
    <t>클라우드 컴퓨팅</t>
    <phoneticPr fontId="3" type="noConversion"/>
  </si>
  <si>
    <t>그리드 컴퓨팅</t>
    <phoneticPr fontId="3" type="noConversion"/>
  </si>
  <si>
    <t>모바일 클라우드 컴퓨팅</t>
    <phoneticPr fontId="3" type="noConversion"/>
  </si>
  <si>
    <t>인터클라우드 컴퓨팅</t>
    <phoneticPr fontId="3" type="noConversion"/>
  </si>
  <si>
    <t>메시 네트워크</t>
    <phoneticPr fontId="3" type="noConversion"/>
  </si>
  <si>
    <t>와이선</t>
    <phoneticPr fontId="3" type="noConversion"/>
  </si>
  <si>
    <t>NGN</t>
    <phoneticPr fontId="3" type="noConversion"/>
  </si>
  <si>
    <t>SDN</t>
    <phoneticPr fontId="3" type="noConversion"/>
  </si>
  <si>
    <t xml:space="preserve">OSI 참조 모델 </t>
    <phoneticPr fontId="3" type="noConversion"/>
  </si>
  <si>
    <r>
      <rPr>
        <sz val="20"/>
        <color rgb="FFFF0000"/>
        <rFont val="210 네모진 020"/>
        <family val="1"/>
        <charset val="129"/>
      </rPr>
      <t>짧은 거리에서 많은 양의 디지털 데이터를 낮은 전력으로 전송</t>
    </r>
    <r>
      <rPr>
        <sz val="20"/>
        <color theme="1"/>
        <rFont val="210 네모진 020"/>
        <family val="1"/>
        <charset val="129"/>
      </rPr>
      <t xml:space="preserve">하기 위한 무선 기술로 </t>
    </r>
    <r>
      <rPr>
        <sz val="20"/>
        <color rgb="FFFF0000"/>
        <rFont val="210 네모진 020"/>
        <family val="1"/>
        <charset val="129"/>
      </rPr>
      <t>무선 디지털 펄스</t>
    </r>
    <r>
      <rPr>
        <sz val="20"/>
        <color theme="1"/>
        <rFont val="210 네모진 020"/>
        <family val="1"/>
        <charset val="129"/>
      </rPr>
      <t xml:space="preserve"> 라고도 함. </t>
    </r>
    <phoneticPr fontId="3" type="noConversion"/>
  </si>
  <si>
    <r>
      <t xml:space="preserve">여러 개의 </t>
    </r>
    <r>
      <rPr>
        <sz val="20"/>
        <color rgb="FFFF0000"/>
        <rFont val="210 네모진 020"/>
        <family val="1"/>
        <charset val="129"/>
      </rPr>
      <t>독립된 통신장치가 블루투스 기술이나 UWB 통신 기술을 사용하여 통신망을 형성</t>
    </r>
    <r>
      <rPr>
        <sz val="20"/>
        <color theme="1"/>
        <rFont val="210 네모진 020"/>
        <family val="1"/>
        <charset val="129"/>
      </rPr>
      <t>하는 무선 네트워크 기술</t>
    </r>
    <phoneticPr fontId="3" type="noConversion"/>
  </si>
  <si>
    <r>
      <t xml:space="preserve">웨어러블 또는 몸에 심는 형태의 센서나 기기를 무선으로 연결하는 </t>
    </r>
    <r>
      <rPr>
        <sz val="20"/>
        <color rgb="FFFF0000"/>
        <rFont val="210 네모진 020"/>
        <family val="1"/>
        <charset val="129"/>
      </rPr>
      <t>개인 영역 네트워크 기술</t>
    </r>
    <phoneticPr fontId="3" type="noConversion"/>
  </si>
  <si>
    <r>
      <t xml:space="preserve">지리적인 자료를 수집 저장 분석 출력 할 수 있는 컴퓨터 응용 시스템위성을 이용해 </t>
    </r>
    <r>
      <rPr>
        <sz val="20"/>
        <color rgb="FFFF0000"/>
        <rFont val="210 네모진 020"/>
        <family val="1"/>
        <charset val="129"/>
      </rPr>
      <t>모든 사물의 위치 정보</t>
    </r>
    <r>
      <rPr>
        <sz val="20"/>
        <color theme="1"/>
        <rFont val="210 네모진 020"/>
        <family val="1"/>
        <charset val="129"/>
      </rPr>
      <t>를 제공해 줌</t>
    </r>
    <phoneticPr fontId="3" type="noConversion"/>
  </si>
  <si>
    <r>
      <t xml:space="preserve">각종 센서로 수집한 정보를 무선으로 수집할 수 있도록 구성한 네트워크. 필요한 모든 것에 </t>
    </r>
    <r>
      <rPr>
        <sz val="20"/>
        <color rgb="FFFF0000"/>
        <rFont val="210 네모진 020"/>
        <family val="1"/>
        <charset val="129"/>
      </rPr>
      <t>RFID 태그</t>
    </r>
    <r>
      <rPr>
        <sz val="20"/>
        <color theme="1"/>
        <rFont val="210 네모진 020"/>
        <family val="1"/>
        <charset val="129"/>
      </rPr>
      <t xml:space="preserve">를 부착하고, 이를 통해 사물의 인식정보는 물론 주변 환경정보까지 </t>
    </r>
    <r>
      <rPr>
        <sz val="20"/>
        <color rgb="FFFF0000"/>
        <rFont val="210 네모진 020"/>
        <family val="1"/>
        <charset val="129"/>
      </rPr>
      <t>탐지하여 이를 네트워크에 연결하여 정보 관리</t>
    </r>
    <phoneticPr fontId="3" type="noConversion"/>
  </si>
  <si>
    <r>
      <rPr>
        <sz val="20"/>
        <color rgb="FFFF0000"/>
        <rFont val="210 네모진 020"/>
        <family val="1"/>
        <charset val="129"/>
      </rPr>
      <t>주변 상황에 맞추어 스스로 망을 구성</t>
    </r>
    <r>
      <rPr>
        <sz val="20"/>
        <color theme="1"/>
        <rFont val="210 네모진 020"/>
        <family val="1"/>
        <charset val="129"/>
      </rPr>
      <t>하는 네트워크. 통신망 커버리지 및 전송 용량 확장의 경제성 문제 해결하고, 망의 운영과 관리 효율성을 높이는 것</t>
    </r>
    <phoneticPr fontId="3" type="noConversion"/>
  </si>
  <si>
    <r>
      <rPr>
        <sz val="20"/>
        <color rgb="FFFF0000"/>
        <rFont val="210 네모진 020"/>
        <family val="1"/>
        <charset val="129"/>
      </rPr>
      <t>별도의 고정된 유선망을 구축할 수 없는 장소</t>
    </r>
    <r>
      <rPr>
        <sz val="20"/>
        <color theme="1"/>
        <rFont val="210 네모진 020"/>
        <family val="1"/>
        <charset val="129"/>
      </rPr>
      <t xml:space="preserve">에서 </t>
    </r>
    <r>
      <rPr>
        <sz val="20"/>
        <color rgb="FFFF0000"/>
        <rFont val="210 네모진 020"/>
        <family val="1"/>
        <charset val="129"/>
      </rPr>
      <t>모바일 호스트만을 이용하여 구성한 네트워크</t>
    </r>
    <r>
      <rPr>
        <sz val="20"/>
        <color theme="1"/>
        <rFont val="210 네모진 020"/>
        <family val="1"/>
        <charset val="129"/>
      </rPr>
      <t>. 망을 구성한 후 단기간 사용되는 경우나 유선망을 구성하기 어려운 경우에 적합</t>
    </r>
    <phoneticPr fontId="3" type="noConversion"/>
  </si>
  <si>
    <r>
      <t xml:space="preserve">네트워크에서 </t>
    </r>
    <r>
      <rPr>
        <sz val="20"/>
        <color rgb="FFFF0000"/>
        <rFont val="210 네모진 020"/>
        <family val="1"/>
        <charset val="129"/>
      </rPr>
      <t>하나의 물리적인 코어 네트워크 인프라를 독립된 다수의 가상 네트워크로 분리</t>
    </r>
    <r>
      <rPr>
        <sz val="20"/>
        <color theme="1"/>
        <rFont val="210 네모진 020"/>
        <family val="1"/>
        <charset val="129"/>
      </rPr>
      <t xml:space="preserve">하여 각각의 네트워크를 통해 다양한 </t>
    </r>
    <r>
      <rPr>
        <sz val="20"/>
        <color rgb="FFFF0000"/>
        <rFont val="210 네모진 020"/>
        <family val="1"/>
        <charset val="129"/>
      </rPr>
      <t>고객 맞춤형 서비스</t>
    </r>
    <r>
      <rPr>
        <sz val="20"/>
        <color theme="1"/>
        <rFont val="210 네모진 020"/>
        <family val="1"/>
        <charset val="129"/>
      </rPr>
      <t>르 제공하는 것을 목적으로 하는 네트워크 기술</t>
    </r>
    <phoneticPr fontId="3" type="noConversion"/>
  </si>
  <si>
    <r>
      <t xml:space="preserve">일반 </t>
    </r>
    <r>
      <rPr>
        <sz val="20"/>
        <color rgb="FFFF0000"/>
        <rFont val="210 네모진 020"/>
        <family val="1"/>
        <charset val="129"/>
      </rPr>
      <t>블루투스와 동일한 주파수 대역</t>
    </r>
    <r>
      <rPr>
        <sz val="20"/>
        <color theme="1"/>
        <rFont val="210 네모진 020"/>
        <family val="1"/>
        <charset val="129"/>
      </rPr>
      <t xml:space="preserve">을 사용하지만 연결되지 않은 </t>
    </r>
    <r>
      <rPr>
        <sz val="20"/>
        <color rgb="FFFF0000"/>
        <rFont val="210 네모진 020"/>
        <family val="1"/>
        <charset val="129"/>
      </rPr>
      <t>대기 상태에서는 절전모드를 유지</t>
    </r>
    <r>
      <rPr>
        <sz val="20"/>
        <color theme="1"/>
        <rFont val="210 네모진 020"/>
        <family val="1"/>
        <charset val="129"/>
      </rPr>
      <t>하는 기술</t>
    </r>
    <phoneticPr fontId="3" type="noConversion"/>
  </si>
  <si>
    <r>
      <rPr>
        <sz val="20"/>
        <color rgb="FFFF0000"/>
        <rFont val="210 네모진 020"/>
        <family val="1"/>
        <charset val="129"/>
      </rPr>
      <t>데이터 트래픽</t>
    </r>
    <r>
      <rPr>
        <sz val="20"/>
        <color theme="1"/>
        <rFont val="210 네모진 020"/>
        <family val="1"/>
        <charset val="129"/>
      </rPr>
      <t xml:space="preserve">을 효과적으로 수용하기 위해 시행되는 </t>
    </r>
    <r>
      <rPr>
        <sz val="20"/>
        <color rgb="FFFF0000"/>
        <rFont val="210 네모진 020"/>
        <family val="1"/>
        <charset val="129"/>
      </rPr>
      <t>과학기술정보통신부 주관 사업</t>
    </r>
    <phoneticPr fontId="3" type="noConversion"/>
  </si>
  <si>
    <r>
      <rPr>
        <sz val="20"/>
        <color rgb="FFFF0000"/>
        <rFont val="210 네모진 020"/>
        <family val="1"/>
        <charset val="129"/>
      </rPr>
      <t>광섬유를 이용한 통신기술</t>
    </r>
    <r>
      <rPr>
        <sz val="20"/>
        <color theme="1"/>
        <rFont val="210 네모진 020"/>
        <family val="1"/>
        <charset val="129"/>
      </rPr>
      <t xml:space="preserve">의 하나로, </t>
    </r>
    <r>
      <rPr>
        <sz val="20"/>
        <color rgb="FFFF0000"/>
        <rFont val="210 네모진 020"/>
        <family val="1"/>
        <charset val="129"/>
      </rPr>
      <t>파장이 서로 다른 복수의 신호</t>
    </r>
    <r>
      <rPr>
        <sz val="20"/>
        <color theme="1"/>
        <rFont val="210 네모진 020"/>
        <family val="1"/>
        <charset val="129"/>
      </rPr>
      <t xml:space="preserve">를 보냄으로써 여러 대의 단말기가 </t>
    </r>
    <r>
      <rPr>
        <sz val="20"/>
        <color rgb="FFFF0000"/>
        <rFont val="210 네모진 020"/>
        <family val="1"/>
        <charset val="129"/>
      </rPr>
      <t>동시에 통신 회선을 사용</t>
    </r>
    <r>
      <rPr>
        <sz val="20"/>
        <color theme="1"/>
        <rFont val="210 네모진 020"/>
        <family val="1"/>
        <charset val="129"/>
      </rPr>
      <t>할 수 있도록 하는 것</t>
    </r>
    <phoneticPr fontId="3" type="noConversion"/>
  </si>
  <si>
    <r>
      <rPr>
        <sz val="20"/>
        <color rgb="FFFF0000"/>
        <rFont val="210 네모진 020"/>
        <family val="1"/>
        <charset val="129"/>
      </rPr>
      <t>데이터 센터의 모든 자원을 가상화</t>
    </r>
    <r>
      <rPr>
        <sz val="20"/>
        <color theme="1"/>
        <rFont val="210 네모진 020"/>
        <family val="1"/>
        <charset val="129"/>
      </rPr>
      <t xml:space="preserve">하여 인력의 개입없이 </t>
    </r>
    <r>
      <rPr>
        <sz val="20"/>
        <color rgb="FFFF0000"/>
        <rFont val="210 네모진 020"/>
        <family val="1"/>
        <charset val="129"/>
      </rPr>
      <t>소프트웨어 조작만으로 관리 및 제어되는 데이터 센터</t>
    </r>
    <r>
      <rPr>
        <sz val="20"/>
        <color theme="1"/>
        <rFont val="210 네모진 020"/>
        <family val="1"/>
        <charset val="129"/>
      </rPr>
      <t>를 의미</t>
    </r>
    <phoneticPr fontId="3" type="noConversion"/>
  </si>
  <si>
    <r>
      <rPr>
        <sz val="20"/>
        <color rgb="FFFF0000"/>
        <rFont val="210 네모진 020"/>
        <family val="1"/>
        <charset val="129"/>
      </rPr>
      <t>누구나 사용할 수 있도록 웹상에 공계된 연계 데이터</t>
    </r>
    <r>
      <rPr>
        <sz val="20"/>
        <color theme="1"/>
        <rFont val="210 네모진 020"/>
        <family val="1"/>
        <charset val="129"/>
      </rPr>
      <t>를 의미. 웹상에 존재하는 데이터를 개발 URI로 식별하고 각 URI에 링크 정보를 부여함으로써 상호 연결된 웹을 지향하는 모델</t>
    </r>
    <phoneticPr fontId="3" type="noConversion"/>
  </si>
  <si>
    <r>
      <t xml:space="preserve">두 대 이상의 </t>
    </r>
    <r>
      <rPr>
        <sz val="20"/>
        <color rgb="FFFF0000"/>
        <rFont val="210 네모진 020"/>
        <family val="1"/>
        <charset val="129"/>
      </rPr>
      <t>컴퓨터를 연결하여 자원을 공유</t>
    </r>
    <r>
      <rPr>
        <sz val="20"/>
        <color theme="1"/>
        <rFont val="210 네모진 020"/>
        <family val="1"/>
        <charset val="129"/>
      </rPr>
      <t>하는 것</t>
    </r>
    <phoneticPr fontId="3" type="noConversion"/>
  </si>
  <si>
    <t>비교적 가까운 거리에 있는 컴퓨터, 프린터, 저장장치 등과 같은 자원을 연결하여 구성</t>
    <phoneticPr fontId="3" type="noConversion"/>
  </si>
  <si>
    <r>
      <t xml:space="preserve">전체의 구성, </t>
    </r>
    <r>
      <rPr>
        <sz val="20"/>
        <color rgb="FFFF0000"/>
        <rFont val="210 네모진 020"/>
        <family val="1"/>
        <charset val="129"/>
      </rPr>
      <t>OSI 참조 모델</t>
    </r>
    <r>
      <rPr>
        <sz val="20"/>
        <color theme="1"/>
        <rFont val="210 네모진 020"/>
        <family val="1"/>
        <charset val="129"/>
      </rPr>
      <t xml:space="preserve">과의 관계, </t>
    </r>
    <r>
      <rPr>
        <sz val="20"/>
        <color rgb="FFFF0000"/>
        <rFont val="210 네모진 020"/>
        <family val="1"/>
        <charset val="129"/>
      </rPr>
      <t>통신망 관리</t>
    </r>
    <r>
      <rPr>
        <sz val="20"/>
        <color theme="1"/>
        <rFont val="210 네모진 020"/>
        <family val="1"/>
        <charset val="129"/>
      </rPr>
      <t xml:space="preserve"> 등에 관한 규약</t>
    </r>
    <phoneticPr fontId="3" type="noConversion"/>
  </si>
  <si>
    <r>
      <rPr>
        <sz val="20"/>
        <color rgb="FFFF0000"/>
        <rFont val="210 네모진 020"/>
        <family val="1"/>
        <charset val="129"/>
      </rPr>
      <t>논리 링크 제어(LLC) 계층</t>
    </r>
    <r>
      <rPr>
        <sz val="20"/>
        <color theme="1"/>
        <rFont val="210 네모진 020"/>
        <family val="1"/>
        <charset val="129"/>
      </rPr>
      <t>에 관한 규약</t>
    </r>
    <phoneticPr fontId="3" type="noConversion"/>
  </si>
  <si>
    <r>
      <rPr>
        <sz val="20"/>
        <color rgb="FFFF0000"/>
        <rFont val="210 네모진 020"/>
        <family val="1"/>
        <charset val="129"/>
      </rPr>
      <t>CSMA/CD 방식</t>
    </r>
    <r>
      <rPr>
        <sz val="20"/>
        <color theme="1"/>
        <rFont val="210 네모진 020"/>
        <family val="1"/>
        <charset val="129"/>
      </rPr>
      <t>의 매체 접근 제어 계층에 관한 규약</t>
    </r>
    <phoneticPr fontId="3" type="noConversion"/>
  </si>
  <si>
    <r>
      <rPr>
        <sz val="20"/>
        <color rgb="FFFF0000"/>
        <rFont val="210 네모진 020"/>
        <family val="1"/>
        <charset val="129"/>
      </rPr>
      <t>토큰 버스 방식</t>
    </r>
    <r>
      <rPr>
        <sz val="20"/>
        <color theme="1"/>
        <rFont val="210 네모진 020"/>
        <family val="1"/>
        <charset val="129"/>
      </rPr>
      <t>의 매체 접근 제어 계층에 관한 규약</t>
    </r>
    <phoneticPr fontId="3" type="noConversion"/>
  </si>
  <si>
    <r>
      <rPr>
        <sz val="20"/>
        <color rgb="FFFF0000"/>
        <rFont val="210 네모진 020"/>
        <family val="1"/>
        <charset val="129"/>
      </rPr>
      <t>토큰 링 방식</t>
    </r>
    <r>
      <rPr>
        <sz val="20"/>
        <color theme="1"/>
        <rFont val="210 네모진 020"/>
        <family val="1"/>
        <charset val="129"/>
      </rPr>
      <t>의 매체 접근 제어 계층에 관한 규약</t>
    </r>
    <phoneticPr fontId="3" type="noConversion"/>
  </si>
  <si>
    <r>
      <rPr>
        <sz val="20"/>
        <color rgb="FFFF0000"/>
        <rFont val="210 네모진 020"/>
        <family val="1"/>
        <charset val="129"/>
      </rPr>
      <t>도시형 통신망(MAN)</t>
    </r>
    <r>
      <rPr>
        <sz val="20"/>
        <color theme="1"/>
        <rFont val="210 네모진 020"/>
        <family val="1"/>
        <charset val="129"/>
      </rPr>
      <t>에 관한 규약</t>
    </r>
    <phoneticPr fontId="3" type="noConversion"/>
  </si>
  <si>
    <r>
      <rPr>
        <sz val="20"/>
        <color rgb="FFFF0000"/>
        <rFont val="210 네모진 020"/>
        <family val="1"/>
        <charset val="129"/>
      </rPr>
      <t>종합 음성/데이터 네트워크</t>
    </r>
    <r>
      <rPr>
        <sz val="20"/>
        <color theme="1"/>
        <rFont val="210 네모진 020"/>
        <family val="1"/>
        <charset val="129"/>
      </rPr>
      <t>에 관한 규약</t>
    </r>
    <phoneticPr fontId="3" type="noConversion"/>
  </si>
  <si>
    <r>
      <rPr>
        <sz val="20"/>
        <color rgb="FFFF0000"/>
        <rFont val="210 네모진 020"/>
        <family val="1"/>
        <charset val="129"/>
      </rPr>
      <t>무선 LAN</t>
    </r>
    <r>
      <rPr>
        <sz val="20"/>
        <color theme="1"/>
        <rFont val="210 네모진 020"/>
        <family val="1"/>
        <charset val="129"/>
      </rPr>
      <t>에 관한 규약</t>
    </r>
    <phoneticPr fontId="3" type="noConversion"/>
  </si>
  <si>
    <r>
      <rPr>
        <sz val="20"/>
        <color rgb="FFFF0000"/>
        <rFont val="210 네모진 020"/>
        <family val="1"/>
        <charset val="129"/>
      </rPr>
      <t>2.4GHz</t>
    </r>
    <r>
      <rPr>
        <sz val="20"/>
        <color theme="1"/>
        <rFont val="210 네모진 020"/>
        <family val="1"/>
        <charset val="129"/>
      </rPr>
      <t xml:space="preserve"> 대역 전파, CSMA/CA 기술, 최고 </t>
    </r>
    <r>
      <rPr>
        <sz val="20"/>
        <color rgb="FFFF0000"/>
        <rFont val="210 네모진 020"/>
        <family val="1"/>
        <charset val="129"/>
      </rPr>
      <t>2Mbps</t>
    </r>
    <r>
      <rPr>
        <sz val="20"/>
        <color theme="1"/>
        <rFont val="210 네모진 020"/>
        <family val="1"/>
        <charset val="129"/>
      </rPr>
      <t>까지의 전송 속도 지원</t>
    </r>
    <phoneticPr fontId="3" type="noConversion"/>
  </si>
  <si>
    <r>
      <rPr>
        <sz val="20"/>
        <color rgb="FFFF0000"/>
        <rFont val="210 네모진 020"/>
        <family val="1"/>
        <charset val="129"/>
      </rPr>
      <t>5GHz</t>
    </r>
    <r>
      <rPr>
        <sz val="20"/>
        <color theme="1"/>
        <rFont val="210 네모진 020"/>
        <family val="1"/>
        <charset val="129"/>
      </rPr>
      <t xml:space="preserve"> 대역 전파, OFDM 기술, 최고 </t>
    </r>
    <r>
      <rPr>
        <sz val="20"/>
        <color rgb="FFFF0000"/>
        <rFont val="210 네모진 020"/>
        <family val="1"/>
        <charset val="129"/>
      </rPr>
      <t>54Mbps</t>
    </r>
    <r>
      <rPr>
        <sz val="20"/>
        <color theme="1"/>
        <rFont val="210 네모진 020"/>
        <family val="1"/>
        <charset val="129"/>
      </rPr>
      <t>까지의 전송 속도 지원</t>
    </r>
    <phoneticPr fontId="3" type="noConversion"/>
  </si>
  <si>
    <r>
      <t xml:space="preserve">802.11 초기 버전의 개선안. 초기 버전의 대역 전파와 기술 사용해 최고 </t>
    </r>
    <r>
      <rPr>
        <sz val="20"/>
        <color rgb="FFFF0000"/>
        <rFont val="210 네모진 020"/>
        <family val="1"/>
        <charset val="129"/>
      </rPr>
      <t>11Mbps</t>
    </r>
    <r>
      <rPr>
        <sz val="20"/>
        <color theme="1"/>
        <rFont val="210 네모진 020"/>
        <family val="1"/>
        <charset val="129"/>
      </rPr>
      <t>의 전송 속도</t>
    </r>
    <phoneticPr fontId="3" type="noConversion"/>
  </si>
  <si>
    <r>
      <t xml:space="preserve">802.11의 부가 기능 표준, QoS 기능 지원되도록 하기 위해 </t>
    </r>
    <r>
      <rPr>
        <sz val="20"/>
        <color rgb="FFFF0000"/>
        <rFont val="210 네모진 020"/>
        <family val="1"/>
        <charset val="129"/>
      </rPr>
      <t>매체 접근 제어(MAC) 계층 부분 수정</t>
    </r>
    <phoneticPr fontId="3" type="noConversion"/>
  </si>
  <si>
    <r>
      <rPr>
        <sz val="20"/>
        <color rgb="FFFF0000"/>
        <rFont val="210 네모진 020"/>
        <family val="1"/>
        <charset val="129"/>
      </rPr>
      <t>2.4GHz</t>
    </r>
    <r>
      <rPr>
        <sz val="20"/>
        <color theme="1"/>
        <rFont val="210 네모진 020"/>
        <family val="1"/>
        <charset val="129"/>
      </rPr>
      <t xml:space="preserve"> 대역의 전파를 사용하지만 802.11a와 동일한 최고 </t>
    </r>
    <r>
      <rPr>
        <sz val="20"/>
        <color rgb="FFFF0000"/>
        <rFont val="210 네모진 020"/>
        <family val="1"/>
        <charset val="129"/>
      </rPr>
      <t>54Mbps</t>
    </r>
    <r>
      <rPr>
        <sz val="20"/>
        <color theme="1"/>
        <rFont val="210 네모진 020"/>
        <family val="1"/>
        <charset val="129"/>
      </rPr>
      <t>까지의 전송 속도 지원</t>
    </r>
    <phoneticPr fontId="3" type="noConversion"/>
  </si>
  <si>
    <r>
      <rPr>
        <sz val="20"/>
        <color rgb="FFFF0000"/>
        <rFont val="210 네모진 020"/>
        <family val="1"/>
        <charset val="129"/>
      </rPr>
      <t>2.4GHz</t>
    </r>
    <r>
      <rPr>
        <sz val="20"/>
        <color theme="1"/>
        <rFont val="210 네모진 020"/>
        <family val="1"/>
        <charset val="129"/>
      </rPr>
      <t xml:space="preserve"> 대역과 </t>
    </r>
    <r>
      <rPr>
        <sz val="20"/>
        <color rgb="FFFF0000"/>
        <rFont val="210 네모진 020"/>
        <family val="1"/>
        <charset val="129"/>
      </rPr>
      <t>5GHz</t>
    </r>
    <r>
      <rPr>
        <sz val="20"/>
        <color theme="1"/>
        <rFont val="210 네모진 020"/>
        <family val="1"/>
        <charset val="129"/>
      </rPr>
      <t xml:space="preserve"> 대역을 사용하는 규격, 최고 </t>
    </r>
    <r>
      <rPr>
        <sz val="20"/>
        <color rgb="FFFF0000"/>
        <rFont val="210 네모진 020"/>
        <family val="1"/>
        <charset val="129"/>
      </rPr>
      <t>600Mbps</t>
    </r>
    <r>
      <rPr>
        <sz val="20"/>
        <color theme="1"/>
        <rFont val="210 네모진 020"/>
        <family val="1"/>
        <charset val="129"/>
      </rPr>
      <t>까지 전송 속도 지원</t>
    </r>
    <phoneticPr fontId="3" type="noConversion"/>
  </si>
  <si>
    <t>한 개의 정식 IP 주소에 대량의 가상 사설 IP 주소 할당 및 연결</t>
    <phoneticPr fontId="3" type="noConversion"/>
  </si>
  <si>
    <t>성능 기준, 경로의 결정 시간과 장소, 정보 발생지, 경로 정보의 갱신 시간</t>
    <phoneticPr fontId="3" type="noConversion"/>
  </si>
  <si>
    <r>
      <rPr>
        <sz val="20"/>
        <color rgb="FFFF0000"/>
        <rFont val="210 네모진 020"/>
        <family val="1"/>
        <charset val="129"/>
      </rPr>
      <t>하나의 자율 시스템(AS) 내의 라우팅</t>
    </r>
    <r>
      <rPr>
        <sz val="20"/>
        <color theme="1"/>
        <rFont val="210 네모진 020"/>
        <family val="1"/>
        <charset val="129"/>
      </rPr>
      <t>에 사용되는 프로토콜</t>
    </r>
    <phoneticPr fontId="3" type="noConversion"/>
  </si>
  <si>
    <r>
      <t xml:space="preserve">RIP의 단점 해결하여 새로운 기능을 지원하는 인터넷 프로토콜, 대규모 네트워크에서 많이 사용. 인터넷 망에서 이용자가 최단 경로를 선정할 수 있도록 라우팅 정보에 노드 간의 거리 정보, 링크 상태 정보를 실시간으로 반영하여 </t>
    </r>
    <r>
      <rPr>
        <sz val="20"/>
        <color rgb="FFFF0000"/>
        <rFont val="210 네모진 020"/>
        <family val="1"/>
        <charset val="129"/>
      </rPr>
      <t>최단 경로로 라우팅</t>
    </r>
    <r>
      <rPr>
        <sz val="20"/>
        <color theme="1"/>
        <rFont val="210 네모진 020"/>
        <family val="1"/>
        <charset val="129"/>
      </rPr>
      <t xml:space="preserve">을 지원함. 최단 경로 탐색에 </t>
    </r>
    <r>
      <rPr>
        <sz val="20"/>
        <color rgb="FFFF0000"/>
        <rFont val="210 네모진 020"/>
        <family val="1"/>
        <charset val="129"/>
      </rPr>
      <t>다익스트라(Dijkstra)</t>
    </r>
    <r>
      <rPr>
        <sz val="20"/>
        <color theme="1"/>
        <rFont val="210 네모진 020"/>
        <family val="1"/>
        <charset val="129"/>
      </rPr>
      <t xml:space="preserve"> 알고리즘을 사용함</t>
    </r>
    <phoneticPr fontId="3" type="noConversion"/>
  </si>
  <si>
    <r>
      <t xml:space="preserve">현재 가장 널리 사용되는 라우팅 프로토콜, </t>
    </r>
    <r>
      <rPr>
        <sz val="20"/>
        <color rgb="FFFF0000"/>
        <rFont val="210 네모진 020"/>
        <family val="1"/>
        <charset val="129"/>
      </rPr>
      <t>거리 벡터 라우팅 프로토콜</t>
    </r>
    <r>
      <rPr>
        <sz val="20"/>
        <color theme="1"/>
        <rFont val="210 네모진 020"/>
        <family val="1"/>
        <charset val="129"/>
      </rPr>
      <t xml:space="preserve">. 최단 경로 탐색에 </t>
    </r>
    <r>
      <rPr>
        <sz val="20"/>
        <color rgb="FFFF0000"/>
        <rFont val="210 네모진 020"/>
        <family val="1"/>
        <charset val="129"/>
      </rPr>
      <t>Bellman-Ford</t>
    </r>
    <r>
      <rPr>
        <sz val="20"/>
        <color theme="1"/>
        <rFont val="210 네모진 020"/>
        <family val="1"/>
        <charset val="129"/>
      </rPr>
      <t xml:space="preserve"> 알고리즘이 사용됨</t>
    </r>
    <phoneticPr fontId="3" type="noConversion"/>
  </si>
  <si>
    <r>
      <rPr>
        <sz val="20"/>
        <color rgb="FFFF0000"/>
        <rFont val="210 네모진 020"/>
        <family val="1"/>
        <charset val="129"/>
      </rPr>
      <t>자율 시스템 간의 라우팅</t>
    </r>
    <r>
      <rPr>
        <sz val="20"/>
        <color theme="1"/>
        <rFont val="210 네모진 020"/>
        <family val="1"/>
        <charset val="129"/>
      </rPr>
      <t>, 즉 게이트웨이 간의 라우팅에 사용되는 프로토콜</t>
    </r>
    <phoneticPr fontId="3" type="noConversion"/>
  </si>
  <si>
    <t>전송되는 패킷의 흐름 또는 그 양을 조절하는 기능</t>
    <phoneticPr fontId="3" type="noConversion"/>
  </si>
  <si>
    <t>수신 측의 확인 신호(ACK)를 받은 후에 다음 패킷을 전송하는 방식</t>
    <phoneticPr fontId="3" type="noConversion"/>
  </si>
  <si>
    <r>
      <t xml:space="preserve">송수신 측 사이에 전송되는 </t>
    </r>
    <r>
      <rPr>
        <sz val="20"/>
        <color rgb="FFFF0000"/>
        <rFont val="210 네모진 020"/>
        <family val="1"/>
        <charset val="129"/>
      </rPr>
      <t>패킷의 양이나 속도를 규제</t>
    </r>
    <r>
      <rPr>
        <sz val="20"/>
        <color theme="1"/>
        <rFont val="210 네모진 020"/>
        <family val="1"/>
        <charset val="129"/>
      </rPr>
      <t>하는 기능</t>
    </r>
    <phoneticPr fontId="3" type="noConversion"/>
  </si>
  <si>
    <r>
      <rPr>
        <sz val="20"/>
        <color rgb="FFFF0000"/>
        <rFont val="210 네모진 020"/>
        <family val="1"/>
        <charset val="129"/>
      </rPr>
      <t>네트워크 내의 패킷 수를 조절하여 네트워크의 오버플로를 방지</t>
    </r>
    <r>
      <rPr>
        <sz val="20"/>
        <color theme="1"/>
        <rFont val="210 네모진 020"/>
        <family val="1"/>
        <charset val="129"/>
      </rPr>
      <t>하는 기능</t>
    </r>
    <phoneticPr fontId="3" type="noConversion"/>
  </si>
  <si>
    <t>인간의 두뇌와 같이 컴퓨터 스스로 추론, 학습, 판단 등 인간지능적인 작업을 수행하는 시스템</t>
    <phoneticPr fontId="3" type="noConversion"/>
  </si>
  <si>
    <t>일론 머스크가 사람의 뇌와 컴퓨터를 결합하는 기술을 개발하기 위해 설립한 회사작은 전극을 뇌에 이식함으로써 생각을 업로드 하고 다운로드 하는 ‘신경 레이스’ 기술 개발</t>
    <phoneticPr fontId="3" type="noConversion"/>
  </si>
  <si>
    <r>
      <t xml:space="preserve">인간의 두뇌를 모델로 만들어진 </t>
    </r>
    <r>
      <rPr>
        <sz val="20"/>
        <color rgb="FFFF0000"/>
        <rFont val="210 네모진 020"/>
        <family val="1"/>
        <charset val="129"/>
      </rPr>
      <t>인공 신경망</t>
    </r>
    <r>
      <rPr>
        <sz val="20"/>
        <color theme="1"/>
        <rFont val="210 네모진 020"/>
        <family val="1"/>
        <charset val="129"/>
      </rPr>
      <t xml:space="preserve">을 기반으로 하는 </t>
    </r>
    <r>
      <rPr>
        <sz val="20"/>
        <color rgb="FFFF0000"/>
        <rFont val="210 네모진 020"/>
        <family val="1"/>
        <charset val="129"/>
      </rPr>
      <t>기계 학습 기술</t>
    </r>
    <phoneticPr fontId="3" type="noConversion"/>
  </si>
  <si>
    <t>특정 분야의 전문가가 수행하는 고도의 업무를 지원하기 위한 컴퓨터 응용 프로그램</t>
    <phoneticPr fontId="3" type="noConversion"/>
  </si>
  <si>
    <t>실제 촬영한 화면에 가상의 정보를 부가하여 보여주는 기술로, 혼합현실(MR)이라고도 부름</t>
    <phoneticPr fontId="3" type="noConversion"/>
  </si>
  <si>
    <t>P2P 네트워크를 이용하여 거래 정보를 네트워크 참여자의 디지털 장비에 분산 저장하는 기술</t>
    <phoneticPr fontId="3" type="noConversion"/>
  </si>
  <si>
    <t>중앙 관리자나 중앙 데이터 저장소가 존재하지 않고 P2P 망 내의 참여자들에게 모든 거래 목록이 분산 저장되어 거래가 발생할 때마다 지속적으로 갱신되는 디지털 원장을 의미</t>
    <phoneticPr fontId="3" type="noConversion"/>
  </si>
  <si>
    <t>임의의 길이의 입력 데이터나 메시지를 고정된 길이의 값이나 키로 변환하는 것</t>
    <phoneticPr fontId="3" type="noConversion"/>
  </si>
  <si>
    <t>양자 통신을 위해 비밀키를 분배하여 관리하는 기술비밀키를 안전하게 공유하기 위해 양자 암호키 분배 시스템을 설치하여 운용하는 방식으로 활용됨</t>
    <phoneticPr fontId="3" type="noConversion"/>
  </si>
  <si>
    <t>개인정보 침해 위험을 관리하기 위한 핵심 기술. 다양한 사용자 프라이버시 보호 기술을 통칭함</t>
    <phoneticPr fontId="3" type="noConversion"/>
  </si>
  <si>
    <t>정보화 제품의 정보 보호 기능과 이에 대한 사용 환경 등급을 정한 기준</t>
    <phoneticPr fontId="3" type="noConversion"/>
  </si>
  <si>
    <r>
      <t xml:space="preserve">웹에서 제공하는 정보 및 서비스로 새로운 소프트웨어나 서비스, 데이터베이스 등을 만드는 </t>
    </r>
    <r>
      <rPr>
        <sz val="20"/>
        <color rgb="FFFF0000"/>
        <rFont val="210 네모진 020"/>
        <family val="1"/>
        <charset val="129"/>
      </rPr>
      <t>기술콘텐츠를 조합해 하나의 서비스로 제공하는 웹 사이트 또는 애플리케이션</t>
    </r>
    <r>
      <rPr>
        <sz val="20"/>
        <color theme="1"/>
        <rFont val="210 네모진 020"/>
        <family val="1"/>
        <charset val="129"/>
      </rPr>
      <t>을 말함</t>
    </r>
    <phoneticPr fontId="3" type="noConversion"/>
  </si>
  <si>
    <r>
      <t xml:space="preserve">컴퓨터가 사람을 대신하여 정보를 읽고 이해하고 가공하여 새로운 정보를 만들어 낼 수 있도록 이해하기 쉬운 의미를 가진 </t>
    </r>
    <r>
      <rPr>
        <sz val="20"/>
        <color rgb="FFFF0000"/>
        <rFont val="210 네모진 020"/>
        <family val="1"/>
        <charset val="129"/>
      </rPr>
      <t>차세대 지능형 웹</t>
    </r>
    <phoneticPr fontId="3" type="noConversion"/>
  </si>
  <si>
    <t>판매 계획 또는 배포 계획은 발표되었으나 실제로 고객에게 판매되거나 배포되지 않은 소프트웨어</t>
    <phoneticPr fontId="3" type="noConversion"/>
  </si>
  <si>
    <t>애플리케이션 공유를 위한 웹 서비스를 그리드 상에서 제공하기 위해 만든 개방형 표준</t>
    <phoneticPr fontId="3" type="noConversion"/>
  </si>
  <si>
    <r>
      <t xml:space="preserve">소프트웨어의 여러 기능 중에서 </t>
    </r>
    <r>
      <rPr>
        <sz val="20"/>
        <color rgb="FFFF0000"/>
        <rFont val="210 네모진 020"/>
        <family val="1"/>
        <charset val="129"/>
      </rPr>
      <t>사용자가 필요로 하는 서비스만 이용</t>
    </r>
    <r>
      <rPr>
        <sz val="20"/>
        <color theme="1"/>
        <rFont val="210 네모진 020"/>
        <family val="1"/>
        <charset val="129"/>
      </rPr>
      <t>할 수 있도록 한 소프트웨어</t>
    </r>
    <phoneticPr fontId="3" type="noConversion"/>
  </si>
  <si>
    <r>
      <t xml:space="preserve">소프트에어 개발자의 지식재산권은 보호하고 사용자는 저렴한 비용으로 소프트웨어를 안정적으로 사용 및 유지보수 할 수 있도록 </t>
    </r>
    <r>
      <rPr>
        <sz val="20"/>
        <color rgb="FFFF0000"/>
        <rFont val="210 네모진 020"/>
        <family val="1"/>
        <charset val="129"/>
      </rPr>
      <t>소스 프로그램과 기술 정보 등을 제 3의 기관에 보관</t>
    </r>
    <r>
      <rPr>
        <sz val="20"/>
        <color theme="1"/>
        <rFont val="210 네모진 020"/>
        <family val="1"/>
        <charset val="129"/>
      </rPr>
      <t>하는 것</t>
    </r>
    <phoneticPr fontId="3" type="noConversion"/>
  </si>
  <si>
    <t>대상을 평면에 출력하는 것이 아니라 손으로 만질 수 있는 실제 물체로 만들어 내는 것.
아주 얇은 두께로 한층한층 쌓아 하나의 형태를 만들어 내는 기술을 이요함</t>
    <phoneticPr fontId="3" type="noConversion"/>
  </si>
  <si>
    <t>현실속의 사물을 소프트웨어로 가상화한 모델. 실제 자산의 특성에 대한 정확한 정보를 얻을 수 있음.
설계부터 제조, 서비스에 이르는 모든 과정의 효율성을 향상 시킬 수 있음.</t>
    <phoneticPr fontId="3" type="noConversion"/>
  </si>
  <si>
    <r>
      <t xml:space="preserve">긴 시간동안 안정적인 서비스 운영을 위해 </t>
    </r>
    <r>
      <rPr>
        <sz val="20"/>
        <color rgb="FFFF0000"/>
        <rFont val="210 네모진 020"/>
        <family val="1"/>
        <charset val="129"/>
      </rPr>
      <t>장애 발생 시 즉시 다른 시스템으로 대체 가능한 환경을 구축하는 메커니즘</t>
    </r>
    <phoneticPr fontId="3" type="noConversion"/>
  </si>
  <si>
    <r>
      <t xml:space="preserve">하드디스크나 주변장치 없이 </t>
    </r>
    <r>
      <rPr>
        <sz val="20"/>
        <color rgb="FFFF0000"/>
        <rFont val="210 네모진 020"/>
        <family val="1"/>
        <charset val="129"/>
      </rPr>
      <t>기본적인 메모리만</t>
    </r>
    <r>
      <rPr>
        <sz val="20"/>
        <color theme="1"/>
        <rFont val="210 네모진 020"/>
        <family val="1"/>
        <charset val="129"/>
      </rPr>
      <t xml:space="preserve"> 갖추고 서버와 네트워크로  운용되는 </t>
    </r>
    <r>
      <rPr>
        <sz val="20"/>
        <color rgb="FFFF0000"/>
        <rFont val="210 네모진 020"/>
        <family val="1"/>
        <charset val="129"/>
      </rPr>
      <t>개인용 컴퓨터 서버 기반 컴퓨팅</t>
    </r>
    <r>
      <rPr>
        <sz val="20"/>
        <color theme="1"/>
        <rFont val="210 네모진 020"/>
        <family val="1"/>
        <charset val="129"/>
      </rPr>
      <t>과 관계가 깊음</t>
    </r>
    <phoneticPr fontId="3" type="noConversion"/>
  </si>
  <si>
    <t>폰과 태블릿의 합성어로 태브릿 기능을 포함한 5인치 이상의 대화면 스마트폰</t>
    <phoneticPr fontId="3" type="noConversion"/>
  </si>
  <si>
    <t>범용 인터페이스 규격인 USB의 표준 중 하나. 기존 A형에 비하여 크기가 작고, 24핀.</t>
    <phoneticPr fontId="3" type="noConversion"/>
  </si>
  <si>
    <r>
      <t xml:space="preserve">초정밀 반도체 제조 기술을 바탕으로 센서, 액추에이터 등 </t>
    </r>
    <r>
      <rPr>
        <sz val="20"/>
        <color rgb="FFFF0000"/>
        <rFont val="210 네모진 020"/>
        <family val="1"/>
        <charset val="129"/>
      </rPr>
      <t>기계 구조를 다양한 기술로 미세 가공</t>
    </r>
    <r>
      <rPr>
        <sz val="20"/>
        <color theme="1"/>
        <rFont val="210 네모진 020"/>
        <family val="1"/>
        <charset val="129"/>
      </rPr>
      <t xml:space="preserve">하여 전기기계적 동작을 할 수 있도록 한 </t>
    </r>
    <r>
      <rPr>
        <sz val="20"/>
        <color rgb="FFFF0000"/>
        <rFont val="210 네모진 020"/>
        <family val="1"/>
        <charset val="129"/>
      </rPr>
      <t>초미세 장치</t>
    </r>
    <phoneticPr fontId="3" type="noConversion"/>
  </si>
  <si>
    <r>
      <t xml:space="preserve">하나의 프로세스 내에 일반 애플리케이션을 처리하는 </t>
    </r>
    <r>
      <rPr>
        <sz val="20"/>
        <color rgb="FFFF0000"/>
        <rFont val="210 네모진 020"/>
        <family val="1"/>
        <charset val="129"/>
      </rPr>
      <t>일반 구역</t>
    </r>
    <r>
      <rPr>
        <sz val="20"/>
        <color theme="1"/>
        <rFont val="210 네모진 020"/>
        <family val="1"/>
        <charset val="129"/>
      </rPr>
      <t xml:space="preserve">과 보안이 필요한 애플리케이션을 처리하는 </t>
    </r>
    <r>
      <rPr>
        <sz val="20"/>
        <color rgb="FFFF0000"/>
        <rFont val="210 네모진 020"/>
        <family val="1"/>
        <charset val="129"/>
      </rPr>
      <t>보안 구역</t>
    </r>
    <r>
      <rPr>
        <sz val="20"/>
        <color theme="1"/>
        <rFont val="210 네모진 020"/>
        <family val="1"/>
        <charset val="129"/>
      </rPr>
      <t>으로 분할하여 관리하는 하드웨어 기반의 보안 기술</t>
    </r>
    <phoneticPr fontId="3" type="noConversion"/>
  </si>
  <si>
    <r>
      <t xml:space="preserve">한 번의 기록만으로 자료를 </t>
    </r>
    <r>
      <rPr>
        <sz val="20"/>
        <color rgb="FFFF0000"/>
        <rFont val="210 네모진 020"/>
        <family val="1"/>
        <charset val="129"/>
      </rPr>
      <t>영구 보관 할 수 있는 광 저장장치</t>
    </r>
    <r>
      <rPr>
        <sz val="20"/>
        <color theme="1"/>
        <rFont val="210 네모진 020"/>
        <family val="1"/>
        <charset val="129"/>
      </rPr>
      <t>. 디스크 표면의 무기물층에 레이저를 이용해 자료를 조각해서 기록함. 시간이 지나도 변하지 않는 금속 활자처럼 빛, 열, 습기 등의 외부 요인에 영향을 받지 않음</t>
    </r>
    <phoneticPr fontId="3" type="noConversion"/>
  </si>
  <si>
    <t>기존의 관리 방법이나 분석 체계로는 처리하기 어려운 막대한 양의 정형 또는 비정형 데이터 집합</t>
    <phoneticPr fontId="3" type="noConversion"/>
  </si>
  <si>
    <r>
      <t xml:space="preserve">다양한 채널에서 소비자와 상호 작용을 통해 생성된 것으로, 
이전에 사용하지 않거나 알지 못했던 </t>
    </r>
    <r>
      <rPr>
        <sz val="20"/>
        <color rgb="FFFF0000"/>
        <rFont val="210 네모진 020"/>
        <family val="1"/>
        <charset val="129"/>
      </rPr>
      <t>새로운 데이터나 기존 데이터에 새로운 가치가 더해진 데이터</t>
    </r>
    <phoneticPr fontId="3" type="noConversion"/>
  </si>
  <si>
    <r>
      <t xml:space="preserve">일련의 </t>
    </r>
    <r>
      <rPr>
        <sz val="20"/>
        <color rgb="FFFF0000"/>
        <rFont val="210 네모진 020"/>
        <family val="1"/>
        <charset val="129"/>
      </rPr>
      <t>데이터를 정의하고 설명해 주는 데이터</t>
    </r>
    <r>
      <rPr>
        <sz val="20"/>
        <color theme="1"/>
        <rFont val="210 네모진 020"/>
        <family val="1"/>
        <charset val="129"/>
      </rPr>
      <t>. 
컴퓨터에서는 데이터 사전의 내용, 스키마 등을 의미. HTML 문서에서는 메타 태그 내의 내용이 메타 데이터임</t>
    </r>
    <phoneticPr fontId="3" type="noConversion"/>
  </si>
  <si>
    <t>디지털 정보 자원을 장기적으로 보존하기 위한 작업. 
아날로그 콘텐츠는 디지털로 변환한 후 압축해서 저장하고, 디지털 콘텐츠도 체계적으로 분류하고 메타 데이터를 만들어 DB화 하는 작업</t>
    <phoneticPr fontId="3" type="noConversion"/>
  </si>
  <si>
    <r>
      <rPr>
        <sz val="20"/>
        <color rgb="FFFF0000"/>
        <rFont val="210 네모진 020"/>
        <family val="1"/>
        <charset val="129"/>
      </rPr>
      <t>오픈 소스를 기반으로 한 분산 컴퓨팅 플랫폼</t>
    </r>
    <r>
      <rPr>
        <sz val="20"/>
        <color theme="1"/>
        <rFont val="210 네모진 020"/>
        <family val="1"/>
        <charset val="129"/>
      </rPr>
      <t>. 일반 PC급 컴퓨터들로 가상화된 대형 스토리지를 형성하고 그 안에 보관된 거대한 데이터 세트를 병렬로 처리할 수 있도록 개발된 자바 소프트웨어 프레임워크</t>
    </r>
    <phoneticPr fontId="3" type="noConversion"/>
  </si>
  <si>
    <r>
      <rPr>
        <sz val="20"/>
        <color rgb="FFFF0000"/>
        <rFont val="210 네모진 020"/>
        <family val="1"/>
        <charset val="129"/>
      </rPr>
      <t>대용량 데이터를 분산 처리</t>
    </r>
    <r>
      <rPr>
        <sz val="20"/>
        <color theme="1"/>
        <rFont val="210 네모진 020"/>
        <family val="1"/>
        <charset val="129"/>
      </rPr>
      <t xml:space="preserve">하기 위한 목적으로 개발된 프로그래밍 모델. 흩어져 있는 데이터를 </t>
    </r>
    <r>
      <rPr>
        <sz val="20"/>
        <color rgb="FFFF0000"/>
        <rFont val="210 네모진 020"/>
        <family val="1"/>
        <charset val="129"/>
      </rPr>
      <t>연관성 있는 데이터 분류로 묶는 Map 작업</t>
    </r>
    <r>
      <rPr>
        <sz val="20"/>
        <color theme="1"/>
        <rFont val="210 네모진 020"/>
        <family val="1"/>
        <charset val="129"/>
      </rPr>
      <t xml:space="preserve">을 수행한 후 </t>
    </r>
    <r>
      <rPr>
        <sz val="20"/>
        <color rgb="FFFF0000"/>
        <rFont val="210 네모진 020"/>
        <family val="1"/>
        <charset val="129"/>
      </rPr>
      <t>중복 데이터를 제거하고 원하는 데이터를 추출하는 Reduce 작업</t>
    </r>
    <r>
      <rPr>
        <sz val="20"/>
        <color theme="1"/>
        <rFont val="210 네모진 020"/>
        <family val="1"/>
        <charset val="129"/>
      </rPr>
      <t>을 수행. Google에 의해 고안되었으며, 대표적인 대용량 데이터 처리를 위한 병렬 처리 기법으로 많이 사용됨</t>
    </r>
    <phoneticPr fontId="3" type="noConversion"/>
  </si>
  <si>
    <r>
      <t xml:space="preserve">오픈 소스 기반 분산 컴퓨팅 플랫폼인 </t>
    </r>
    <r>
      <rPr>
        <sz val="20"/>
        <color rgb="FFFF0000"/>
        <rFont val="210 네모진 020"/>
        <family val="1"/>
        <charset val="129"/>
      </rPr>
      <t>아피치 하둡 기반의 분산 데이터 웨어하우스 프로젝트</t>
    </r>
    <phoneticPr fontId="3" type="noConversion"/>
  </si>
  <si>
    <r>
      <rPr>
        <sz val="20"/>
        <color rgb="FFFF0000"/>
        <rFont val="210 네모진 020"/>
        <family val="1"/>
        <charset val="129"/>
      </rPr>
      <t>데이터를</t>
    </r>
    <r>
      <rPr>
        <sz val="20"/>
        <color theme="1"/>
        <rFont val="210 네모진 020"/>
        <family val="1"/>
        <charset val="129"/>
      </rPr>
      <t xml:space="preserve"> 삭제하는 것이 아니라 </t>
    </r>
    <r>
      <rPr>
        <sz val="20"/>
        <color rgb="FFFF0000"/>
        <rFont val="210 네모진 020"/>
        <family val="1"/>
        <charset val="129"/>
      </rPr>
      <t>압축</t>
    </r>
    <r>
      <rPr>
        <sz val="20"/>
        <color theme="1"/>
        <rFont val="210 네모진 020"/>
        <family val="1"/>
        <charset val="129"/>
      </rPr>
      <t xml:space="preserve">하고, 중복된 정보는 </t>
    </r>
    <r>
      <rPr>
        <sz val="20"/>
        <color rgb="FFFF0000"/>
        <rFont val="210 네모진 020"/>
        <family val="1"/>
        <charset val="129"/>
      </rPr>
      <t>중복을 배제</t>
    </r>
    <r>
      <rPr>
        <sz val="20"/>
        <color theme="1"/>
        <rFont val="210 네모진 020"/>
        <family val="1"/>
        <charset val="129"/>
      </rPr>
      <t xml:space="preserve">하고, 새로운 기준에 따라 </t>
    </r>
    <r>
      <rPr>
        <sz val="20"/>
        <color rgb="FFFF0000"/>
        <rFont val="210 네모진 020"/>
        <family val="1"/>
        <charset val="129"/>
      </rPr>
      <t>나누어 저장</t>
    </r>
    <r>
      <rPr>
        <sz val="20"/>
        <color theme="1"/>
        <rFont val="210 네모진 020"/>
        <family val="1"/>
        <charset val="129"/>
      </rPr>
      <t>하는 작업</t>
    </r>
    <phoneticPr fontId="3" type="noConversion"/>
  </si>
  <si>
    <r>
      <rPr>
        <sz val="20"/>
        <color rgb="FFFF0000"/>
        <rFont val="210 네모진 020"/>
        <family val="1"/>
        <charset val="129"/>
      </rPr>
      <t>대량의 데이터를 분석</t>
    </r>
    <r>
      <rPr>
        <sz val="20"/>
        <color theme="1"/>
        <rFont val="210 네모진 020"/>
        <family val="1"/>
        <charset val="129"/>
      </rPr>
      <t xml:space="preserve">하여 데이터에 </t>
    </r>
    <r>
      <rPr>
        <sz val="20"/>
        <color rgb="FFFF0000"/>
        <rFont val="210 네모진 020"/>
        <family val="1"/>
        <charset val="129"/>
      </rPr>
      <t>내재된 변수 사이의 상호 관계를 규명</t>
    </r>
    <r>
      <rPr>
        <sz val="20"/>
        <color theme="1"/>
        <rFont val="210 네모진 020"/>
        <family val="1"/>
        <charset val="129"/>
      </rPr>
      <t xml:space="preserve">하여 </t>
    </r>
    <r>
      <rPr>
        <sz val="20"/>
        <color rgb="FFFF0000"/>
        <rFont val="210 네모진 020"/>
        <family val="1"/>
        <charset val="129"/>
      </rPr>
      <t>일정한 패턴 찾아내는 기법</t>
    </r>
    <phoneticPr fontId="3" type="noConversion"/>
  </si>
  <si>
    <t>데이터베이스가 손상 되었을 때 손상되기 이전의 정상 상태로 복구하는 작업</t>
    <phoneticPr fontId="3" type="noConversion"/>
  </si>
  <si>
    <t>트랜잭션이 성공적으로 완료될 때까지 데이터베이스에 대한 실질적인 갱신을 연기하는 방법</t>
    <phoneticPr fontId="3" type="noConversion"/>
  </si>
  <si>
    <t>트랜잭션이 데이터를 갱신하면 트랜잭션이 부분 완료되기 전이라도 즉시 실제 데이터베이스에 반영하는 방법</t>
    <phoneticPr fontId="3" type="noConversion"/>
  </si>
  <si>
    <r>
      <t xml:space="preserve">갱신 내용이나 시스템에 대한 상황 등에 관한 정보와 함께 검사점을 로그에 보관해 두고, 장애 발생 시 트랜잭션 전체를 철회하지 않고 </t>
    </r>
    <r>
      <rPr>
        <sz val="20"/>
        <color rgb="FFFF0000"/>
        <rFont val="210 네모진 020"/>
        <family val="1"/>
        <charset val="129"/>
      </rPr>
      <t>검사점부터 회복 작업을 수행</t>
    </r>
    <r>
      <rPr>
        <sz val="20"/>
        <color theme="1"/>
        <rFont val="210 네모진 020"/>
        <family val="1"/>
        <charset val="129"/>
      </rPr>
      <t>하여 회복시간을 절약하도록 하는 기법</t>
    </r>
    <phoneticPr fontId="3" type="noConversion"/>
  </si>
  <si>
    <r>
      <t xml:space="preserve">데이터베이스를 일정 크기의 페이지 단위로 구성하여 각 페이지마다 복사본인 그림자 페이지를 별도 보관해 놓고, 실제 페이지를 대상으로 갱신 작업을 수행하다가 장애가 발생하여 트랜잭션 작업을 Rollback 시킬 때는 </t>
    </r>
    <r>
      <rPr>
        <sz val="20"/>
        <color rgb="FFFF0000"/>
        <rFont val="210 네모진 020"/>
        <family val="1"/>
        <charset val="129"/>
      </rPr>
      <t>갱신 이후의 실제 페이지 부분을 그림자 페이지로 대체</t>
    </r>
    <r>
      <rPr>
        <sz val="20"/>
        <color theme="1"/>
        <rFont val="210 네모진 020"/>
        <family val="1"/>
        <charset val="129"/>
      </rPr>
      <t>하여 회복 시키는 기법</t>
    </r>
    <phoneticPr fontId="3" type="noConversion"/>
  </si>
  <si>
    <t>동시에 실행되는 트랜잭션 간의 상호 작용을 제어하는 것</t>
    <phoneticPr fontId="3" type="noConversion"/>
  </si>
  <si>
    <t>트랜잭션이 어떤 로킹 단위를 액세스 하기 전, Lock을 요청해서 허락되어야만 액세스 할 수 있도록 하는 기법</t>
    <phoneticPr fontId="3" type="noConversion"/>
  </si>
  <si>
    <r>
      <t>트랜잭션이 실행을 시작하기 전에</t>
    </r>
    <r>
      <rPr>
        <sz val="20"/>
        <color rgb="FFFF0000"/>
        <rFont val="210 네모진 020"/>
        <family val="1"/>
        <charset val="129"/>
      </rPr>
      <t xml:space="preserve"> 시간표를 부여</t>
    </r>
    <r>
      <rPr>
        <sz val="20"/>
        <color theme="1"/>
        <rFont val="210 네모진 020"/>
        <family val="1"/>
        <charset val="129"/>
      </rPr>
      <t>하여 부여된 시간에 따라 트랜잭션 작업을 수행하는 기법</t>
    </r>
    <phoneticPr fontId="3" type="noConversion"/>
  </si>
  <si>
    <r>
      <t xml:space="preserve">병행수행하고자 하는 대부분의 트랜잭션이 </t>
    </r>
    <r>
      <rPr>
        <sz val="20"/>
        <color rgb="FFFF0000"/>
        <rFont val="210 네모진 020"/>
        <family val="1"/>
        <charset val="129"/>
      </rPr>
      <t>판독 전용 트랜잭션</t>
    </r>
    <r>
      <rPr>
        <sz val="20"/>
        <color theme="1"/>
        <rFont val="210 네모진 020"/>
        <family val="1"/>
        <charset val="129"/>
      </rPr>
      <t xml:space="preserve">일 경우, 트랜잭션 간의 충돌률이 매우 낮아서 </t>
    </r>
    <r>
      <rPr>
        <sz val="20"/>
        <color rgb="FFFF0000"/>
        <rFont val="210 네모진 020"/>
        <family val="1"/>
        <charset val="129"/>
      </rPr>
      <t>병행제어 기법을 사용하지 않고 실행</t>
    </r>
    <r>
      <rPr>
        <sz val="20"/>
        <color theme="1"/>
        <rFont val="210 네모진 020"/>
        <family val="1"/>
        <charset val="129"/>
      </rPr>
      <t>되어도 이 중 많은 트랜잭션은 시스템의 상태를 일관성 있게 유지한다는 점을 이용한 기법</t>
    </r>
    <phoneticPr fontId="3" type="noConversion"/>
  </si>
  <si>
    <r>
      <t xml:space="preserve">타임 스탬프의 개념을 이용하는 기법. </t>
    </r>
    <r>
      <rPr>
        <sz val="20"/>
        <color rgb="FFFF0000"/>
        <rFont val="210 네모진 020"/>
        <family val="1"/>
        <charset val="129"/>
      </rPr>
      <t>갱신될 때 마다 버전을 부여하여 관리</t>
    </r>
    <r>
      <rPr>
        <sz val="20"/>
        <color theme="1"/>
        <rFont val="210 네모진 020"/>
        <family val="1"/>
        <charset val="129"/>
      </rPr>
      <t>함.</t>
    </r>
    <phoneticPr fontId="3" type="noConversion"/>
  </si>
  <si>
    <t>한꺼번에 로킹할 수 있는 객체의 크기</t>
    <phoneticPr fontId="3" type="noConversion"/>
  </si>
  <si>
    <r>
      <t xml:space="preserve">전송 경로 중에서 </t>
    </r>
    <r>
      <rPr>
        <sz val="20"/>
        <color rgb="FFFF0000"/>
        <rFont val="210 네모진 020"/>
        <family val="1"/>
        <charset val="129"/>
      </rPr>
      <t>최적 패킷 교환 경로를 결정</t>
    </r>
    <r>
      <rPr>
        <sz val="20"/>
        <color theme="1"/>
        <rFont val="210 네모진 020"/>
        <family val="1"/>
        <charset val="129"/>
      </rPr>
      <t>하는 기능. 경로 제어표를 참조해 이루어지며, 라우터에 의해 수행</t>
    </r>
    <phoneticPr fontId="3" type="noConversion"/>
  </si>
  <si>
    <r>
      <t xml:space="preserve">초기에 라우터들이 연결될 때에는 </t>
    </r>
    <r>
      <rPr>
        <sz val="20"/>
        <color rgb="FFFF0000"/>
        <rFont val="210 네모진 020"/>
        <family val="1"/>
        <charset val="129"/>
      </rPr>
      <t>전체 경로 제어표</t>
    </r>
    <r>
      <rPr>
        <sz val="20"/>
        <color theme="1"/>
        <rFont val="210 네모진 020"/>
        <family val="1"/>
        <charset val="129"/>
      </rPr>
      <t xml:space="preserve">를 교환하고, 이후에는 </t>
    </r>
    <r>
      <rPr>
        <sz val="20"/>
        <color rgb="FFFF0000"/>
        <rFont val="210 네모진 020"/>
        <family val="1"/>
        <charset val="129"/>
      </rPr>
      <t>변화된 정보만을 교환</t>
    </r>
    <phoneticPr fontId="3" type="noConversion"/>
  </si>
  <si>
    <t xml:space="preserve">트래픽 제어 종류 </t>
    <phoneticPr fontId="3" type="noConversion"/>
  </si>
  <si>
    <r>
      <t xml:space="preserve">플래시 애니메이션 기술과 웹 서버 애플리케이션 기술을 통합하여 기존 HTML보다 역동적이고 인터랙티브한 웹 페이지를 제공하는 신개념의 </t>
    </r>
    <r>
      <rPr>
        <sz val="20"/>
        <color rgb="FFFF0000"/>
        <rFont val="210 네모진 020"/>
        <family val="1"/>
        <charset val="129"/>
      </rPr>
      <t>플래시 웹 페이지 제작 기술</t>
    </r>
    <phoneticPr fontId="3" type="noConversion"/>
  </si>
  <si>
    <r>
      <rPr>
        <sz val="20"/>
        <color rgb="FFFF0000"/>
        <rFont val="210 네모진 020"/>
        <family val="1"/>
        <charset val="129"/>
      </rPr>
      <t>정보시스템을 공유와 재사용 가능한 서비스 단위나 컴포넌트 중심으로 구축</t>
    </r>
    <r>
      <rPr>
        <sz val="20"/>
        <color theme="1"/>
        <rFont val="210 네모진 020"/>
        <family val="1"/>
        <charset val="129"/>
      </rPr>
      <t>하는 정보기술 아키텍처 기반 애플리케이션 
구성 계층 : 표현, 업무 프로세스, 서비스 중간, 애플리케이션, 데이터 저장 계층</t>
    </r>
    <phoneticPr fontId="3" type="noConversion"/>
  </si>
  <si>
    <r>
      <t xml:space="preserve">실시간으로 발생하는 많은 사건들 중 의미가 있는 것만을 </t>
    </r>
    <r>
      <rPr>
        <sz val="20"/>
        <color rgb="FFFF0000"/>
        <rFont val="210 네모진 020"/>
        <family val="1"/>
        <charset val="129"/>
      </rPr>
      <t>추출</t>
    </r>
    <r>
      <rPr>
        <sz val="20"/>
        <color theme="1"/>
        <rFont val="210 네모진 020"/>
        <family val="1"/>
        <charset val="129"/>
      </rPr>
      <t xml:space="preserve">할 수 있도록 </t>
    </r>
    <r>
      <rPr>
        <sz val="20"/>
        <color rgb="FFFF0000"/>
        <rFont val="210 네모진 020"/>
        <family val="1"/>
        <charset val="129"/>
      </rPr>
      <t>사건 발생 조건을 정의</t>
    </r>
    <r>
      <rPr>
        <sz val="20"/>
        <color theme="1"/>
        <rFont val="210 네모진 020"/>
        <family val="1"/>
        <charset val="129"/>
      </rPr>
      <t>하는 데이터 처리방법</t>
    </r>
    <phoneticPr fontId="3" type="noConversion"/>
  </si>
  <si>
    <r>
      <t xml:space="preserve">여러 개의 하드디스크로 디스크 배열을 구성하여 파일을 구성하고 있는 </t>
    </r>
    <r>
      <rPr>
        <sz val="20"/>
        <color rgb="FFFF0000"/>
        <rFont val="210 네모진 020"/>
        <family val="1"/>
        <charset val="129"/>
      </rPr>
      <t>데이터 블록들을 서로 다른 디스크들에 분산 저장</t>
    </r>
    <r>
      <rPr>
        <sz val="20"/>
        <color theme="1"/>
        <rFont val="210 네모진 020"/>
        <family val="1"/>
        <charset val="129"/>
      </rPr>
      <t xml:space="preserve">할 경우, 그 블록들을 여러 디스크에서 </t>
    </r>
    <r>
      <rPr>
        <sz val="20"/>
        <color rgb="FFFF0000"/>
        <rFont val="210 네모진 020"/>
        <family val="1"/>
        <charset val="129"/>
      </rPr>
      <t>동시에 읽거나 쓸 수 있</t>
    </r>
    <r>
      <rPr>
        <sz val="20"/>
        <color theme="1"/>
        <rFont val="210 네모진 020"/>
        <family val="1"/>
        <charset val="129"/>
      </rPr>
      <t>으므로 디스크의 속도가 매우 향상된다.</t>
    </r>
    <phoneticPr fontId="3" type="noConversion"/>
  </si>
  <si>
    <t>차세대 고화질 모니터의 해상도를 지칭하는 용어로 픽셀 수가 3840이고, 세로 픽셀 수가 2160인 영상의 해상도</t>
    <phoneticPr fontId="3" type="noConversion"/>
  </si>
  <si>
    <r>
      <t xml:space="preserve">메모리와 레지스터의 합성어로, 전류의 방향과 양 등 </t>
    </r>
    <r>
      <rPr>
        <sz val="20"/>
        <color rgb="FFFF0000"/>
        <rFont val="210 네모진 020"/>
        <family val="1"/>
        <charset val="129"/>
      </rPr>
      <t>기존의 경험을 모두 기억</t>
    </r>
    <r>
      <rPr>
        <sz val="20"/>
        <color theme="1"/>
        <rFont val="210 네모진 020"/>
        <family val="1"/>
        <charset val="129"/>
      </rPr>
      <t>하는 특별한 소자.
레지스터(Register), 커패시터(Capacitor), 인덕터(Inductor)에 이어 네 번째 전자회로 구성 요소</t>
    </r>
    <phoneticPr fontId="3" type="noConversion"/>
  </si>
  <si>
    <r>
      <rPr>
        <sz val="20"/>
        <color rgb="FFFF0000"/>
        <rFont val="210 네모진 020"/>
        <family val="1"/>
        <charset val="129"/>
      </rPr>
      <t>다차원으로 이루어진 데이터</t>
    </r>
    <r>
      <rPr>
        <sz val="20"/>
        <color theme="1"/>
        <rFont val="210 네모진 020"/>
        <family val="1"/>
        <charset val="129"/>
      </rPr>
      <t>로부터</t>
    </r>
    <r>
      <rPr>
        <sz val="20"/>
        <color rgb="FFFF0000"/>
        <rFont val="210 네모진 020"/>
        <family val="1"/>
        <charset val="129"/>
      </rPr>
      <t xml:space="preserve"> 통계적인 요약 정보를 분석하여 의사결정에 활용</t>
    </r>
    <r>
      <rPr>
        <sz val="20"/>
        <color theme="1"/>
        <rFont val="210 네모진 020"/>
        <family val="1"/>
        <charset val="129"/>
      </rPr>
      <t>하는 방식. 
연산 : Roll-up, Drill-down, Drill-through, Drill-across, Pivoting, Slicing, Dicing</t>
    </r>
    <phoneticPr fontId="3" type="noConversion"/>
  </si>
  <si>
    <t>UWB</t>
    <phoneticPr fontId="3" type="noConversion"/>
  </si>
  <si>
    <t>PICONET</t>
    <phoneticPr fontId="3" type="noConversion"/>
  </si>
  <si>
    <t>WBAN</t>
    <phoneticPr fontId="3" type="noConversion"/>
  </si>
  <si>
    <t>GIS</t>
    <phoneticPr fontId="3" type="noConversion"/>
  </si>
  <si>
    <t>USN</t>
    <phoneticPr fontId="3" type="noConversion"/>
  </si>
  <si>
    <t>SON</t>
    <phoneticPr fontId="3" type="noConversion"/>
  </si>
  <si>
    <t>애드 훅 네트워크</t>
    <phoneticPr fontId="3" type="noConversion"/>
  </si>
  <si>
    <t>BLE</t>
    <phoneticPr fontId="3" type="noConversion"/>
  </si>
  <si>
    <t>지능형 초연결망</t>
    <phoneticPr fontId="3" type="noConversion"/>
  </si>
  <si>
    <t>WDM</t>
    <phoneticPr fontId="3" type="noConversion"/>
  </si>
  <si>
    <t>SDDC</t>
    <phoneticPr fontId="3" type="noConversion"/>
  </si>
  <si>
    <t>LOD</t>
    <phoneticPr fontId="3" type="noConversion"/>
  </si>
  <si>
    <t>네트워크</t>
    <phoneticPr fontId="3" type="noConversion"/>
  </si>
  <si>
    <t>성형, 링형, 버스형, 계층형, 망형</t>
    <phoneticPr fontId="3" type="noConversion"/>
  </si>
  <si>
    <t>LAN</t>
    <phoneticPr fontId="3" type="noConversion"/>
  </si>
  <si>
    <t>WAN</t>
    <phoneticPr fontId="3" type="noConversion"/>
  </si>
  <si>
    <t>802.11(초기버전)</t>
    <phoneticPr fontId="3" type="noConversion"/>
  </si>
  <si>
    <t>802.11a</t>
    <phoneticPr fontId="3" type="noConversion"/>
  </si>
  <si>
    <t>802.11b</t>
    <phoneticPr fontId="3" type="noConversion"/>
  </si>
  <si>
    <t>802.11e</t>
    <phoneticPr fontId="3" type="noConversion"/>
  </si>
  <si>
    <t>802.11g</t>
    <phoneticPr fontId="3" type="noConversion"/>
  </si>
  <si>
    <t>802.11n</t>
    <phoneticPr fontId="3" type="noConversion"/>
  </si>
  <si>
    <t xml:space="preserve">802.11a </t>
    <phoneticPr fontId="3" type="noConversion"/>
  </si>
  <si>
    <t>IGP</t>
    <phoneticPr fontId="3" type="noConversion"/>
  </si>
  <si>
    <t>RIP</t>
    <phoneticPr fontId="3" type="noConversion"/>
  </si>
  <si>
    <t>OSPF</t>
    <phoneticPr fontId="3" type="noConversion"/>
  </si>
  <si>
    <t>EGP</t>
    <phoneticPr fontId="3" type="noConversion"/>
  </si>
  <si>
    <t>BGP</t>
    <phoneticPr fontId="3" type="noConversion"/>
  </si>
  <si>
    <t>흐름제어</t>
    <phoneticPr fontId="3" type="noConversion"/>
  </si>
  <si>
    <t>AI</t>
    <phoneticPr fontId="3" type="noConversion"/>
  </si>
  <si>
    <t>뉴럴링크</t>
    <phoneticPr fontId="3" type="noConversion"/>
  </si>
  <si>
    <t>딥러닝</t>
    <phoneticPr fontId="3" type="noConversion"/>
  </si>
  <si>
    <t>전문가 시스템</t>
    <phoneticPr fontId="3" type="noConversion"/>
  </si>
  <si>
    <t>AR</t>
    <phoneticPr fontId="3" type="noConversion"/>
  </si>
  <si>
    <t>블록체인</t>
    <phoneticPr fontId="3" type="noConversion"/>
  </si>
  <si>
    <t>DLT</t>
    <phoneticPr fontId="3" type="noConversion"/>
  </si>
  <si>
    <t>HASH</t>
    <phoneticPr fontId="3" type="noConversion"/>
  </si>
  <si>
    <t>QKD</t>
    <phoneticPr fontId="3" type="noConversion"/>
  </si>
  <si>
    <t>PET</t>
    <phoneticPr fontId="3" type="noConversion"/>
  </si>
  <si>
    <t>CC</t>
    <phoneticPr fontId="3" type="noConversion"/>
  </si>
  <si>
    <t>PIA</t>
    <phoneticPr fontId="3" type="noConversion"/>
  </si>
  <si>
    <t>그레이웨어</t>
    <phoneticPr fontId="3" type="noConversion"/>
  </si>
  <si>
    <t>RIA</t>
    <phoneticPr fontId="3" type="noConversion"/>
  </si>
  <si>
    <t>시맨틱 웹</t>
    <phoneticPr fontId="3" type="noConversion"/>
  </si>
  <si>
    <t>증발품</t>
    <phoneticPr fontId="3" type="noConversion"/>
  </si>
  <si>
    <t>SAAS</t>
    <phoneticPr fontId="3" type="noConversion"/>
  </si>
  <si>
    <t>소프트웨어 에스크로</t>
    <phoneticPr fontId="3" type="noConversion"/>
  </si>
  <si>
    <t>디지털 트윈</t>
    <phoneticPr fontId="3" type="noConversion"/>
  </si>
  <si>
    <t>3D Printing</t>
    <phoneticPr fontId="3" type="noConversion"/>
  </si>
  <si>
    <t>4D Printing</t>
    <phoneticPr fontId="3" type="noConversion"/>
  </si>
  <si>
    <t>4K 해상도</t>
    <phoneticPr fontId="3" type="noConversion"/>
  </si>
  <si>
    <t>N-SCREEN</t>
    <phoneticPr fontId="3" type="noConversion"/>
  </si>
  <si>
    <t>컴패니언 스크린</t>
    <phoneticPr fontId="3" type="noConversion"/>
  </si>
  <si>
    <t>THIN CLIENT PC</t>
    <phoneticPr fontId="3" type="noConversion"/>
  </si>
  <si>
    <t>패블릿</t>
    <phoneticPr fontId="3" type="noConversion"/>
  </si>
  <si>
    <t>C형 유에스비</t>
    <phoneticPr fontId="3" type="noConversion"/>
  </si>
  <si>
    <t>M-DISC</t>
    <phoneticPr fontId="3" type="noConversion"/>
  </si>
  <si>
    <t>멤리스터</t>
    <phoneticPr fontId="3" type="noConversion"/>
  </si>
  <si>
    <t>빅데이터</t>
    <phoneticPr fontId="3" type="noConversion"/>
  </si>
  <si>
    <t>브로드 데이터</t>
    <phoneticPr fontId="3" type="noConversion"/>
  </si>
  <si>
    <t>메타 데이터</t>
    <phoneticPr fontId="3" type="noConversion"/>
  </si>
  <si>
    <t>맵리듀스</t>
    <phoneticPr fontId="3" type="noConversion"/>
  </si>
  <si>
    <t>타조</t>
    <phoneticPr fontId="3" type="noConversion"/>
  </si>
  <si>
    <t>데이터 다이어트</t>
    <phoneticPr fontId="3" type="noConversion"/>
  </si>
  <si>
    <t>데이터 마이닝</t>
    <phoneticPr fontId="3" type="noConversion"/>
  </si>
  <si>
    <t>회복</t>
    <phoneticPr fontId="3" type="noConversion"/>
  </si>
  <si>
    <t>CHECK POINT</t>
    <phoneticPr fontId="3" type="noConversion"/>
  </si>
  <si>
    <t>로킹</t>
    <phoneticPr fontId="3" type="noConversion"/>
  </si>
  <si>
    <t>다중 버전 기법</t>
    <phoneticPr fontId="3" type="noConversion"/>
  </si>
  <si>
    <t>로킹 단위</t>
    <phoneticPr fontId="3" type="noConversion"/>
  </si>
  <si>
    <t>요구 반입, 예상 반입</t>
    <phoneticPr fontId="3" type="noConversion"/>
  </si>
  <si>
    <t>제출,접수,준비,실행,대기,블록,종료</t>
    <phoneticPr fontId="3" type="noConversion"/>
  </si>
  <si>
    <t>SJF</t>
    <phoneticPr fontId="3" type="noConversion"/>
  </si>
  <si>
    <t>네트워크 슬라이싱</t>
    <phoneticPr fontId="3" type="noConversion"/>
  </si>
  <si>
    <t>트래픽 제어</t>
    <phoneticPr fontId="3" type="noConversion"/>
  </si>
  <si>
    <t>HA</t>
    <phoneticPr fontId="3" type="noConversion"/>
  </si>
  <si>
    <t>MEMS</t>
    <phoneticPr fontId="3" type="noConversion"/>
  </si>
  <si>
    <t>트러스트 존 기술</t>
    <phoneticPr fontId="3" type="noConversion"/>
  </si>
  <si>
    <t>디지털 아카이빙</t>
    <phoneticPr fontId="3" type="noConversion"/>
  </si>
  <si>
    <t>연기 갱신 기법</t>
    <phoneticPr fontId="3" type="noConversion"/>
  </si>
  <si>
    <t>즉각 갱신 기법</t>
    <phoneticPr fontId="3" type="noConversion"/>
  </si>
  <si>
    <t>SHADOW PAGING</t>
    <phoneticPr fontId="3" type="noConversion"/>
  </si>
  <si>
    <t>병행제어</t>
    <phoneticPr fontId="3" type="noConversion"/>
  </si>
  <si>
    <t>타임 스탬프 순서</t>
    <phoneticPr fontId="3" type="noConversion"/>
  </si>
  <si>
    <t>경로 제어</t>
    <phoneticPr fontId="3" type="noConversion"/>
  </si>
  <si>
    <t>NFC</t>
    <phoneticPr fontId="3" type="noConversion"/>
  </si>
  <si>
    <t>NDN</t>
    <phoneticPr fontId="3" type="noConversion"/>
  </si>
  <si>
    <t>NAT</t>
    <phoneticPr fontId="3" type="noConversion"/>
  </si>
  <si>
    <t>정지-대기</t>
    <phoneticPr fontId="3" type="noConversion"/>
  </si>
  <si>
    <t>슬라이딩 윈도우</t>
    <phoneticPr fontId="3" type="noConversion"/>
  </si>
  <si>
    <t>OGSA</t>
    <phoneticPr fontId="3" type="noConversion"/>
  </si>
  <si>
    <t>복잡 이벤트처리</t>
    <phoneticPr fontId="3" type="noConversion"/>
  </si>
  <si>
    <t>하둡</t>
    <phoneticPr fontId="3" type="noConversion"/>
  </si>
  <si>
    <t>최적 병행 수행</t>
    <phoneticPr fontId="3" type="noConversion"/>
  </si>
  <si>
    <t>학습성, 직관성, 유연성, 유효성</t>
    <phoneticPr fontId="3" type="noConversion"/>
  </si>
  <si>
    <r>
      <t xml:space="preserve">네트워크 상에서 HTTP/HTTPS, SMTP 등을 이용하여 </t>
    </r>
    <r>
      <rPr>
        <sz val="20"/>
        <color rgb="FFFF0000"/>
        <rFont val="210 네모진 020"/>
        <family val="1"/>
        <charset val="129"/>
      </rPr>
      <t>XML을 교환</t>
    </r>
    <r>
      <rPr>
        <sz val="20"/>
        <color theme="1"/>
        <rFont val="210 네모진 020"/>
        <family val="1"/>
        <charset val="129"/>
      </rPr>
      <t>하기 위한 통신 규약</t>
    </r>
    <phoneticPr fontId="3" type="noConversion"/>
  </si>
  <si>
    <r>
      <rPr>
        <sz val="20"/>
        <color rgb="FFFF0000"/>
        <rFont val="210 네모진 020"/>
        <family val="1"/>
        <charset val="129"/>
      </rPr>
      <t>운영체제</t>
    </r>
    <r>
      <rPr>
        <sz val="20"/>
        <color theme="1"/>
        <rFont val="210 네모진 020"/>
        <family val="1"/>
        <charset val="129"/>
      </rPr>
      <t xml:space="preserve">와 </t>
    </r>
    <r>
      <rPr>
        <sz val="20"/>
        <color rgb="FFFF0000"/>
        <rFont val="210 네모진 020"/>
        <family val="1"/>
        <charset val="129"/>
      </rPr>
      <t>응용 프로그램 사이</t>
    </r>
    <r>
      <rPr>
        <sz val="20"/>
        <color theme="1"/>
        <rFont val="210 네모진 020"/>
        <family val="1"/>
        <charset val="129"/>
      </rPr>
      <t>에서 서비스를 제공하는 소프트웨어</t>
    </r>
    <phoneticPr fontId="3" type="noConversion"/>
  </si>
  <si>
    <r>
      <t xml:space="preserve">기업 내 각종 </t>
    </r>
    <r>
      <rPr>
        <sz val="20"/>
        <color rgb="FFFF0000"/>
        <rFont val="210 네모진 020"/>
        <family val="1"/>
        <charset val="129"/>
      </rPr>
      <t>애플리케이션 및 플랫폼 간의 상호 연동</t>
    </r>
    <r>
      <rPr>
        <sz val="20"/>
        <color theme="1"/>
        <rFont val="210 네모진 020"/>
        <family val="1"/>
        <charset val="129"/>
      </rPr>
      <t>이 가능하게 해주는 솔루션</t>
    </r>
    <phoneticPr fontId="3" type="noConversion"/>
  </si>
  <si>
    <r>
      <rPr>
        <sz val="20"/>
        <color rgb="FFFF0000"/>
        <rFont val="210 네모진 020"/>
        <family val="1"/>
        <charset val="129"/>
      </rPr>
      <t>애플리케이션 간 표준 기반의 인터페이스를 제공</t>
    </r>
    <r>
      <rPr>
        <sz val="20"/>
        <color theme="1"/>
        <rFont val="210 네모진 020"/>
        <family val="1"/>
        <charset val="129"/>
      </rPr>
      <t>하는 솔루션</t>
    </r>
    <phoneticPr fontId="3" type="noConversion"/>
  </si>
  <si>
    <t>HTTP, HTTPS, SMTP 등을 활용하여 XML 기반의 메시지를 네트워크 상에서 교환하는 프로토콜</t>
    <phoneticPr fontId="3" type="noConversion"/>
  </si>
  <si>
    <t>WSDL을 등록하여 서비스와 서비스 제공자를 검색하고 접근하는데 사용됨</t>
    <phoneticPr fontId="3" type="noConversion"/>
  </si>
  <si>
    <t>인터페이스의 보안 취약점을 분석한 후 적절한 보안 기능을 적용하는 것</t>
    <phoneticPr fontId="3" type="noConversion"/>
  </si>
  <si>
    <r>
      <t xml:space="preserve">가장 기본적인 애플리케이션 통합 방식. </t>
    </r>
    <r>
      <rPr>
        <sz val="20"/>
        <color rgb="FFFF0000"/>
        <rFont val="210 네모진 020"/>
        <family val="1"/>
        <charset val="129"/>
      </rPr>
      <t>애플리케이션을 1:1로 연결</t>
    </r>
    <phoneticPr fontId="3" type="noConversion"/>
  </si>
  <si>
    <r>
      <t xml:space="preserve">단일 접점인 허브 시스템을 통해 데이터를 전송하는 </t>
    </r>
    <r>
      <rPr>
        <sz val="20"/>
        <color rgb="FFFF0000"/>
        <rFont val="210 네모진 020"/>
        <family val="1"/>
        <charset val="129"/>
      </rPr>
      <t xml:space="preserve">중앙 집중형 </t>
    </r>
    <r>
      <rPr>
        <sz val="20"/>
        <color theme="1"/>
        <rFont val="210 네모진 020"/>
        <family val="1"/>
        <charset val="129"/>
      </rPr>
      <t>방식</t>
    </r>
    <phoneticPr fontId="3" type="noConversion"/>
  </si>
  <si>
    <r>
      <t xml:space="preserve">애플리케이션 사이에 </t>
    </r>
    <r>
      <rPr>
        <sz val="20"/>
        <color rgb="FFFF0000"/>
        <rFont val="210 네모진 020"/>
        <family val="1"/>
        <charset val="129"/>
      </rPr>
      <t>미들웨어를 두어 처리</t>
    </r>
    <r>
      <rPr>
        <sz val="20"/>
        <color theme="1"/>
        <rFont val="210 네모진 020"/>
        <family val="1"/>
        <charset val="129"/>
      </rPr>
      <t>하는 방식. 확장성 뛰어남. 대용량 처리 가능</t>
    </r>
    <phoneticPr fontId="3" type="noConversion"/>
  </si>
  <si>
    <r>
      <rPr>
        <sz val="20"/>
        <color rgb="FFFF0000"/>
        <rFont val="210 네모진 020"/>
        <family val="1"/>
        <charset val="129"/>
      </rPr>
      <t>그룹 내에서는 Hub &amp; Spoke</t>
    </r>
    <r>
      <rPr>
        <sz val="20"/>
        <color theme="1"/>
        <rFont val="210 네모진 020"/>
        <family val="1"/>
        <charset val="129"/>
      </rPr>
      <t xml:space="preserve"> 방식을, </t>
    </r>
    <r>
      <rPr>
        <sz val="20"/>
        <color rgb="FFFF0000"/>
        <rFont val="210 네모진 020"/>
        <family val="1"/>
        <charset val="129"/>
      </rPr>
      <t>그룹 간에는 Message Bus</t>
    </r>
    <r>
      <rPr>
        <sz val="20"/>
        <color theme="1"/>
        <rFont val="210 네모진 020"/>
        <family val="1"/>
        <charset val="129"/>
      </rPr>
      <t>의 방식을 사용. 데이터 병목현상 최소화</t>
    </r>
    <phoneticPr fontId="3" type="noConversion"/>
  </si>
  <si>
    <t>웹 서비스와 관련된 서식이나 프로토콜 등을 표준적인 방법으로 기술하고 게시하기 위한 언어</t>
    <phoneticPr fontId="3" type="noConversion"/>
  </si>
  <si>
    <t>Java(Junit), C++(Cppunit), .Net(Nunit) 등 다양한 언어를 지원하는 단위 테스트 프레임워크</t>
    <phoneticPr fontId="3" type="noConversion"/>
  </si>
  <si>
    <t>서비스 호출 및 컴포넌트 재사용 등 다양한 환경을 지원하는 테스트 프레임워크</t>
    <phoneticPr fontId="3" type="noConversion"/>
  </si>
  <si>
    <t>웹 기반 테스트 케이스 설계, 실행, 결과 확인 등을 지원하는 테스트 프레임워크</t>
    <phoneticPr fontId="3" type="noConversion"/>
  </si>
  <si>
    <r>
      <rPr>
        <sz val="20"/>
        <color rgb="FFFF0000"/>
        <rFont val="210 네모진 020"/>
        <family val="1"/>
        <charset val="129"/>
      </rPr>
      <t>FitNesse</t>
    </r>
    <r>
      <rPr>
        <sz val="20"/>
        <color theme="1"/>
        <rFont val="210 네모진 020"/>
        <family val="1"/>
        <charset val="129"/>
      </rPr>
      <t xml:space="preserve">의 장점인 협업 기능과 </t>
    </r>
    <r>
      <rPr>
        <sz val="20"/>
        <color rgb="FFFF0000"/>
        <rFont val="210 네모진 020"/>
        <family val="1"/>
        <charset val="129"/>
      </rPr>
      <t>STAF</t>
    </r>
    <r>
      <rPr>
        <sz val="20"/>
        <color theme="1"/>
        <rFont val="210 네모진 020"/>
        <family val="1"/>
        <charset val="129"/>
      </rPr>
      <t>의 장점인 재사용 및 확장성을 통합한 NHN의 테스트 자동화 프레임워크</t>
    </r>
    <phoneticPr fontId="3" type="noConversion"/>
  </si>
  <si>
    <t>다양한 브라우저 및 개발 언어를 지원한는 웹 애플리케이션 테스트 프레임워크</t>
    <phoneticPr fontId="3" type="noConversion"/>
  </si>
  <si>
    <t>Ruby를 사용하는 애플리케이션 테스트 프레임워크</t>
    <phoneticPr fontId="3" type="noConversion"/>
  </si>
  <si>
    <t>원격 프로시저를 로컬 프로시저처럼 호출하는 미들웨어</t>
    <phoneticPr fontId="3" type="noConversion"/>
  </si>
  <si>
    <t>비동기형 메시지를 전달하는 미들웨어</t>
    <phoneticPr fontId="3" type="noConversion"/>
  </si>
  <si>
    <t>트랜잭션을 처리 및 감시하는 미들웨어</t>
    <phoneticPr fontId="3" type="noConversion"/>
  </si>
  <si>
    <t>코바(CORBA) 표준 스펙을 구현한 객체지향 미들웨어</t>
    <phoneticPr fontId="3" type="noConversion"/>
  </si>
  <si>
    <t>동적인 콘텐츠를 처리하기 위한 미들웨어</t>
    <phoneticPr fontId="3" type="noConversion"/>
  </si>
  <si>
    <t>대표적인 모듈 연계 방법</t>
    <phoneticPr fontId="3" type="noConversion"/>
  </si>
  <si>
    <t>클라이언트에서 원격의 데이터베이스와 연결하는 미들웨어</t>
    <phoneticPr fontId="3" type="noConversion"/>
  </si>
  <si>
    <t>Message Bus</t>
    <phoneticPr fontId="3" type="noConversion"/>
  </si>
  <si>
    <t>네트워크 정보를 표준화된 서비스 형태로 만들어 공유하는 기술</t>
    <phoneticPr fontId="3" type="noConversion"/>
  </si>
  <si>
    <t>네트워크 트래픽</t>
    <phoneticPr fontId="3" type="noConversion"/>
  </si>
  <si>
    <t>네트워크 영역 : 인터페이스 송수신 간 스니핑 등을 이용한 데이터 탈취 및 변조 위협을 방지하기 위해 ____에 대한 암호화를 설정함</t>
    <phoneticPr fontId="3" type="noConversion"/>
  </si>
  <si>
    <t>애플리케이션 영역 : 소프트웨어 개발 보안 가이드를 참조하여 _____ 상의 보안 취약점을 보완하는 방향으로 애플리케이션 보안 기능을 적용함</t>
    <phoneticPr fontId="3" type="noConversion"/>
  </si>
  <si>
    <t>데이터베이스 동작 객체</t>
    <phoneticPr fontId="3" type="noConversion"/>
  </si>
  <si>
    <t>데이터베이스 영역 : 데이터베이스, 스키마, 엔티티의 접근 권한과 프로시저, 트리거 등 _____의 보안 취약점에 보안 기능 적용</t>
    <phoneticPr fontId="3" type="noConversion"/>
  </si>
  <si>
    <t>point-to-point,hub&amp;spoke,message bus,hybrid</t>
    <phoneticPr fontId="3" type="noConversion"/>
  </si>
  <si>
    <r>
      <t xml:space="preserve">애플리케이션의 성능 관리를 위해 다양한 </t>
    </r>
    <r>
      <rPr>
        <sz val="20"/>
        <color rgb="FFFF0000"/>
        <rFont val="210 네모진 020"/>
        <family val="1"/>
        <charset val="129"/>
      </rPr>
      <t>모니터링 기능</t>
    </r>
    <r>
      <rPr>
        <sz val="20"/>
        <color theme="1"/>
        <rFont val="210 네모진 020"/>
        <family val="1"/>
        <charset val="129"/>
      </rPr>
      <t>을 제공하는 도구</t>
    </r>
    <phoneticPr fontId="3" type="noConversion"/>
  </si>
  <si>
    <t>RPC</t>
    <phoneticPr fontId="3" type="noConversion"/>
  </si>
  <si>
    <t>MOM</t>
    <phoneticPr fontId="3" type="noConversion"/>
  </si>
  <si>
    <t>ORB</t>
    <phoneticPr fontId="3" type="noConversion"/>
  </si>
  <si>
    <t>TP-Monitor</t>
    <phoneticPr fontId="3" type="noConversion"/>
  </si>
  <si>
    <t>WAS</t>
    <phoneticPr fontId="3" type="noConversion"/>
  </si>
  <si>
    <t>Point-to-Point</t>
    <phoneticPr fontId="3" type="noConversion"/>
  </si>
  <si>
    <t>Hub&amp;Spoke</t>
    <phoneticPr fontId="3" type="noConversion"/>
  </si>
  <si>
    <t>Hybrid</t>
    <phoneticPr fontId="3" type="noConversion"/>
  </si>
  <si>
    <t>NTAF</t>
    <phoneticPr fontId="3" type="noConversion"/>
  </si>
  <si>
    <t>APM</t>
    <phoneticPr fontId="3" type="noConversion"/>
  </si>
  <si>
    <t>리소스방식, 엔드투엔드방식</t>
    <phoneticPr fontId="3" type="noConversion"/>
  </si>
  <si>
    <t>제니퍼, 스카우터</t>
    <phoneticPr fontId="3" type="noConversion"/>
  </si>
  <si>
    <t>스카우터</t>
    <phoneticPr fontId="3" type="noConversion"/>
  </si>
  <si>
    <t>제니퍼</t>
    <phoneticPr fontId="3" type="noConversion"/>
  </si>
  <si>
    <t>애플리케이션 코드</t>
    <phoneticPr fontId="3" type="noConversion"/>
  </si>
  <si>
    <t>Point-to-Point,Hub&amp;Spoke,Hybrid,MessageBus</t>
    <phoneticPr fontId="3" type="noConversion"/>
  </si>
  <si>
    <t>웹서비스</t>
    <phoneticPr fontId="3" type="noConversion"/>
  </si>
  <si>
    <t>모듈별로 생성한 실행 파일들을 묶어 배포용 설치 파일을 만드는 것</t>
    <phoneticPr fontId="3" type="noConversion"/>
  </si>
  <si>
    <t xml:space="preserve">패키징 작업 순서 </t>
    <phoneticPr fontId="3" type="noConversion"/>
  </si>
  <si>
    <t>창작자가 가지는 배타적 독점적 권리로, 타인의 침해를 받지 않을 고유한 권한</t>
  </si>
  <si>
    <t>저작권자가 배포한 디지털 콘텐츠가 저작권자가 의도한 용도로만 사용되도록 디지털 콘텐츠 관리 보호 기술</t>
  </si>
  <si>
    <t>저장소에 있는 최신 버전으로 자신의 작업 공간을 동기화 함</t>
    <phoneticPr fontId="3" type="noConversion"/>
  </si>
  <si>
    <t>형상 식별</t>
    <phoneticPr fontId="3" type="noConversion"/>
  </si>
  <si>
    <t>버전 제어</t>
    <phoneticPr fontId="3" type="noConversion"/>
  </si>
  <si>
    <t>형상 통제</t>
    <phoneticPr fontId="3" type="noConversion"/>
  </si>
  <si>
    <t>형상 감사</t>
    <phoneticPr fontId="3" type="noConversion"/>
  </si>
  <si>
    <t>형상 기록</t>
    <phoneticPr fontId="3" type="noConversion"/>
  </si>
  <si>
    <t>형상관리 대상에 이름과 관리 번호를 부여하고, 계층 구조로 구분하여 수정 및 추적이 용이하도록 하는 작업</t>
  </si>
  <si>
    <t>소프트웨어 업그레이드나 유지 보수 과정에서 생성된 다른 버전의 형상 항목을 관리하고, 이를 위해 특정 절차와 도구를 결합시키는 과정</t>
    <phoneticPr fontId="3" type="noConversion"/>
  </si>
  <si>
    <t>식별된 형상 항목에 대한 변경 요구를 검토하여 현재의 기준선이 잘 반영될 수 있도록 조정하는 작업</t>
    <phoneticPr fontId="3" type="noConversion"/>
  </si>
  <si>
    <t>기준선의 무결성을 평가하기 위해 확인, 검증, 검열 과정을 통해 공식적으로 승인하는 작업</t>
    <phoneticPr fontId="3" type="noConversion"/>
  </si>
  <si>
    <t>형상의 식별, 통제, 감사 작업의 결과를 기록 관리하고 보고서를 작성하는 작업</t>
    <phoneticPr fontId="3" type="noConversion"/>
  </si>
  <si>
    <t>소프트웨어 패키징</t>
    <phoneticPr fontId="3" type="noConversion"/>
  </si>
  <si>
    <t>저작권</t>
    <phoneticPr fontId="3" type="noConversion"/>
  </si>
  <si>
    <t>DRM</t>
    <phoneticPr fontId="3" type="noConversion"/>
  </si>
  <si>
    <t>형상관리</t>
    <phoneticPr fontId="3" type="noConversion"/>
  </si>
  <si>
    <t>Repository</t>
    <phoneticPr fontId="3" type="noConversion"/>
  </si>
  <si>
    <t>import</t>
    <phoneticPr fontId="3" type="noConversion"/>
  </si>
  <si>
    <t>commit</t>
    <phoneticPr fontId="3" type="noConversion"/>
  </si>
  <si>
    <t>저전력 블루투스 기술                   
(BLE; Bluetooth Low Energy)</t>
    <phoneticPr fontId="3" type="noConversion"/>
  </si>
  <si>
    <t>NFC (근거리 무선 통신,                        
Near Field Communication)</t>
    <phoneticPr fontId="3" type="noConversion"/>
  </si>
  <si>
    <t>기능 모델링</t>
    <phoneticPr fontId="3" type="noConversion"/>
  </si>
  <si>
    <t>전략</t>
    <phoneticPr fontId="3" type="noConversion"/>
  </si>
  <si>
    <t>배치 스케줄러</t>
    <phoneticPr fontId="3" type="noConversion"/>
  </si>
  <si>
    <t>shared memory</t>
    <phoneticPr fontId="3" type="noConversion"/>
  </si>
  <si>
    <t>추상 메소드</t>
    <phoneticPr fontId="3" type="noConversion"/>
  </si>
  <si>
    <t>접근 통제</t>
    <phoneticPr fontId="3" type="noConversion"/>
  </si>
  <si>
    <t>역할 기반 정책</t>
    <phoneticPr fontId="3" type="noConversion"/>
  </si>
  <si>
    <t>조건, 루프, 데이터흐름</t>
    <phoneticPr fontId="3" type="noConversion"/>
  </si>
  <si>
    <t>루프 검사</t>
    <phoneticPr fontId="3" type="noConversion"/>
  </si>
  <si>
    <t>단위 테스트</t>
    <phoneticPr fontId="3" type="noConversion"/>
  </si>
  <si>
    <t>사용자 테스트</t>
    <phoneticPr fontId="3" type="noConversion"/>
  </si>
  <si>
    <t>점진적, 비점진적</t>
    <phoneticPr fontId="3" type="noConversion"/>
  </si>
  <si>
    <t>점진적 통합 테스트</t>
    <phoneticPr fontId="3" type="noConversion"/>
  </si>
  <si>
    <t>순환 복잡도</t>
    <phoneticPr fontId="3" type="noConversion"/>
  </si>
  <si>
    <t>계획수립&gt;위험분석&gt;개발및검증&gt;고객평가</t>
    <phoneticPr fontId="3" type="noConversion"/>
  </si>
  <si>
    <t>SPICE</t>
    <phoneticPr fontId="3" type="noConversion"/>
  </si>
  <si>
    <t>느린시작, 혼잡회피</t>
    <phoneticPr fontId="3" type="noConversion"/>
  </si>
  <si>
    <t>OLAP</t>
    <phoneticPr fontId="3" type="noConversion"/>
  </si>
  <si>
    <t>xUnit</t>
    <phoneticPr fontId="3" type="noConversion"/>
  </si>
  <si>
    <t>형상식별</t>
    <phoneticPr fontId="3" type="noConversion"/>
  </si>
  <si>
    <t>COMMIT</t>
    <phoneticPr fontId="3" type="noConversion"/>
  </si>
  <si>
    <t>UPDATE</t>
    <phoneticPr fontId="3" type="noConversion"/>
  </si>
  <si>
    <t>객체&gt;동적&gt;기능</t>
    <phoneticPr fontId="3" type="noConversion"/>
  </si>
  <si>
    <t>의존 역전 원칙</t>
    <phoneticPr fontId="3" type="noConversion"/>
  </si>
  <si>
    <t>중재자</t>
    <phoneticPr fontId="3" type="noConversion"/>
  </si>
  <si>
    <t>분기</t>
    <phoneticPr fontId="3" type="noConversion"/>
  </si>
  <si>
    <t>조건</t>
    <phoneticPr fontId="3" type="noConversion"/>
  </si>
  <si>
    <t>경계값 분석</t>
    <phoneticPr fontId="3" type="noConversion"/>
  </si>
  <si>
    <t>고객-공급자 프로세스</t>
    <phoneticPr fontId="3" type="noConversion"/>
  </si>
  <si>
    <t>지원 프로세스</t>
    <phoneticPr fontId="3" type="noConversion"/>
  </si>
  <si>
    <t>관리 프로세스</t>
    <phoneticPr fontId="3" type="noConversion"/>
  </si>
  <si>
    <t>check-out</t>
    <phoneticPr fontId="3" type="noConversion"/>
  </si>
  <si>
    <t xml:space="preserve">프로그램을 수정하기 위해 저장소에서 파일을 받아 옴. </t>
    <phoneticPr fontId="3" type="noConversion"/>
  </si>
  <si>
    <t>정적 모델링</t>
    <phoneticPr fontId="3" type="noConversion"/>
  </si>
  <si>
    <t>테스트케이스</t>
    <phoneticPr fontId="3" type="noConversion"/>
  </si>
  <si>
    <t>디자인패턴</t>
    <phoneticPr fontId="3" type="noConversion"/>
  </si>
  <si>
    <t>spring 배치</t>
    <phoneticPr fontId="3" type="noConversion"/>
  </si>
  <si>
    <t>데이터 모델링</t>
    <phoneticPr fontId="3" type="noConversion"/>
  </si>
  <si>
    <t>관계형 데이터 모델</t>
    <phoneticPr fontId="3" type="noConversion"/>
  </si>
  <si>
    <t>트랜잭션의 연산은 데이터베이스에 모두 반영되도록 완료(commit)되든지 전혀 반영되지 않도록 복구되어야 함</t>
    <phoneticPr fontId="3" type="noConversion"/>
  </si>
  <si>
    <t>영속성</t>
    <phoneticPr fontId="3" type="noConversion"/>
  </si>
  <si>
    <t>이진트리</t>
    <phoneticPr fontId="3" type="noConversion"/>
  </si>
  <si>
    <t>버블정렬</t>
    <phoneticPr fontId="3" type="noConversion"/>
  </si>
  <si>
    <t>유효성, 유연성, 학습성, 직관성</t>
    <phoneticPr fontId="3" type="noConversion"/>
  </si>
  <si>
    <t>Trin00, TFN, Stacheldraht</t>
    <phoneticPr fontId="3" type="noConversion"/>
  </si>
  <si>
    <t>Trin00</t>
    <phoneticPr fontId="3" type="noConversion"/>
  </si>
  <si>
    <t>TFN</t>
    <phoneticPr fontId="3" type="noConversion"/>
  </si>
  <si>
    <t>Stacheldraht</t>
    <phoneticPr fontId="3" type="noConversion"/>
  </si>
  <si>
    <t>동적 분석</t>
    <phoneticPr fontId="3" type="noConversion"/>
  </si>
  <si>
    <t>XP</t>
    <phoneticPr fontId="3" type="noConversion"/>
  </si>
  <si>
    <t>기능, 비기능, 사용자, 시스템</t>
    <phoneticPr fontId="3" type="noConversion"/>
  </si>
  <si>
    <t>연관 관계</t>
    <phoneticPr fontId="3" type="noConversion"/>
  </si>
  <si>
    <t>집합 관계</t>
    <phoneticPr fontId="3" type="noConversion"/>
  </si>
  <si>
    <t>포함 관계</t>
    <phoneticPr fontId="3" type="noConversion"/>
  </si>
  <si>
    <t>일반화 관계</t>
    <phoneticPr fontId="3" type="noConversion"/>
  </si>
  <si>
    <t>의존 관계</t>
    <phoneticPr fontId="3" type="noConversion"/>
  </si>
  <si>
    <t>실체화 관계</t>
    <phoneticPr fontId="3" type="noConversion"/>
  </si>
  <si>
    <t>기본형</t>
    <phoneticPr fontId="3" type="noConversion"/>
  </si>
  <si>
    <t>FP</t>
    <phoneticPr fontId="3" type="noConversion"/>
  </si>
  <si>
    <t>확립단계</t>
    <phoneticPr fontId="3" type="noConversion"/>
  </si>
  <si>
    <t>최적화단계</t>
    <phoneticPr fontId="3" type="noConversion"/>
  </si>
  <si>
    <t>ㅇ</t>
    <phoneticPr fontId="3" type="noConversion"/>
  </si>
  <si>
    <t>접수</t>
    <phoneticPr fontId="3" type="noConversion"/>
  </si>
  <si>
    <t>준비</t>
    <phoneticPr fontId="3" type="noConversion"/>
  </si>
  <si>
    <t>대기, 블록</t>
    <phoneticPr fontId="3" type="noConversion"/>
  </si>
  <si>
    <t>종료</t>
    <phoneticPr fontId="3" type="noConversion"/>
  </si>
  <si>
    <t>DISPATCH</t>
    <phoneticPr fontId="3" type="noConversion"/>
  </si>
  <si>
    <t>전송 계층</t>
    <phoneticPr fontId="3" type="noConversion"/>
  </si>
  <si>
    <t>IEEE 207</t>
    <phoneticPr fontId="3" type="noConversion"/>
  </si>
  <si>
    <t>E</t>
    <phoneticPr fontId="3" type="noConversion"/>
  </si>
  <si>
    <t>엠디스크</t>
    <phoneticPr fontId="3" type="noConversion"/>
  </si>
  <si>
    <t>경로제어</t>
    <phoneticPr fontId="3" type="noConversion"/>
  </si>
  <si>
    <t>폭주제어</t>
    <phoneticPr fontId="3" type="noConversion"/>
  </si>
  <si>
    <t>MASHUP</t>
    <phoneticPr fontId="3" type="noConversion"/>
  </si>
  <si>
    <t>복잡 이벤트 처리</t>
    <phoneticPr fontId="3" type="noConversion"/>
  </si>
  <si>
    <t>N-Screen</t>
    <phoneticPr fontId="3" type="noConversion"/>
  </si>
  <si>
    <t>CHECK-IN</t>
    <phoneticPr fontId="3" type="noConversion"/>
  </si>
  <si>
    <t>사용자의 요구사항과 관련된 객체, 속성, 연산, 관계 등을 정의하여 모델링하는 작업</t>
    <phoneticPr fontId="3" type="noConversion"/>
  </si>
  <si>
    <t xml:space="preserve">정적 모델링 </t>
    <phoneticPr fontId="3" type="noConversion"/>
  </si>
  <si>
    <t>개체와 개체 간의 관계를 기본 요소로 이용해 현실 세계의 무질서한 데이터를 개념적인 논리 데이터로 표현하기 위한 방법</t>
    <phoneticPr fontId="3" type="noConversion"/>
  </si>
  <si>
    <t>개념적, 논리적, 물리적</t>
    <phoneticPr fontId="3" type="noConversion"/>
  </si>
  <si>
    <t>반입전략</t>
    <phoneticPr fontId="3" type="noConversion"/>
  </si>
  <si>
    <t>PCB</t>
    <phoneticPr fontId="3" type="noConversion"/>
  </si>
  <si>
    <t>피코넷</t>
    <phoneticPr fontId="3" type="noConversion"/>
  </si>
  <si>
    <t>파장 분할 다중화</t>
    <phoneticPr fontId="3" type="noConversion"/>
  </si>
  <si>
    <t>형상 관리</t>
    <phoneticPr fontId="3" type="noConversion"/>
  </si>
  <si>
    <t>ccm</t>
    <phoneticPr fontId="3" type="noConversion"/>
  </si>
  <si>
    <t>소프트웨어 개발 표준</t>
    <phoneticPr fontId="3" type="noConversion"/>
  </si>
  <si>
    <t>공학 프로세스</t>
    <phoneticPr fontId="3" type="noConversion"/>
  </si>
  <si>
    <t>조직 프로세스</t>
    <phoneticPr fontId="3" type="noConversion"/>
  </si>
  <si>
    <t>cobertura</t>
    <phoneticPr fontId="3" type="noConversion"/>
  </si>
  <si>
    <t>Avalanche</t>
    <phoneticPr fontId="3" type="noConversion"/>
  </si>
  <si>
    <t>Valgrind</t>
    <phoneticPr fontId="3" type="noConversion"/>
  </si>
  <si>
    <t>프로그램에 대한 결함 및 취약점 분석. Valgrind 프레임워크 및 STP 기반으로 구현</t>
    <phoneticPr fontId="3" type="noConversion"/>
  </si>
  <si>
    <t xml:space="preserve">Tripwire, </t>
    <phoneticPr fontId="3" type="noConversion"/>
  </si>
  <si>
    <t>기능식별&gt;모듈화&gt;빌드진행&gt;사용자환경분석&gt;패키징및적용시험&gt;패키징변경개선&gt;배포</t>
    <phoneticPr fontId="3" type="noConversion"/>
  </si>
  <si>
    <t>windows</t>
    <phoneticPr fontId="3" type="noConversion"/>
  </si>
  <si>
    <t>SYN Spooling</t>
    <phoneticPr fontId="3" type="noConversion"/>
  </si>
  <si>
    <t>point-to-point, message bus, hub&amp;spoke, hybrid</t>
    <phoneticPr fontId="3" type="noConversion"/>
  </si>
  <si>
    <t>E-R  모델</t>
    <phoneticPr fontId="3" type="noConversion"/>
  </si>
  <si>
    <t>구조, 연산, 정의</t>
    <phoneticPr fontId="3" type="noConversion"/>
  </si>
  <si>
    <t>socket, semaphores, shared memory, pipes&amp;named pipes, message queueing</t>
    <phoneticPr fontId="3" type="noConversion"/>
  </si>
  <si>
    <t>CLASP, SDL, seventouchpoints</t>
    <phoneticPr fontId="3" type="noConversion"/>
  </si>
  <si>
    <t>불완전&gt;수행&gt;확립&gt;관리&gt;예측&gt;최적화</t>
    <phoneticPr fontId="3" type="noConversion"/>
  </si>
  <si>
    <t>분기/조건 검증</t>
    <phoneticPr fontId="3" type="noConversion"/>
  </si>
  <si>
    <t xml:space="preserve">FP </t>
    <phoneticPr fontId="3" type="noConversion"/>
  </si>
  <si>
    <t>코드 공동 소유</t>
    <phoneticPr fontId="3" type="noConversion"/>
  </si>
  <si>
    <t>E-R 다이어그램</t>
    <phoneticPr fontId="3" type="noConversion"/>
  </si>
  <si>
    <t xml:space="preserve">상태 </t>
    <phoneticPr fontId="3" type="noConversion"/>
  </si>
  <si>
    <t>객체, 클래스, 메시지</t>
    <phoneticPr fontId="3" type="noConversion"/>
  </si>
  <si>
    <t>상속, 다형성, 연관성, 캡슐화</t>
    <phoneticPr fontId="3" type="noConversion"/>
  </si>
  <si>
    <t>집합화</t>
    <phoneticPr fontId="3" type="noConversion"/>
  </si>
  <si>
    <t>반입, 배치, 교체</t>
    <phoneticPr fontId="3" type="noConversion"/>
  </si>
  <si>
    <t>브로드데이터</t>
    <phoneticPr fontId="3" type="noConversion"/>
  </si>
  <si>
    <t>비점진적 통합 방식</t>
    <phoneticPr fontId="3" type="noConversion"/>
  </si>
  <si>
    <t>Hub &amp; Spoke</t>
    <phoneticPr fontId="3" type="noConversion"/>
  </si>
  <si>
    <t>MAPREDUCE</t>
    <phoneticPr fontId="3" type="noConversion"/>
  </si>
  <si>
    <t>EAI, ESB, 웹서비스</t>
    <phoneticPr fontId="3" type="noConversion"/>
  </si>
  <si>
    <t>구조, 연산, 조건</t>
    <phoneticPr fontId="3" type="noConversion"/>
  </si>
  <si>
    <t>그림자페이지 대체 기법</t>
    <phoneticPr fontId="3" type="noConversion"/>
  </si>
  <si>
    <t>병행 제어</t>
    <phoneticPr fontId="3" type="noConversion"/>
  </si>
  <si>
    <t>c형 유에스비</t>
    <phoneticPr fontId="3" type="noConversion"/>
  </si>
  <si>
    <t>시큐어코딩</t>
    <phoneticPr fontId="3" type="noConversion"/>
  </si>
  <si>
    <t>템플릿메소드</t>
    <phoneticPr fontId="3" type="noConversion"/>
  </si>
  <si>
    <t>SATF</t>
    <phoneticPr fontId="3" type="noConversion"/>
  </si>
  <si>
    <t>베타테스트</t>
    <phoneticPr fontId="3" type="noConversion"/>
  </si>
  <si>
    <t>문장 검증기준</t>
    <phoneticPr fontId="3" type="noConversion"/>
  </si>
  <si>
    <t>수행</t>
    <phoneticPr fontId="3" type="noConversion"/>
  </si>
  <si>
    <t>소프트웨어 생명주기</t>
    <phoneticPr fontId="3" type="noConversion"/>
  </si>
  <si>
    <t>정지-대기 방식</t>
    <phoneticPr fontId="3" type="noConversion"/>
  </si>
  <si>
    <t>외계인코드</t>
    <phoneticPr fontId="3" type="noConversion"/>
  </si>
  <si>
    <t>MACOS</t>
    <phoneticPr fontId="3" type="noConversion"/>
  </si>
  <si>
    <t>IOS</t>
    <phoneticPr fontId="3" type="noConversion"/>
  </si>
  <si>
    <t>ARIA, SEED, AES, DES, RSA</t>
    <phoneticPr fontId="3" type="noConversion"/>
  </si>
  <si>
    <t>DDOS</t>
    <phoneticPr fontId="3" type="noConversion"/>
  </si>
  <si>
    <t>원격 프로시저 호출</t>
    <phoneticPr fontId="3" type="noConversion"/>
  </si>
  <si>
    <t>selenium</t>
    <phoneticPr fontId="3" type="noConversion"/>
  </si>
  <si>
    <t>jacobson 방식</t>
    <phoneticPr fontId="3" type="noConversion"/>
  </si>
  <si>
    <t>2-way  합병 정렬</t>
    <phoneticPr fontId="3" type="noConversion"/>
  </si>
  <si>
    <t>ai</t>
    <phoneticPr fontId="3" type="noConversion"/>
  </si>
  <si>
    <t>ip주소</t>
    <phoneticPr fontId="3" type="noConversion"/>
  </si>
  <si>
    <t>메타데이터</t>
    <phoneticPr fontId="3" type="noConversion"/>
  </si>
  <si>
    <t>union,intersection,difference,cartesian pruduct</t>
    <phoneticPr fontId="3" type="noConversion"/>
  </si>
  <si>
    <t>정적 분석</t>
    <phoneticPr fontId="3" type="noConversion"/>
  </si>
  <si>
    <t>객체모델링</t>
    <phoneticPr fontId="3" type="noConversion"/>
  </si>
  <si>
    <t>확립</t>
    <phoneticPr fontId="3" type="noConversion"/>
  </si>
  <si>
    <t>OSI/IEC 12207, CMMI, SPICE</t>
    <phoneticPr fontId="3" type="noConversion"/>
  </si>
  <si>
    <t>규칙기반정책</t>
    <phoneticPr fontId="3" type="noConversion"/>
  </si>
  <si>
    <t>신분기반정책</t>
    <phoneticPr fontId="3" type="noConversion"/>
  </si>
  <si>
    <t>RUN</t>
    <phoneticPr fontId="3" type="noConversion"/>
  </si>
  <si>
    <t>로그</t>
    <phoneticPr fontId="3" type="noConversion"/>
  </si>
  <si>
    <t>이진코드</t>
    <phoneticPr fontId="3" type="noConversion"/>
  </si>
  <si>
    <t>그룹 순차코드</t>
    <phoneticPr fontId="3" type="noConversion"/>
  </si>
  <si>
    <t>구조패턴</t>
    <phoneticPr fontId="3" type="noConversion"/>
  </si>
  <si>
    <t>생성패턴</t>
    <phoneticPr fontId="3" type="noConversion"/>
  </si>
  <si>
    <t>퀵정렬</t>
    <phoneticPr fontId="3" type="noConversion"/>
  </si>
  <si>
    <t>TP-MONITOR</t>
    <phoneticPr fontId="3" type="noConversion"/>
  </si>
  <si>
    <t>패키지, 객체,의존관계</t>
    <phoneticPr fontId="3" type="noConversion"/>
  </si>
  <si>
    <t>LAND ATTACK</t>
    <phoneticPr fontId="3" type="noConversion"/>
  </si>
  <si>
    <t>모듈 테스트</t>
    <phoneticPr fontId="3" type="noConversion"/>
  </si>
  <si>
    <t>동치분할 검사</t>
    <phoneticPr fontId="3" type="noConversion"/>
  </si>
  <si>
    <t>배치전략</t>
    <phoneticPr fontId="3" type="noConversion"/>
  </si>
  <si>
    <t>수행단계</t>
    <phoneticPr fontId="3" type="noConversion"/>
  </si>
  <si>
    <t>CRUD  매트릭스</t>
    <phoneticPr fontId="3" type="noConversion"/>
  </si>
  <si>
    <t>트러스트존 기술</t>
    <phoneticPr fontId="3" type="noConversion"/>
  </si>
  <si>
    <t>MD5, SNEFRU, SHA, N-NASH</t>
    <phoneticPr fontId="3" type="noConversion"/>
  </si>
  <si>
    <t>개념 모델링</t>
    <phoneticPr fontId="3" type="noConversion"/>
  </si>
  <si>
    <t>논리 데이터 모델링</t>
    <phoneticPr fontId="3" type="noConversion"/>
  </si>
  <si>
    <t>형상기록</t>
    <phoneticPr fontId="3" type="noConversion"/>
  </si>
  <si>
    <t>데이터흐름, 조건, 루프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</si>
</sst>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20"/>
      <color theme="1"/>
      <name val="210 구름고딕 030"/>
      <family val="1"/>
      <charset val="129"/>
    </font>
    <font>
      <sz val="22"/>
      <color theme="1"/>
      <name val="210 구름고딕 030"/>
      <family val="1"/>
      <charset val="129"/>
    </font>
    <font>
      <sz val="8"/>
      <name val="맑은 고딕"/>
      <family val="2"/>
      <charset val="129"/>
      <scheme val="minor"/>
    </font>
    <font>
      <sz val="14"/>
      <color theme="1"/>
      <name val="210 네모진 020"/>
      <family val="1"/>
      <charset val="129"/>
    </font>
    <font>
      <sz val="16"/>
      <color theme="1"/>
      <name val="210 네모진 020"/>
      <family val="1"/>
      <charset val="129"/>
    </font>
    <font>
      <sz val="18"/>
      <color theme="1"/>
      <name val="210 네모진 020"/>
      <family val="1"/>
      <charset val="129"/>
    </font>
    <font>
      <sz val="20"/>
      <color theme="1"/>
      <name val="210 네모진 020"/>
      <family val="1"/>
      <charset val="129"/>
    </font>
    <font>
      <sz val="20"/>
      <name val="210 네모진 020"/>
      <family val="1"/>
      <charset val="129"/>
    </font>
    <font>
      <sz val="18"/>
      <name val="210 네모진 020"/>
      <family val="1"/>
      <charset val="129"/>
    </font>
    <font>
      <sz val="20"/>
      <color rgb="FF000000"/>
      <name val="210 네모진 020"/>
      <family val="1"/>
      <charset val="129"/>
    </font>
    <font>
      <sz val="22"/>
      <color theme="1"/>
      <name val="210 네모진 020"/>
      <family val="1"/>
      <charset val="129"/>
    </font>
    <font>
      <sz val="20"/>
      <color rgb="FFFF0000"/>
      <name val="210 네모진 020"/>
      <family val="1"/>
      <charset val="129"/>
    </font>
    <font>
      <sz val="12"/>
      <color theme="1"/>
      <name val="210 네모진 020"/>
      <family val="1"/>
      <charset val="129"/>
    </font>
    <font>
      <sz val="11"/>
      <color theme="1"/>
      <name val="210 네모진 020"/>
      <family val="1"/>
      <charset val="129"/>
    </font>
    <font>
      <sz val="16"/>
      <name val="210 네모진 020"/>
      <family val="1"/>
      <charset val="129"/>
    </font>
    <font>
      <sz val="20"/>
      <color theme="9"/>
      <name val="210 네모진 020"/>
      <family val="1"/>
      <charset val="129"/>
    </font>
    <font>
      <sz val="11"/>
      <name val="210 네모진 020"/>
      <family val="1"/>
      <charset val="129"/>
    </font>
    <font>
      <sz val="10"/>
      <color rgb="FF66666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2" fillId="0" borderId="0" xfId="0" applyFont="1">
      <alignment vertical="center"/>
    </xf>
    <xf numFmtId="0" fontId="7" fillId="0" borderId="1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2" fillId="0" borderId="0" xfId="0" applyFont="1" applyFill="1">
      <alignment vertical="center"/>
    </xf>
    <xf numFmtId="0" fontId="7" fillId="0" borderId="1" xfId="0" applyFont="1" applyFill="1" applyBorder="1" applyAlignment="1">
      <alignment horizontal="justify" vertical="center" wrapText="1"/>
    </xf>
    <xf numFmtId="0" fontId="7" fillId="0" borderId="2" xfId="0" applyFont="1" applyFill="1" applyBorder="1" applyAlignment="1">
      <alignment horizontal="justify" vertical="center" wrapText="1"/>
    </xf>
    <xf numFmtId="0" fontId="7" fillId="0" borderId="0" xfId="0" applyFont="1" applyFill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Fill="1" applyBorder="1" applyAlignment="1">
      <alignment horizontal="justify" vertical="center" wrapText="1"/>
    </xf>
    <xf numFmtId="0" fontId="1" fillId="0" borderId="0" xfId="0" applyFont="1" applyFill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 applyAlignment="1">
      <alignment horizontal="justify" vertical="center" wrapText="1"/>
    </xf>
    <xf numFmtId="0" fontId="5" fillId="0" borderId="1" xfId="0" applyFont="1" applyBorder="1">
      <alignment vertical="center"/>
    </xf>
    <xf numFmtId="0" fontId="5" fillId="0" borderId="1" xfId="0" applyFont="1" applyFill="1" applyBorder="1" applyAlignment="1">
      <alignment horizontal="justify" vertical="center" wrapText="1"/>
    </xf>
    <xf numFmtId="0" fontId="7" fillId="0" borderId="1" xfId="0" applyFont="1" applyFill="1" applyBorder="1">
      <alignment vertical="center"/>
    </xf>
    <xf numFmtId="0" fontId="7" fillId="0" borderId="2" xfId="0" applyFont="1" applyBorder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5" fillId="0" borderId="2" xfId="0" applyFont="1" applyFill="1" applyBorder="1" applyAlignment="1">
      <alignment horizontal="justify" vertical="center" wrapText="1"/>
    </xf>
    <xf numFmtId="0" fontId="7" fillId="0" borderId="5" xfId="0" applyFont="1" applyBorder="1">
      <alignment vertical="center"/>
    </xf>
    <xf numFmtId="0" fontId="7" fillId="0" borderId="6" xfId="0" applyFont="1" applyBorder="1">
      <alignment vertical="center"/>
    </xf>
    <xf numFmtId="0" fontId="5" fillId="0" borderId="3" xfId="0" applyFont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justify" vertical="center" wrapText="1"/>
    </xf>
    <xf numFmtId="0" fontId="10" fillId="2" borderId="1" xfId="0" applyFont="1" applyFill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9" fillId="0" borderId="1" xfId="0" applyFont="1" applyFill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13" fillId="0" borderId="0" xfId="0" applyFont="1">
      <alignment vertical="center"/>
    </xf>
    <xf numFmtId="0" fontId="7" fillId="0" borderId="0" xfId="0" applyFont="1">
      <alignment vertical="center"/>
    </xf>
    <xf numFmtId="0" fontId="15" fillId="0" borderId="1" xfId="0" applyFont="1" applyFill="1" applyBorder="1" applyAlignment="1">
      <alignment horizontal="justify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 wrapText="1"/>
    </xf>
    <xf numFmtId="0" fontId="13" fillId="0" borderId="1" xfId="0" applyFont="1" applyBorder="1">
      <alignment vertical="center"/>
    </xf>
    <xf numFmtId="0" fontId="7" fillId="0" borderId="1" xfId="0" applyFont="1" applyBorder="1" applyAlignment="1">
      <alignment horizontal="justify" vertical="center"/>
    </xf>
    <xf numFmtId="0" fontId="6" fillId="0" borderId="1" xfId="0" applyFont="1" applyBorder="1" applyAlignment="1">
      <alignment horizontal="justify" vertical="center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justify" vertical="center" wrapText="1"/>
    </xf>
    <xf numFmtId="0" fontId="11" fillId="0" borderId="0" xfId="0" applyFont="1" applyFill="1" applyAlignment="1">
      <alignment horizontal="center" vertical="center"/>
    </xf>
    <xf numFmtId="0" fontId="7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12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7" fillId="0" borderId="7" xfId="0" applyFont="1" applyBorder="1">
      <alignment vertical="center"/>
    </xf>
    <xf numFmtId="0" fontId="17" fillId="0" borderId="1" xfId="0" applyFont="1" applyFill="1" applyBorder="1" applyAlignment="1">
      <alignment horizontal="justify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justify" vertical="center" wrapText="1"/>
    </xf>
    <xf numFmtId="0" fontId="11" fillId="0" borderId="1" xfId="0" applyFont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/>
    </xf>
    <xf numFmtId="0" fontId="18" fillId="7" borderId="0" xfId="0" applyFont="1" applyFill="1" applyAlignment="1">
      <alignment horizontal="center"/>
    </xf>
    <xf numFmtId="0" fontId="0" fillId="7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18" fillId="0" borderId="0" xfId="0" applyFont="1" applyFill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8" fillId="0" borderId="2" xfId="0" applyFont="1" applyFill="1" applyBorder="1" applyAlignment="1">
      <alignment horizontal="justify" vertical="center" wrapText="1"/>
    </xf>
    <xf numFmtId="0" fontId="7" fillId="0" borderId="5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2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</cellXfs>
  <cellStyles count="1">
    <cellStyle name="표준" xfId="0" builtinId="0"/>
  </cellStyles>
  <dxfs count="166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E14A3A3-E2F7-4522-9146-E6D828C56DC1}" type="doc">
      <dgm:prSet loTypeId="urn:microsoft.com/office/officeart/2009/3/layout/HorizontalOrganizationChart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pPr latinLnBrk="1"/>
          <a:endParaRPr lang="ko-KR" altLang="en-US"/>
        </a:p>
      </dgm:t>
    </dgm:pt>
    <dgm:pt modelId="{08EA0C9A-C8D4-4FFF-8CE5-887D47C84D43}">
      <dgm:prSet phldrT="[텍스트]"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화이트박스 테스트</a:t>
          </a:r>
        </a:p>
      </dgm:t>
    </dgm:pt>
    <dgm:pt modelId="{AEAB0797-D1B2-4701-BD94-4EFF72745D1D}" type="parTrans" cxnId="{1CE5A7F9-BDD4-4682-B750-3F65937A8DD5}">
      <dgm:prSet/>
      <dgm:spPr/>
      <dgm:t>
        <a:bodyPr/>
        <a:lstStyle/>
        <a:p>
          <a:pPr latinLnBrk="1"/>
          <a:endParaRPr lang="ko-KR" altLang="en-US" sz="14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56F6EBB7-DC46-4D17-BB6A-6058FD20001D}" type="sibTrans" cxnId="{1CE5A7F9-BDD4-4682-B750-3F65937A8DD5}">
      <dgm:prSet/>
      <dgm:spPr/>
      <dgm:t>
        <a:bodyPr/>
        <a:lstStyle/>
        <a:p>
          <a:pPr latinLnBrk="1"/>
          <a:endParaRPr lang="ko-KR" altLang="en-US" sz="14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082B3C96-5645-4E6D-8EB4-28EC9CF9D772}">
      <dgm:prSet phldrT="[텍스트]"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기초 경로 검사</a:t>
          </a:r>
        </a:p>
      </dgm:t>
    </dgm:pt>
    <dgm:pt modelId="{33BA6768-3501-40EC-9306-E52C92B1B41F}" type="parTrans" cxnId="{60DA2D9C-5FDA-4088-95B6-96066062FE10}">
      <dgm:prSet/>
      <dgm:spPr/>
      <dgm:t>
        <a:bodyPr/>
        <a:lstStyle/>
        <a:p>
          <a:pPr latinLnBrk="1"/>
          <a:endParaRPr lang="ko-KR" altLang="en-US" sz="14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024774BA-7253-4AA9-9FDD-A060573C5E5B}" type="sibTrans" cxnId="{60DA2D9C-5FDA-4088-95B6-96066062FE10}">
      <dgm:prSet/>
      <dgm:spPr/>
      <dgm:t>
        <a:bodyPr/>
        <a:lstStyle/>
        <a:p>
          <a:pPr latinLnBrk="1"/>
          <a:endParaRPr lang="ko-KR" altLang="en-US" sz="14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7B2F56F3-4744-4BF7-BDB9-36CB16F19781}">
      <dgm:prSet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제어 구조 검사</a:t>
          </a:r>
        </a:p>
      </dgm:t>
    </dgm:pt>
    <dgm:pt modelId="{8646F0D6-DD8C-4581-AA35-05B95439D953}" type="parTrans" cxnId="{110BCBCC-D8CF-420D-B7A4-3FB820C6BF08}">
      <dgm:prSet/>
      <dgm:spPr/>
      <dgm:t>
        <a:bodyPr/>
        <a:lstStyle/>
        <a:p>
          <a:pPr latinLnBrk="1"/>
          <a:endParaRPr lang="ko-KR" altLang="en-US" sz="14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9CFED593-B60A-48CC-9EF1-1F93EE5E3467}" type="sibTrans" cxnId="{110BCBCC-D8CF-420D-B7A4-3FB820C6BF08}">
      <dgm:prSet/>
      <dgm:spPr/>
      <dgm:t>
        <a:bodyPr/>
        <a:lstStyle/>
        <a:p>
          <a:pPr latinLnBrk="1"/>
          <a:endParaRPr lang="ko-KR" altLang="en-US" sz="14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FA8305DE-3014-41BB-8C11-D18263371A43}">
      <dgm:prSet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조건 검사</a:t>
          </a:r>
        </a:p>
      </dgm:t>
    </dgm:pt>
    <dgm:pt modelId="{8083FA71-627B-4625-AF45-5D05846307FC}" type="parTrans" cxnId="{81E01B5A-BA54-44F6-B389-041A2584187C}">
      <dgm:prSet/>
      <dgm:spPr/>
      <dgm:t>
        <a:bodyPr/>
        <a:lstStyle/>
        <a:p>
          <a:pPr latinLnBrk="1"/>
          <a:endParaRPr lang="ko-KR" altLang="en-US" sz="14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E33120AE-FAA5-4702-AD58-5B0962CED4D6}" type="sibTrans" cxnId="{81E01B5A-BA54-44F6-B389-041A2584187C}">
      <dgm:prSet/>
      <dgm:spPr/>
      <dgm:t>
        <a:bodyPr/>
        <a:lstStyle/>
        <a:p>
          <a:pPr latinLnBrk="1"/>
          <a:endParaRPr lang="ko-KR" altLang="en-US" sz="14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FBE8CED8-9862-4C19-B807-84D445A54224}">
      <dgm:prSet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루프 검사</a:t>
          </a:r>
        </a:p>
      </dgm:t>
    </dgm:pt>
    <dgm:pt modelId="{15237BFB-D37D-44F6-B44E-5F9F464FEF27}" type="parTrans" cxnId="{F73B752F-B21B-4441-8DBD-85FA944AAC70}">
      <dgm:prSet/>
      <dgm:spPr/>
      <dgm:t>
        <a:bodyPr/>
        <a:lstStyle/>
        <a:p>
          <a:pPr latinLnBrk="1"/>
          <a:endParaRPr lang="ko-KR" altLang="en-US" sz="14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11F91A34-A0EE-4C82-8910-45BDEBFEB3D7}" type="sibTrans" cxnId="{F73B752F-B21B-4441-8DBD-85FA944AAC70}">
      <dgm:prSet/>
      <dgm:spPr/>
      <dgm:t>
        <a:bodyPr/>
        <a:lstStyle/>
        <a:p>
          <a:pPr latinLnBrk="1"/>
          <a:endParaRPr lang="ko-KR" altLang="en-US" sz="14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54672EAA-8DF7-42D8-84CF-7F7392F975ED}">
      <dgm:prSet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데이터 흐름 검사</a:t>
          </a:r>
        </a:p>
      </dgm:t>
    </dgm:pt>
    <dgm:pt modelId="{3BE4287E-F006-437A-9DD9-636534326B87}" type="parTrans" cxnId="{3E203AB4-2333-40CF-AD63-915E6A0C9325}">
      <dgm:prSet/>
      <dgm:spPr/>
      <dgm:t>
        <a:bodyPr/>
        <a:lstStyle/>
        <a:p>
          <a:pPr latinLnBrk="1"/>
          <a:endParaRPr lang="ko-KR" altLang="en-US" sz="14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AD59E384-2C2D-41E8-99ED-240B9BEF33B1}" type="sibTrans" cxnId="{3E203AB4-2333-40CF-AD63-915E6A0C9325}">
      <dgm:prSet/>
      <dgm:spPr/>
      <dgm:t>
        <a:bodyPr/>
        <a:lstStyle/>
        <a:p>
          <a:pPr latinLnBrk="1"/>
          <a:endParaRPr lang="ko-KR" altLang="en-US" sz="14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B00353A5-D6E0-41E0-9D50-DC542EE22381}" type="pres">
      <dgm:prSet presAssocID="{6E14A3A3-E2F7-4522-9146-E6D828C56DC1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19D8ECC5-8E9E-49D0-9957-FE5FD1B5D47F}" type="pres">
      <dgm:prSet presAssocID="{08EA0C9A-C8D4-4FFF-8CE5-887D47C84D43}" presName="hierRoot1" presStyleCnt="0">
        <dgm:presLayoutVars>
          <dgm:hierBranch val="init"/>
        </dgm:presLayoutVars>
      </dgm:prSet>
      <dgm:spPr/>
    </dgm:pt>
    <dgm:pt modelId="{DB317F67-A33D-4279-BD7C-1182B8EF942C}" type="pres">
      <dgm:prSet presAssocID="{08EA0C9A-C8D4-4FFF-8CE5-887D47C84D43}" presName="rootComposite1" presStyleCnt="0"/>
      <dgm:spPr/>
    </dgm:pt>
    <dgm:pt modelId="{95001CB8-EDE6-427E-AC8F-6D8507832A59}" type="pres">
      <dgm:prSet presAssocID="{08EA0C9A-C8D4-4FFF-8CE5-887D47C84D43}" presName="rootText1" presStyleLbl="node0" presStyleIdx="0" presStyleCnt="1" custScaleY="67645">
        <dgm:presLayoutVars>
          <dgm:chPref val="3"/>
        </dgm:presLayoutVars>
      </dgm:prSet>
      <dgm:spPr/>
    </dgm:pt>
    <dgm:pt modelId="{EA8144B0-9473-41C0-B43A-4752DF3FDBCA}" type="pres">
      <dgm:prSet presAssocID="{08EA0C9A-C8D4-4FFF-8CE5-887D47C84D43}" presName="rootConnector1" presStyleLbl="node1" presStyleIdx="0" presStyleCnt="0"/>
      <dgm:spPr/>
    </dgm:pt>
    <dgm:pt modelId="{6938587D-BF33-4FFC-BA3B-182FB29E1CF6}" type="pres">
      <dgm:prSet presAssocID="{08EA0C9A-C8D4-4FFF-8CE5-887D47C84D43}" presName="hierChild2" presStyleCnt="0"/>
      <dgm:spPr/>
    </dgm:pt>
    <dgm:pt modelId="{18BFD15D-6573-430F-B400-DB87242EE55A}" type="pres">
      <dgm:prSet presAssocID="{33BA6768-3501-40EC-9306-E52C92B1B41F}" presName="Name64" presStyleLbl="parChTrans1D2" presStyleIdx="0" presStyleCnt="2"/>
      <dgm:spPr/>
    </dgm:pt>
    <dgm:pt modelId="{FCEE22F2-26F6-4128-A9BF-22003C6716B0}" type="pres">
      <dgm:prSet presAssocID="{082B3C96-5645-4E6D-8EB4-28EC9CF9D772}" presName="hierRoot2" presStyleCnt="0">
        <dgm:presLayoutVars>
          <dgm:hierBranch val="init"/>
        </dgm:presLayoutVars>
      </dgm:prSet>
      <dgm:spPr/>
    </dgm:pt>
    <dgm:pt modelId="{42A67B44-A895-4023-9D18-0B02C778DA45}" type="pres">
      <dgm:prSet presAssocID="{082B3C96-5645-4E6D-8EB4-28EC9CF9D772}" presName="rootComposite" presStyleCnt="0"/>
      <dgm:spPr/>
    </dgm:pt>
    <dgm:pt modelId="{F4B966DB-A176-4DD1-8DAA-A471754E9B4B}" type="pres">
      <dgm:prSet presAssocID="{082B3C96-5645-4E6D-8EB4-28EC9CF9D772}" presName="rootText" presStyleLbl="node2" presStyleIdx="0" presStyleCnt="2" custScaleY="67645" custLinFactNeighborX="833" custLinFactNeighborY="7954">
        <dgm:presLayoutVars>
          <dgm:chPref val="3"/>
        </dgm:presLayoutVars>
      </dgm:prSet>
      <dgm:spPr/>
    </dgm:pt>
    <dgm:pt modelId="{A8FF78C2-531A-44F4-A307-7E35A822D9C0}" type="pres">
      <dgm:prSet presAssocID="{082B3C96-5645-4E6D-8EB4-28EC9CF9D772}" presName="rootConnector" presStyleLbl="node2" presStyleIdx="0" presStyleCnt="2"/>
      <dgm:spPr/>
    </dgm:pt>
    <dgm:pt modelId="{49356287-5BD1-4D3B-8404-F66B41B220E5}" type="pres">
      <dgm:prSet presAssocID="{082B3C96-5645-4E6D-8EB4-28EC9CF9D772}" presName="hierChild4" presStyleCnt="0"/>
      <dgm:spPr/>
    </dgm:pt>
    <dgm:pt modelId="{3CBEE4CA-02AA-41E4-A867-39CB7946A2A2}" type="pres">
      <dgm:prSet presAssocID="{082B3C96-5645-4E6D-8EB4-28EC9CF9D772}" presName="hierChild5" presStyleCnt="0"/>
      <dgm:spPr/>
    </dgm:pt>
    <dgm:pt modelId="{C186B038-A050-4390-8F1E-E1D4CACE39BB}" type="pres">
      <dgm:prSet presAssocID="{8646F0D6-DD8C-4581-AA35-05B95439D953}" presName="Name64" presStyleLbl="parChTrans1D2" presStyleIdx="1" presStyleCnt="2"/>
      <dgm:spPr/>
    </dgm:pt>
    <dgm:pt modelId="{9387B58C-DB8A-42DD-B4ED-3FDEF76B476A}" type="pres">
      <dgm:prSet presAssocID="{7B2F56F3-4744-4BF7-BDB9-36CB16F19781}" presName="hierRoot2" presStyleCnt="0">
        <dgm:presLayoutVars>
          <dgm:hierBranch val="init"/>
        </dgm:presLayoutVars>
      </dgm:prSet>
      <dgm:spPr/>
    </dgm:pt>
    <dgm:pt modelId="{F9484E4F-F38D-4EC2-9C59-058942829ED3}" type="pres">
      <dgm:prSet presAssocID="{7B2F56F3-4744-4BF7-BDB9-36CB16F19781}" presName="rootComposite" presStyleCnt="0"/>
      <dgm:spPr/>
    </dgm:pt>
    <dgm:pt modelId="{E89EE066-B68F-4E23-AB4A-E814965BA2A3}" type="pres">
      <dgm:prSet presAssocID="{7B2F56F3-4744-4BF7-BDB9-36CB16F19781}" presName="rootText" presStyleLbl="node2" presStyleIdx="1" presStyleCnt="2" custScaleY="67645" custLinFactNeighborX="536">
        <dgm:presLayoutVars>
          <dgm:chPref val="3"/>
        </dgm:presLayoutVars>
      </dgm:prSet>
      <dgm:spPr/>
    </dgm:pt>
    <dgm:pt modelId="{1C94F472-5DBE-4A37-BF87-6D93A5B6D902}" type="pres">
      <dgm:prSet presAssocID="{7B2F56F3-4744-4BF7-BDB9-36CB16F19781}" presName="rootConnector" presStyleLbl="node2" presStyleIdx="1" presStyleCnt="2"/>
      <dgm:spPr/>
    </dgm:pt>
    <dgm:pt modelId="{D7204A9A-38FF-4ED3-8863-A4A19B437F6D}" type="pres">
      <dgm:prSet presAssocID="{7B2F56F3-4744-4BF7-BDB9-36CB16F19781}" presName="hierChild4" presStyleCnt="0"/>
      <dgm:spPr/>
    </dgm:pt>
    <dgm:pt modelId="{10812C83-F416-4E98-8290-858F65F42183}" type="pres">
      <dgm:prSet presAssocID="{8083FA71-627B-4625-AF45-5D05846307FC}" presName="Name64" presStyleLbl="parChTrans1D3" presStyleIdx="0" presStyleCnt="3"/>
      <dgm:spPr/>
    </dgm:pt>
    <dgm:pt modelId="{6245DDD3-8585-4339-82FB-E4C94CDCEC53}" type="pres">
      <dgm:prSet presAssocID="{FA8305DE-3014-41BB-8C11-D18263371A43}" presName="hierRoot2" presStyleCnt="0">
        <dgm:presLayoutVars>
          <dgm:hierBranch val="init"/>
        </dgm:presLayoutVars>
      </dgm:prSet>
      <dgm:spPr/>
    </dgm:pt>
    <dgm:pt modelId="{FCAAAA8C-E74A-4B83-8BA1-0D8DB44F7CF1}" type="pres">
      <dgm:prSet presAssocID="{FA8305DE-3014-41BB-8C11-D18263371A43}" presName="rootComposite" presStyleCnt="0"/>
      <dgm:spPr/>
    </dgm:pt>
    <dgm:pt modelId="{C8259410-67FD-4AD2-8C6C-657FB37076BC}" type="pres">
      <dgm:prSet presAssocID="{FA8305DE-3014-41BB-8C11-D18263371A43}" presName="rootText" presStyleLbl="node3" presStyleIdx="0" presStyleCnt="3" custScaleY="67645" custLinFactNeighborY="17600">
        <dgm:presLayoutVars>
          <dgm:chPref val="3"/>
        </dgm:presLayoutVars>
      </dgm:prSet>
      <dgm:spPr/>
    </dgm:pt>
    <dgm:pt modelId="{25FAC84E-0DF9-42E1-A78F-D5C206DF09D4}" type="pres">
      <dgm:prSet presAssocID="{FA8305DE-3014-41BB-8C11-D18263371A43}" presName="rootConnector" presStyleLbl="node3" presStyleIdx="0" presStyleCnt="3"/>
      <dgm:spPr/>
    </dgm:pt>
    <dgm:pt modelId="{7BA41B6A-884F-4998-9B59-E809EE35D1FE}" type="pres">
      <dgm:prSet presAssocID="{FA8305DE-3014-41BB-8C11-D18263371A43}" presName="hierChild4" presStyleCnt="0"/>
      <dgm:spPr/>
    </dgm:pt>
    <dgm:pt modelId="{EA6B0A9A-D1CA-4B92-A65B-D1C01FCAC433}" type="pres">
      <dgm:prSet presAssocID="{FA8305DE-3014-41BB-8C11-D18263371A43}" presName="hierChild5" presStyleCnt="0"/>
      <dgm:spPr/>
    </dgm:pt>
    <dgm:pt modelId="{F20CE483-5FFE-48C6-86D2-80EE492397BD}" type="pres">
      <dgm:prSet presAssocID="{15237BFB-D37D-44F6-B44E-5F9F464FEF27}" presName="Name64" presStyleLbl="parChTrans1D3" presStyleIdx="1" presStyleCnt="3"/>
      <dgm:spPr/>
    </dgm:pt>
    <dgm:pt modelId="{76328ABD-A793-4E31-868A-3FADBF9E2D1E}" type="pres">
      <dgm:prSet presAssocID="{FBE8CED8-9862-4C19-B807-84D445A54224}" presName="hierRoot2" presStyleCnt="0">
        <dgm:presLayoutVars>
          <dgm:hierBranch val="init"/>
        </dgm:presLayoutVars>
      </dgm:prSet>
      <dgm:spPr/>
    </dgm:pt>
    <dgm:pt modelId="{266AFC04-6739-4F14-8117-04D9EE123283}" type="pres">
      <dgm:prSet presAssocID="{FBE8CED8-9862-4C19-B807-84D445A54224}" presName="rootComposite" presStyleCnt="0"/>
      <dgm:spPr/>
    </dgm:pt>
    <dgm:pt modelId="{6C90D3D3-D76C-4844-BA1A-7BFE423C019D}" type="pres">
      <dgm:prSet presAssocID="{FBE8CED8-9862-4C19-B807-84D445A54224}" presName="rootText" presStyleLbl="node3" presStyleIdx="1" presStyleCnt="3" custScaleY="67645">
        <dgm:presLayoutVars>
          <dgm:chPref val="3"/>
        </dgm:presLayoutVars>
      </dgm:prSet>
      <dgm:spPr/>
    </dgm:pt>
    <dgm:pt modelId="{034C82C6-1971-496A-9AEF-766BA92E010B}" type="pres">
      <dgm:prSet presAssocID="{FBE8CED8-9862-4C19-B807-84D445A54224}" presName="rootConnector" presStyleLbl="node3" presStyleIdx="1" presStyleCnt="3"/>
      <dgm:spPr/>
    </dgm:pt>
    <dgm:pt modelId="{07A90E87-C8D4-49AD-A3DB-F10E59D6ECF8}" type="pres">
      <dgm:prSet presAssocID="{FBE8CED8-9862-4C19-B807-84D445A54224}" presName="hierChild4" presStyleCnt="0"/>
      <dgm:spPr/>
    </dgm:pt>
    <dgm:pt modelId="{54D6F957-D828-4E83-B11D-B9320E176D6E}" type="pres">
      <dgm:prSet presAssocID="{FBE8CED8-9862-4C19-B807-84D445A54224}" presName="hierChild5" presStyleCnt="0"/>
      <dgm:spPr/>
    </dgm:pt>
    <dgm:pt modelId="{277F0658-EE95-456E-8392-9D53FA88F9A9}" type="pres">
      <dgm:prSet presAssocID="{3BE4287E-F006-437A-9DD9-636534326B87}" presName="Name64" presStyleLbl="parChTrans1D3" presStyleIdx="2" presStyleCnt="3"/>
      <dgm:spPr/>
    </dgm:pt>
    <dgm:pt modelId="{A23F072D-BFB1-4676-9594-4B013753C406}" type="pres">
      <dgm:prSet presAssocID="{54672EAA-8DF7-42D8-84CF-7F7392F975ED}" presName="hierRoot2" presStyleCnt="0">
        <dgm:presLayoutVars>
          <dgm:hierBranch val="init"/>
        </dgm:presLayoutVars>
      </dgm:prSet>
      <dgm:spPr/>
    </dgm:pt>
    <dgm:pt modelId="{92FC7624-DBE7-49CA-9941-412D631952F1}" type="pres">
      <dgm:prSet presAssocID="{54672EAA-8DF7-42D8-84CF-7F7392F975ED}" presName="rootComposite" presStyleCnt="0"/>
      <dgm:spPr/>
    </dgm:pt>
    <dgm:pt modelId="{4DBFCA83-9D57-41DC-8C44-FB287771520C}" type="pres">
      <dgm:prSet presAssocID="{54672EAA-8DF7-42D8-84CF-7F7392F975ED}" presName="rootText" presStyleLbl="node3" presStyleIdx="2" presStyleCnt="3" custScaleY="67645" custLinFactNeighborY="-17600">
        <dgm:presLayoutVars>
          <dgm:chPref val="3"/>
        </dgm:presLayoutVars>
      </dgm:prSet>
      <dgm:spPr/>
    </dgm:pt>
    <dgm:pt modelId="{DA27B59B-9923-4D76-8D56-FBD96CBF4D87}" type="pres">
      <dgm:prSet presAssocID="{54672EAA-8DF7-42D8-84CF-7F7392F975ED}" presName="rootConnector" presStyleLbl="node3" presStyleIdx="2" presStyleCnt="3"/>
      <dgm:spPr/>
    </dgm:pt>
    <dgm:pt modelId="{1E74E1C9-D2A1-42B5-B2B2-6953FAB8BB78}" type="pres">
      <dgm:prSet presAssocID="{54672EAA-8DF7-42D8-84CF-7F7392F975ED}" presName="hierChild4" presStyleCnt="0"/>
      <dgm:spPr/>
    </dgm:pt>
    <dgm:pt modelId="{151A55A7-57B6-4AA9-9065-21B381EBEA56}" type="pres">
      <dgm:prSet presAssocID="{54672EAA-8DF7-42D8-84CF-7F7392F975ED}" presName="hierChild5" presStyleCnt="0"/>
      <dgm:spPr/>
    </dgm:pt>
    <dgm:pt modelId="{C487B2DE-11BB-47E4-96D4-2516B57BE15B}" type="pres">
      <dgm:prSet presAssocID="{7B2F56F3-4744-4BF7-BDB9-36CB16F19781}" presName="hierChild5" presStyleCnt="0"/>
      <dgm:spPr/>
    </dgm:pt>
    <dgm:pt modelId="{6D64700E-C5F8-4821-9C28-AE48049EB1E9}" type="pres">
      <dgm:prSet presAssocID="{08EA0C9A-C8D4-4FFF-8CE5-887D47C84D43}" presName="hierChild3" presStyleCnt="0"/>
      <dgm:spPr/>
    </dgm:pt>
  </dgm:ptLst>
  <dgm:cxnLst>
    <dgm:cxn modelId="{5BF48A00-D2D0-41B3-8994-BA63B7A1F1D7}" type="presOf" srcId="{15237BFB-D37D-44F6-B44E-5F9F464FEF27}" destId="{F20CE483-5FFE-48C6-86D2-80EE492397BD}" srcOrd="0" destOrd="0" presId="urn:microsoft.com/office/officeart/2009/3/layout/HorizontalOrganizationChart"/>
    <dgm:cxn modelId="{F7E1E912-17A1-4EB0-BB69-D7A7B64012E3}" type="presOf" srcId="{6E14A3A3-E2F7-4522-9146-E6D828C56DC1}" destId="{B00353A5-D6E0-41E0-9D50-DC542EE22381}" srcOrd="0" destOrd="0" presId="urn:microsoft.com/office/officeart/2009/3/layout/HorizontalOrganizationChart"/>
    <dgm:cxn modelId="{480D7A21-3F48-494D-8FBD-523268107162}" type="presOf" srcId="{FA8305DE-3014-41BB-8C11-D18263371A43}" destId="{C8259410-67FD-4AD2-8C6C-657FB37076BC}" srcOrd="0" destOrd="0" presId="urn:microsoft.com/office/officeart/2009/3/layout/HorizontalOrganizationChart"/>
    <dgm:cxn modelId="{F73B752F-B21B-4441-8DBD-85FA944AAC70}" srcId="{7B2F56F3-4744-4BF7-BDB9-36CB16F19781}" destId="{FBE8CED8-9862-4C19-B807-84D445A54224}" srcOrd="1" destOrd="0" parTransId="{15237BFB-D37D-44F6-B44E-5F9F464FEF27}" sibTransId="{11F91A34-A0EE-4C82-8910-45BDEBFEB3D7}"/>
    <dgm:cxn modelId="{24D04535-A1D6-4E8F-8A49-25479E700354}" type="presOf" srcId="{8083FA71-627B-4625-AF45-5D05846307FC}" destId="{10812C83-F416-4E98-8290-858F65F42183}" srcOrd="0" destOrd="0" presId="urn:microsoft.com/office/officeart/2009/3/layout/HorizontalOrganizationChart"/>
    <dgm:cxn modelId="{F1705266-5671-4236-9908-E5F388C46F5A}" type="presOf" srcId="{08EA0C9A-C8D4-4FFF-8CE5-887D47C84D43}" destId="{95001CB8-EDE6-427E-AC8F-6D8507832A59}" srcOrd="0" destOrd="0" presId="urn:microsoft.com/office/officeart/2009/3/layout/HorizontalOrganizationChart"/>
    <dgm:cxn modelId="{5727E652-C167-424D-AA6F-0391005CC0C7}" type="presOf" srcId="{7B2F56F3-4744-4BF7-BDB9-36CB16F19781}" destId="{1C94F472-5DBE-4A37-BF87-6D93A5B6D902}" srcOrd="1" destOrd="0" presId="urn:microsoft.com/office/officeart/2009/3/layout/HorizontalOrganizationChart"/>
    <dgm:cxn modelId="{800C5659-27D1-4A67-A06E-5802C94EC5B6}" type="presOf" srcId="{082B3C96-5645-4E6D-8EB4-28EC9CF9D772}" destId="{A8FF78C2-531A-44F4-A307-7E35A822D9C0}" srcOrd="1" destOrd="0" presId="urn:microsoft.com/office/officeart/2009/3/layout/HorizontalOrganizationChart"/>
    <dgm:cxn modelId="{81E01B5A-BA54-44F6-B389-041A2584187C}" srcId="{7B2F56F3-4744-4BF7-BDB9-36CB16F19781}" destId="{FA8305DE-3014-41BB-8C11-D18263371A43}" srcOrd="0" destOrd="0" parTransId="{8083FA71-627B-4625-AF45-5D05846307FC}" sibTransId="{E33120AE-FAA5-4702-AD58-5B0962CED4D6}"/>
    <dgm:cxn modelId="{75F86B5A-7F30-4C08-BF03-514808EE6722}" type="presOf" srcId="{3BE4287E-F006-437A-9DD9-636534326B87}" destId="{277F0658-EE95-456E-8392-9D53FA88F9A9}" srcOrd="0" destOrd="0" presId="urn:microsoft.com/office/officeart/2009/3/layout/HorizontalOrganizationChart"/>
    <dgm:cxn modelId="{D5C4CA92-EB40-4385-B963-EA46742A0B99}" type="presOf" srcId="{082B3C96-5645-4E6D-8EB4-28EC9CF9D772}" destId="{F4B966DB-A176-4DD1-8DAA-A471754E9B4B}" srcOrd="0" destOrd="0" presId="urn:microsoft.com/office/officeart/2009/3/layout/HorizontalOrganizationChart"/>
    <dgm:cxn modelId="{60DA2D9C-5FDA-4088-95B6-96066062FE10}" srcId="{08EA0C9A-C8D4-4FFF-8CE5-887D47C84D43}" destId="{082B3C96-5645-4E6D-8EB4-28EC9CF9D772}" srcOrd="0" destOrd="0" parTransId="{33BA6768-3501-40EC-9306-E52C92B1B41F}" sibTransId="{024774BA-7253-4AA9-9FDD-A060573C5E5B}"/>
    <dgm:cxn modelId="{BDA82AAD-A222-41A4-92A2-5D43353D11CC}" type="presOf" srcId="{54672EAA-8DF7-42D8-84CF-7F7392F975ED}" destId="{DA27B59B-9923-4D76-8D56-FBD96CBF4D87}" srcOrd="1" destOrd="0" presId="urn:microsoft.com/office/officeart/2009/3/layout/HorizontalOrganizationChart"/>
    <dgm:cxn modelId="{6DA0CAB1-307C-4506-AEBE-931B9B66759D}" type="presOf" srcId="{FBE8CED8-9862-4C19-B807-84D445A54224}" destId="{6C90D3D3-D76C-4844-BA1A-7BFE423C019D}" srcOrd="0" destOrd="0" presId="urn:microsoft.com/office/officeart/2009/3/layout/HorizontalOrganizationChart"/>
    <dgm:cxn modelId="{3E203AB4-2333-40CF-AD63-915E6A0C9325}" srcId="{7B2F56F3-4744-4BF7-BDB9-36CB16F19781}" destId="{54672EAA-8DF7-42D8-84CF-7F7392F975ED}" srcOrd="2" destOrd="0" parTransId="{3BE4287E-F006-437A-9DD9-636534326B87}" sibTransId="{AD59E384-2C2D-41E8-99ED-240B9BEF33B1}"/>
    <dgm:cxn modelId="{13C434BC-40A4-481D-B927-827B2F147B79}" type="presOf" srcId="{54672EAA-8DF7-42D8-84CF-7F7392F975ED}" destId="{4DBFCA83-9D57-41DC-8C44-FB287771520C}" srcOrd="0" destOrd="0" presId="urn:microsoft.com/office/officeart/2009/3/layout/HorizontalOrganizationChart"/>
    <dgm:cxn modelId="{398E93CA-F023-4824-828E-515DC3AB649D}" type="presOf" srcId="{33BA6768-3501-40EC-9306-E52C92B1B41F}" destId="{18BFD15D-6573-430F-B400-DB87242EE55A}" srcOrd="0" destOrd="0" presId="urn:microsoft.com/office/officeart/2009/3/layout/HorizontalOrganizationChart"/>
    <dgm:cxn modelId="{110BCBCC-D8CF-420D-B7A4-3FB820C6BF08}" srcId="{08EA0C9A-C8D4-4FFF-8CE5-887D47C84D43}" destId="{7B2F56F3-4744-4BF7-BDB9-36CB16F19781}" srcOrd="1" destOrd="0" parTransId="{8646F0D6-DD8C-4581-AA35-05B95439D953}" sibTransId="{9CFED593-B60A-48CC-9EF1-1F93EE5E3467}"/>
    <dgm:cxn modelId="{C14364D1-9A6F-4B90-AD91-C4202758114A}" type="presOf" srcId="{8646F0D6-DD8C-4581-AA35-05B95439D953}" destId="{C186B038-A050-4390-8F1E-E1D4CACE39BB}" srcOrd="0" destOrd="0" presId="urn:microsoft.com/office/officeart/2009/3/layout/HorizontalOrganizationChart"/>
    <dgm:cxn modelId="{37B3A4DC-AFAA-4527-A9AB-32229EBE304D}" type="presOf" srcId="{FA8305DE-3014-41BB-8C11-D18263371A43}" destId="{25FAC84E-0DF9-42E1-A78F-D5C206DF09D4}" srcOrd="1" destOrd="0" presId="urn:microsoft.com/office/officeart/2009/3/layout/HorizontalOrganizationChart"/>
    <dgm:cxn modelId="{0A0159E8-5B44-4375-8144-05CC14BD615B}" type="presOf" srcId="{FBE8CED8-9862-4C19-B807-84D445A54224}" destId="{034C82C6-1971-496A-9AEF-766BA92E010B}" srcOrd="1" destOrd="0" presId="urn:microsoft.com/office/officeart/2009/3/layout/HorizontalOrganizationChart"/>
    <dgm:cxn modelId="{F196A0F0-8D61-447D-9B0E-7FCFDC83A8F2}" type="presOf" srcId="{7B2F56F3-4744-4BF7-BDB9-36CB16F19781}" destId="{E89EE066-B68F-4E23-AB4A-E814965BA2A3}" srcOrd="0" destOrd="0" presId="urn:microsoft.com/office/officeart/2009/3/layout/HorizontalOrganizationChart"/>
    <dgm:cxn modelId="{1CE5A7F9-BDD4-4682-B750-3F65937A8DD5}" srcId="{6E14A3A3-E2F7-4522-9146-E6D828C56DC1}" destId="{08EA0C9A-C8D4-4FFF-8CE5-887D47C84D43}" srcOrd="0" destOrd="0" parTransId="{AEAB0797-D1B2-4701-BD94-4EFF72745D1D}" sibTransId="{56F6EBB7-DC46-4D17-BB6A-6058FD20001D}"/>
    <dgm:cxn modelId="{72CC8AFA-5D0D-46F0-8A9F-EA16E981AC08}" type="presOf" srcId="{08EA0C9A-C8D4-4FFF-8CE5-887D47C84D43}" destId="{EA8144B0-9473-41C0-B43A-4752DF3FDBCA}" srcOrd="1" destOrd="0" presId="urn:microsoft.com/office/officeart/2009/3/layout/HorizontalOrganizationChart"/>
    <dgm:cxn modelId="{BEEFC2A5-8612-43CA-82C8-BD91CD8691C2}" type="presParOf" srcId="{B00353A5-D6E0-41E0-9D50-DC542EE22381}" destId="{19D8ECC5-8E9E-49D0-9957-FE5FD1B5D47F}" srcOrd="0" destOrd="0" presId="urn:microsoft.com/office/officeart/2009/3/layout/HorizontalOrganizationChart"/>
    <dgm:cxn modelId="{25D6F9AA-64BC-4370-947C-AEFB3FE21729}" type="presParOf" srcId="{19D8ECC5-8E9E-49D0-9957-FE5FD1B5D47F}" destId="{DB317F67-A33D-4279-BD7C-1182B8EF942C}" srcOrd="0" destOrd="0" presId="urn:microsoft.com/office/officeart/2009/3/layout/HorizontalOrganizationChart"/>
    <dgm:cxn modelId="{48078EC0-606D-4253-B0AD-9CEF40176733}" type="presParOf" srcId="{DB317F67-A33D-4279-BD7C-1182B8EF942C}" destId="{95001CB8-EDE6-427E-AC8F-6D8507832A59}" srcOrd="0" destOrd="0" presId="urn:microsoft.com/office/officeart/2009/3/layout/HorizontalOrganizationChart"/>
    <dgm:cxn modelId="{344B1080-04A7-45CE-80FC-B783D2BCC7C1}" type="presParOf" srcId="{DB317F67-A33D-4279-BD7C-1182B8EF942C}" destId="{EA8144B0-9473-41C0-B43A-4752DF3FDBCA}" srcOrd="1" destOrd="0" presId="urn:microsoft.com/office/officeart/2009/3/layout/HorizontalOrganizationChart"/>
    <dgm:cxn modelId="{9053863A-8EDE-46A0-829C-1B277EBB78C6}" type="presParOf" srcId="{19D8ECC5-8E9E-49D0-9957-FE5FD1B5D47F}" destId="{6938587D-BF33-4FFC-BA3B-182FB29E1CF6}" srcOrd="1" destOrd="0" presId="urn:microsoft.com/office/officeart/2009/3/layout/HorizontalOrganizationChart"/>
    <dgm:cxn modelId="{D8F17CD8-DEB9-4B00-8500-C682F65B0E8C}" type="presParOf" srcId="{6938587D-BF33-4FFC-BA3B-182FB29E1CF6}" destId="{18BFD15D-6573-430F-B400-DB87242EE55A}" srcOrd="0" destOrd="0" presId="urn:microsoft.com/office/officeart/2009/3/layout/HorizontalOrganizationChart"/>
    <dgm:cxn modelId="{D98FD485-EE38-4A7A-9E49-110FD6C6393C}" type="presParOf" srcId="{6938587D-BF33-4FFC-BA3B-182FB29E1CF6}" destId="{FCEE22F2-26F6-4128-A9BF-22003C6716B0}" srcOrd="1" destOrd="0" presId="urn:microsoft.com/office/officeart/2009/3/layout/HorizontalOrganizationChart"/>
    <dgm:cxn modelId="{435D5BCA-9A97-488B-9F11-779FE61E5B9F}" type="presParOf" srcId="{FCEE22F2-26F6-4128-A9BF-22003C6716B0}" destId="{42A67B44-A895-4023-9D18-0B02C778DA45}" srcOrd="0" destOrd="0" presId="urn:microsoft.com/office/officeart/2009/3/layout/HorizontalOrganizationChart"/>
    <dgm:cxn modelId="{047DFAFE-4C6B-46E4-B6A6-A92D63CFBF92}" type="presParOf" srcId="{42A67B44-A895-4023-9D18-0B02C778DA45}" destId="{F4B966DB-A176-4DD1-8DAA-A471754E9B4B}" srcOrd="0" destOrd="0" presId="urn:microsoft.com/office/officeart/2009/3/layout/HorizontalOrganizationChart"/>
    <dgm:cxn modelId="{FB3B7E6F-663A-4A88-9DB7-1DA04EB930F0}" type="presParOf" srcId="{42A67B44-A895-4023-9D18-0B02C778DA45}" destId="{A8FF78C2-531A-44F4-A307-7E35A822D9C0}" srcOrd="1" destOrd="0" presId="urn:microsoft.com/office/officeart/2009/3/layout/HorizontalOrganizationChart"/>
    <dgm:cxn modelId="{1BB464A8-EA8D-4670-A694-FB2AB135629F}" type="presParOf" srcId="{FCEE22F2-26F6-4128-A9BF-22003C6716B0}" destId="{49356287-5BD1-4D3B-8404-F66B41B220E5}" srcOrd="1" destOrd="0" presId="urn:microsoft.com/office/officeart/2009/3/layout/HorizontalOrganizationChart"/>
    <dgm:cxn modelId="{2B0E2E48-3E16-4D28-9FEE-1AC34955A118}" type="presParOf" srcId="{FCEE22F2-26F6-4128-A9BF-22003C6716B0}" destId="{3CBEE4CA-02AA-41E4-A867-39CB7946A2A2}" srcOrd="2" destOrd="0" presId="urn:microsoft.com/office/officeart/2009/3/layout/HorizontalOrganizationChart"/>
    <dgm:cxn modelId="{DEF31ABA-3AEE-4B85-A327-EC972F9FF942}" type="presParOf" srcId="{6938587D-BF33-4FFC-BA3B-182FB29E1CF6}" destId="{C186B038-A050-4390-8F1E-E1D4CACE39BB}" srcOrd="2" destOrd="0" presId="urn:microsoft.com/office/officeart/2009/3/layout/HorizontalOrganizationChart"/>
    <dgm:cxn modelId="{18246A26-E8C2-41E3-837F-E9E9913E6C10}" type="presParOf" srcId="{6938587D-BF33-4FFC-BA3B-182FB29E1CF6}" destId="{9387B58C-DB8A-42DD-B4ED-3FDEF76B476A}" srcOrd="3" destOrd="0" presId="urn:microsoft.com/office/officeart/2009/3/layout/HorizontalOrganizationChart"/>
    <dgm:cxn modelId="{6E8859DE-65F9-4329-8A6F-9CFD5E8DD6A6}" type="presParOf" srcId="{9387B58C-DB8A-42DD-B4ED-3FDEF76B476A}" destId="{F9484E4F-F38D-4EC2-9C59-058942829ED3}" srcOrd="0" destOrd="0" presId="urn:microsoft.com/office/officeart/2009/3/layout/HorizontalOrganizationChart"/>
    <dgm:cxn modelId="{259EC556-8ED1-403D-BF97-CDFE9B3AC30B}" type="presParOf" srcId="{F9484E4F-F38D-4EC2-9C59-058942829ED3}" destId="{E89EE066-B68F-4E23-AB4A-E814965BA2A3}" srcOrd="0" destOrd="0" presId="urn:microsoft.com/office/officeart/2009/3/layout/HorizontalOrganizationChart"/>
    <dgm:cxn modelId="{24CFDF78-C24D-4927-85FB-0C1B614BE14F}" type="presParOf" srcId="{F9484E4F-F38D-4EC2-9C59-058942829ED3}" destId="{1C94F472-5DBE-4A37-BF87-6D93A5B6D902}" srcOrd="1" destOrd="0" presId="urn:microsoft.com/office/officeart/2009/3/layout/HorizontalOrganizationChart"/>
    <dgm:cxn modelId="{8BD28331-FC6F-4CED-9041-6A93C96746B0}" type="presParOf" srcId="{9387B58C-DB8A-42DD-B4ED-3FDEF76B476A}" destId="{D7204A9A-38FF-4ED3-8863-A4A19B437F6D}" srcOrd="1" destOrd="0" presId="urn:microsoft.com/office/officeart/2009/3/layout/HorizontalOrganizationChart"/>
    <dgm:cxn modelId="{B4FE53A6-2B8B-4E8F-8686-FC0AFA7B648A}" type="presParOf" srcId="{D7204A9A-38FF-4ED3-8863-A4A19B437F6D}" destId="{10812C83-F416-4E98-8290-858F65F42183}" srcOrd="0" destOrd="0" presId="urn:microsoft.com/office/officeart/2009/3/layout/HorizontalOrganizationChart"/>
    <dgm:cxn modelId="{5F0558CC-51E4-4AB5-BA73-611E66927F81}" type="presParOf" srcId="{D7204A9A-38FF-4ED3-8863-A4A19B437F6D}" destId="{6245DDD3-8585-4339-82FB-E4C94CDCEC53}" srcOrd="1" destOrd="0" presId="urn:microsoft.com/office/officeart/2009/3/layout/HorizontalOrganizationChart"/>
    <dgm:cxn modelId="{A67E6768-48A5-42F3-B65C-29D7189845B1}" type="presParOf" srcId="{6245DDD3-8585-4339-82FB-E4C94CDCEC53}" destId="{FCAAAA8C-E74A-4B83-8BA1-0D8DB44F7CF1}" srcOrd="0" destOrd="0" presId="urn:microsoft.com/office/officeart/2009/3/layout/HorizontalOrganizationChart"/>
    <dgm:cxn modelId="{7C7BBB37-21DC-4010-8BF9-9D449841699F}" type="presParOf" srcId="{FCAAAA8C-E74A-4B83-8BA1-0D8DB44F7CF1}" destId="{C8259410-67FD-4AD2-8C6C-657FB37076BC}" srcOrd="0" destOrd="0" presId="urn:microsoft.com/office/officeart/2009/3/layout/HorizontalOrganizationChart"/>
    <dgm:cxn modelId="{F0A12C81-F536-4F10-B768-1172B148F02F}" type="presParOf" srcId="{FCAAAA8C-E74A-4B83-8BA1-0D8DB44F7CF1}" destId="{25FAC84E-0DF9-42E1-A78F-D5C206DF09D4}" srcOrd="1" destOrd="0" presId="urn:microsoft.com/office/officeart/2009/3/layout/HorizontalOrganizationChart"/>
    <dgm:cxn modelId="{350881B7-6C50-49C1-A777-4186842EB74D}" type="presParOf" srcId="{6245DDD3-8585-4339-82FB-E4C94CDCEC53}" destId="{7BA41B6A-884F-4998-9B59-E809EE35D1FE}" srcOrd="1" destOrd="0" presId="urn:microsoft.com/office/officeart/2009/3/layout/HorizontalOrganizationChart"/>
    <dgm:cxn modelId="{90A72460-BC6F-4628-9811-A41968A5EED1}" type="presParOf" srcId="{6245DDD3-8585-4339-82FB-E4C94CDCEC53}" destId="{EA6B0A9A-D1CA-4B92-A65B-D1C01FCAC433}" srcOrd="2" destOrd="0" presId="urn:microsoft.com/office/officeart/2009/3/layout/HorizontalOrganizationChart"/>
    <dgm:cxn modelId="{E732A9C2-0B33-40AA-84AF-1AF6F9308BA4}" type="presParOf" srcId="{D7204A9A-38FF-4ED3-8863-A4A19B437F6D}" destId="{F20CE483-5FFE-48C6-86D2-80EE492397BD}" srcOrd="2" destOrd="0" presId="urn:microsoft.com/office/officeart/2009/3/layout/HorizontalOrganizationChart"/>
    <dgm:cxn modelId="{1F641A3A-4D64-4C54-A44D-78884B1C9658}" type="presParOf" srcId="{D7204A9A-38FF-4ED3-8863-A4A19B437F6D}" destId="{76328ABD-A793-4E31-868A-3FADBF9E2D1E}" srcOrd="3" destOrd="0" presId="urn:microsoft.com/office/officeart/2009/3/layout/HorizontalOrganizationChart"/>
    <dgm:cxn modelId="{711AAFE7-BA01-438C-89E5-D1D1D421F1C9}" type="presParOf" srcId="{76328ABD-A793-4E31-868A-3FADBF9E2D1E}" destId="{266AFC04-6739-4F14-8117-04D9EE123283}" srcOrd="0" destOrd="0" presId="urn:microsoft.com/office/officeart/2009/3/layout/HorizontalOrganizationChart"/>
    <dgm:cxn modelId="{3FB070E9-8B99-4518-AB0F-1D076422C793}" type="presParOf" srcId="{266AFC04-6739-4F14-8117-04D9EE123283}" destId="{6C90D3D3-D76C-4844-BA1A-7BFE423C019D}" srcOrd="0" destOrd="0" presId="urn:microsoft.com/office/officeart/2009/3/layout/HorizontalOrganizationChart"/>
    <dgm:cxn modelId="{5DF47A6A-2E1E-4640-A98A-3A35B141E34D}" type="presParOf" srcId="{266AFC04-6739-4F14-8117-04D9EE123283}" destId="{034C82C6-1971-496A-9AEF-766BA92E010B}" srcOrd="1" destOrd="0" presId="urn:microsoft.com/office/officeart/2009/3/layout/HorizontalOrganizationChart"/>
    <dgm:cxn modelId="{D920DCA3-67A4-4163-B5FE-7D555BD7B5B9}" type="presParOf" srcId="{76328ABD-A793-4E31-868A-3FADBF9E2D1E}" destId="{07A90E87-C8D4-49AD-A3DB-F10E59D6ECF8}" srcOrd="1" destOrd="0" presId="urn:microsoft.com/office/officeart/2009/3/layout/HorizontalOrganizationChart"/>
    <dgm:cxn modelId="{8F4CB8EF-33B5-45F2-BBDD-FD5BE2F5F994}" type="presParOf" srcId="{76328ABD-A793-4E31-868A-3FADBF9E2D1E}" destId="{54D6F957-D828-4E83-B11D-B9320E176D6E}" srcOrd="2" destOrd="0" presId="urn:microsoft.com/office/officeart/2009/3/layout/HorizontalOrganizationChart"/>
    <dgm:cxn modelId="{9C3E760F-2789-4650-BB39-B31BEA69E13B}" type="presParOf" srcId="{D7204A9A-38FF-4ED3-8863-A4A19B437F6D}" destId="{277F0658-EE95-456E-8392-9D53FA88F9A9}" srcOrd="4" destOrd="0" presId="urn:microsoft.com/office/officeart/2009/3/layout/HorizontalOrganizationChart"/>
    <dgm:cxn modelId="{C6D6FDCC-5100-4CA9-99D9-D11EB8A22DE2}" type="presParOf" srcId="{D7204A9A-38FF-4ED3-8863-A4A19B437F6D}" destId="{A23F072D-BFB1-4676-9594-4B013753C406}" srcOrd="5" destOrd="0" presId="urn:microsoft.com/office/officeart/2009/3/layout/HorizontalOrganizationChart"/>
    <dgm:cxn modelId="{03988FB3-D919-4E41-8CB3-C837E6E86CF3}" type="presParOf" srcId="{A23F072D-BFB1-4676-9594-4B013753C406}" destId="{92FC7624-DBE7-49CA-9941-412D631952F1}" srcOrd="0" destOrd="0" presId="urn:microsoft.com/office/officeart/2009/3/layout/HorizontalOrganizationChart"/>
    <dgm:cxn modelId="{C627D572-E24F-49D4-B19C-595E1ABE2DE6}" type="presParOf" srcId="{92FC7624-DBE7-49CA-9941-412D631952F1}" destId="{4DBFCA83-9D57-41DC-8C44-FB287771520C}" srcOrd="0" destOrd="0" presId="urn:microsoft.com/office/officeart/2009/3/layout/HorizontalOrganizationChart"/>
    <dgm:cxn modelId="{1E633519-EBF8-4ABE-8EC6-5E374F269129}" type="presParOf" srcId="{92FC7624-DBE7-49CA-9941-412D631952F1}" destId="{DA27B59B-9923-4D76-8D56-FBD96CBF4D87}" srcOrd="1" destOrd="0" presId="urn:microsoft.com/office/officeart/2009/3/layout/HorizontalOrganizationChart"/>
    <dgm:cxn modelId="{1238456B-C1EB-4399-B0A8-C999B63E1AAB}" type="presParOf" srcId="{A23F072D-BFB1-4676-9594-4B013753C406}" destId="{1E74E1C9-D2A1-42B5-B2B2-6953FAB8BB78}" srcOrd="1" destOrd="0" presId="urn:microsoft.com/office/officeart/2009/3/layout/HorizontalOrganizationChart"/>
    <dgm:cxn modelId="{7A64F7B5-4DB7-4F38-A330-13D639719F06}" type="presParOf" srcId="{A23F072D-BFB1-4676-9594-4B013753C406}" destId="{151A55A7-57B6-4AA9-9065-21B381EBEA56}" srcOrd="2" destOrd="0" presId="urn:microsoft.com/office/officeart/2009/3/layout/HorizontalOrganizationChart"/>
    <dgm:cxn modelId="{86A6EDA6-41A9-48B3-B91F-60D4E17A006F}" type="presParOf" srcId="{9387B58C-DB8A-42DD-B4ED-3FDEF76B476A}" destId="{C487B2DE-11BB-47E4-96D4-2516B57BE15B}" srcOrd="2" destOrd="0" presId="urn:microsoft.com/office/officeart/2009/3/layout/HorizontalOrganizationChart"/>
    <dgm:cxn modelId="{1F0D49A0-DA05-4621-A2BE-BE81832FEA8D}" type="presParOf" srcId="{19D8ECC5-8E9E-49D0-9957-FE5FD1B5D47F}" destId="{6D64700E-C5F8-4821-9C28-AE48049EB1E9}" srcOrd="2" destOrd="0" presId="urn:microsoft.com/office/officeart/2009/3/layout/HorizontalOrganization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6E14A3A3-E2F7-4522-9146-E6D828C56DC1}" type="doc">
      <dgm:prSet loTypeId="urn:microsoft.com/office/officeart/2009/3/layout/HorizontalOrganizationChart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pPr latinLnBrk="1"/>
          <a:endParaRPr lang="ko-KR" altLang="en-US"/>
        </a:p>
      </dgm:t>
    </dgm:pt>
    <dgm:pt modelId="{08EA0C9A-C8D4-4FFF-8CE5-887D47C84D43}">
      <dgm:prSet phldrT="[텍스트]"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화이트박스 테스트 검증기준</a:t>
          </a:r>
        </a:p>
      </dgm:t>
    </dgm:pt>
    <dgm:pt modelId="{AEAB0797-D1B2-4701-BD94-4EFF72745D1D}" type="parTrans" cxnId="{1CE5A7F9-BDD4-4682-B750-3F65937A8DD5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56F6EBB7-DC46-4D17-BB6A-6058FD20001D}" type="sibTrans" cxnId="{1CE5A7F9-BDD4-4682-B750-3F65937A8DD5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082B3C96-5645-4E6D-8EB4-28EC9CF9D772}">
      <dgm:prSet phldrT="[텍스트]"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문장 검증 기준</a:t>
          </a:r>
        </a:p>
      </dgm:t>
    </dgm:pt>
    <dgm:pt modelId="{33BA6768-3501-40EC-9306-E52C92B1B41F}" type="parTrans" cxnId="{60DA2D9C-5FDA-4088-95B6-96066062FE10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024774BA-7253-4AA9-9FDD-A060573C5E5B}" type="sibTrans" cxnId="{60DA2D9C-5FDA-4088-95B6-96066062FE10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FA8305DE-3014-41BB-8C11-D18263371A43}">
      <dgm:prSet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분기 검증 기준</a:t>
          </a:r>
        </a:p>
      </dgm:t>
    </dgm:pt>
    <dgm:pt modelId="{8083FA71-627B-4625-AF45-5D05846307FC}" type="parTrans" cxnId="{81E01B5A-BA54-44F6-B389-041A2584187C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E33120AE-FAA5-4702-AD58-5B0962CED4D6}" type="sibTrans" cxnId="{81E01B5A-BA54-44F6-B389-041A2584187C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43DF755E-4258-4457-98D5-3CA528A5E7D7}">
      <dgm:prSet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조건 검증 기준</a:t>
          </a:r>
          <a:endParaRPr lang="en-US" altLang="ko-KR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577DBD0D-1504-489C-B9AD-262A45031AB0}" type="parTrans" cxnId="{58A1F2A6-551A-4D55-9183-44E4D037FB17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AC473B68-E835-4AAD-8F02-84BEDB4C94AF}" type="sibTrans" cxnId="{58A1F2A6-551A-4D55-9183-44E4D037FB17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A712BDD4-133A-45B1-88C8-6D2A1A567F2E}">
      <dgm:prSet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분기</a:t>
          </a:r>
          <a:r>
            <a:rPr lang="en-US" altLang="ko-KR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/</a:t>
          </a:r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조건 검증 기준</a:t>
          </a:r>
        </a:p>
      </dgm:t>
    </dgm:pt>
    <dgm:pt modelId="{6E6A02E0-35D8-4D7D-A539-2BD4FE4652CD}" type="parTrans" cxnId="{90EA7C0C-524A-467A-B6C2-1E18C2E10E13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7AE5D565-4E23-472B-878D-CED5ABCF95A1}" type="sibTrans" cxnId="{90EA7C0C-524A-467A-B6C2-1E18C2E10E13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B00353A5-D6E0-41E0-9D50-DC542EE22381}" type="pres">
      <dgm:prSet presAssocID="{6E14A3A3-E2F7-4522-9146-E6D828C56DC1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19D8ECC5-8E9E-49D0-9957-FE5FD1B5D47F}" type="pres">
      <dgm:prSet presAssocID="{08EA0C9A-C8D4-4FFF-8CE5-887D47C84D43}" presName="hierRoot1" presStyleCnt="0">
        <dgm:presLayoutVars>
          <dgm:hierBranch val="init"/>
        </dgm:presLayoutVars>
      </dgm:prSet>
      <dgm:spPr/>
    </dgm:pt>
    <dgm:pt modelId="{DB317F67-A33D-4279-BD7C-1182B8EF942C}" type="pres">
      <dgm:prSet presAssocID="{08EA0C9A-C8D4-4FFF-8CE5-887D47C84D43}" presName="rootComposite1" presStyleCnt="0"/>
      <dgm:spPr/>
    </dgm:pt>
    <dgm:pt modelId="{95001CB8-EDE6-427E-AC8F-6D8507832A59}" type="pres">
      <dgm:prSet presAssocID="{08EA0C9A-C8D4-4FFF-8CE5-887D47C84D43}" presName="rootText1" presStyleLbl="node0" presStyleIdx="0" presStyleCnt="1" custScaleX="150954" custScaleY="67645">
        <dgm:presLayoutVars>
          <dgm:chPref val="3"/>
        </dgm:presLayoutVars>
      </dgm:prSet>
      <dgm:spPr/>
    </dgm:pt>
    <dgm:pt modelId="{EA8144B0-9473-41C0-B43A-4752DF3FDBCA}" type="pres">
      <dgm:prSet presAssocID="{08EA0C9A-C8D4-4FFF-8CE5-887D47C84D43}" presName="rootConnector1" presStyleLbl="node1" presStyleIdx="0" presStyleCnt="0"/>
      <dgm:spPr/>
    </dgm:pt>
    <dgm:pt modelId="{6938587D-BF33-4FFC-BA3B-182FB29E1CF6}" type="pres">
      <dgm:prSet presAssocID="{08EA0C9A-C8D4-4FFF-8CE5-887D47C84D43}" presName="hierChild2" presStyleCnt="0"/>
      <dgm:spPr/>
    </dgm:pt>
    <dgm:pt modelId="{18BFD15D-6573-430F-B400-DB87242EE55A}" type="pres">
      <dgm:prSet presAssocID="{33BA6768-3501-40EC-9306-E52C92B1B41F}" presName="Name64" presStyleLbl="parChTrans1D2" presStyleIdx="0" presStyleCnt="4"/>
      <dgm:spPr/>
    </dgm:pt>
    <dgm:pt modelId="{FCEE22F2-26F6-4128-A9BF-22003C6716B0}" type="pres">
      <dgm:prSet presAssocID="{082B3C96-5645-4E6D-8EB4-28EC9CF9D772}" presName="hierRoot2" presStyleCnt="0">
        <dgm:presLayoutVars>
          <dgm:hierBranch val="init"/>
        </dgm:presLayoutVars>
      </dgm:prSet>
      <dgm:spPr/>
    </dgm:pt>
    <dgm:pt modelId="{42A67B44-A895-4023-9D18-0B02C778DA45}" type="pres">
      <dgm:prSet presAssocID="{082B3C96-5645-4E6D-8EB4-28EC9CF9D772}" presName="rootComposite" presStyleCnt="0"/>
      <dgm:spPr/>
    </dgm:pt>
    <dgm:pt modelId="{F4B966DB-A176-4DD1-8DAA-A471754E9B4B}" type="pres">
      <dgm:prSet presAssocID="{082B3C96-5645-4E6D-8EB4-28EC9CF9D772}" presName="rootText" presStyleLbl="node2" presStyleIdx="0" presStyleCnt="4" custScaleX="117851" custScaleY="67645" custLinFactNeighborX="1370" custLinFactNeighborY="49600">
        <dgm:presLayoutVars>
          <dgm:chPref val="3"/>
        </dgm:presLayoutVars>
      </dgm:prSet>
      <dgm:spPr/>
    </dgm:pt>
    <dgm:pt modelId="{A8FF78C2-531A-44F4-A307-7E35A822D9C0}" type="pres">
      <dgm:prSet presAssocID="{082B3C96-5645-4E6D-8EB4-28EC9CF9D772}" presName="rootConnector" presStyleLbl="node2" presStyleIdx="0" presStyleCnt="4"/>
      <dgm:spPr/>
    </dgm:pt>
    <dgm:pt modelId="{49356287-5BD1-4D3B-8404-F66B41B220E5}" type="pres">
      <dgm:prSet presAssocID="{082B3C96-5645-4E6D-8EB4-28EC9CF9D772}" presName="hierChild4" presStyleCnt="0"/>
      <dgm:spPr/>
    </dgm:pt>
    <dgm:pt modelId="{3CBEE4CA-02AA-41E4-A867-39CB7946A2A2}" type="pres">
      <dgm:prSet presAssocID="{082B3C96-5645-4E6D-8EB4-28EC9CF9D772}" presName="hierChild5" presStyleCnt="0"/>
      <dgm:spPr/>
    </dgm:pt>
    <dgm:pt modelId="{10812C83-F416-4E98-8290-858F65F42183}" type="pres">
      <dgm:prSet presAssocID="{8083FA71-627B-4625-AF45-5D05846307FC}" presName="Name64" presStyleLbl="parChTrans1D2" presStyleIdx="1" presStyleCnt="4"/>
      <dgm:spPr/>
    </dgm:pt>
    <dgm:pt modelId="{6245DDD3-8585-4339-82FB-E4C94CDCEC53}" type="pres">
      <dgm:prSet presAssocID="{FA8305DE-3014-41BB-8C11-D18263371A43}" presName="hierRoot2" presStyleCnt="0">
        <dgm:presLayoutVars>
          <dgm:hierBranch val="init"/>
        </dgm:presLayoutVars>
      </dgm:prSet>
      <dgm:spPr/>
    </dgm:pt>
    <dgm:pt modelId="{FCAAAA8C-E74A-4B83-8BA1-0D8DB44F7CF1}" type="pres">
      <dgm:prSet presAssocID="{FA8305DE-3014-41BB-8C11-D18263371A43}" presName="rootComposite" presStyleCnt="0"/>
      <dgm:spPr/>
    </dgm:pt>
    <dgm:pt modelId="{C8259410-67FD-4AD2-8C6C-657FB37076BC}" type="pres">
      <dgm:prSet presAssocID="{FA8305DE-3014-41BB-8C11-D18263371A43}" presName="rootText" presStyleLbl="node2" presStyleIdx="1" presStyleCnt="4" custScaleX="117851" custScaleY="67645" custLinFactNeighborX="1454" custLinFactNeighborY="20823">
        <dgm:presLayoutVars>
          <dgm:chPref val="3"/>
        </dgm:presLayoutVars>
      </dgm:prSet>
      <dgm:spPr/>
    </dgm:pt>
    <dgm:pt modelId="{25FAC84E-0DF9-42E1-A78F-D5C206DF09D4}" type="pres">
      <dgm:prSet presAssocID="{FA8305DE-3014-41BB-8C11-D18263371A43}" presName="rootConnector" presStyleLbl="node2" presStyleIdx="1" presStyleCnt="4"/>
      <dgm:spPr/>
    </dgm:pt>
    <dgm:pt modelId="{7BA41B6A-884F-4998-9B59-E809EE35D1FE}" type="pres">
      <dgm:prSet presAssocID="{FA8305DE-3014-41BB-8C11-D18263371A43}" presName="hierChild4" presStyleCnt="0"/>
      <dgm:spPr/>
    </dgm:pt>
    <dgm:pt modelId="{EA6B0A9A-D1CA-4B92-A65B-D1C01FCAC433}" type="pres">
      <dgm:prSet presAssocID="{FA8305DE-3014-41BB-8C11-D18263371A43}" presName="hierChild5" presStyleCnt="0"/>
      <dgm:spPr/>
    </dgm:pt>
    <dgm:pt modelId="{6BC7845F-C1A2-4ED5-9A3F-48411D07E472}" type="pres">
      <dgm:prSet presAssocID="{577DBD0D-1504-489C-B9AD-262A45031AB0}" presName="Name64" presStyleLbl="parChTrans1D2" presStyleIdx="2" presStyleCnt="4"/>
      <dgm:spPr/>
    </dgm:pt>
    <dgm:pt modelId="{C24C63D2-FFD5-450C-8D98-FDB0F623B5F7}" type="pres">
      <dgm:prSet presAssocID="{43DF755E-4258-4457-98D5-3CA528A5E7D7}" presName="hierRoot2" presStyleCnt="0">
        <dgm:presLayoutVars>
          <dgm:hierBranch val="init"/>
        </dgm:presLayoutVars>
      </dgm:prSet>
      <dgm:spPr/>
    </dgm:pt>
    <dgm:pt modelId="{D6649C68-4EFF-4108-A8E8-43EED502DBB0}" type="pres">
      <dgm:prSet presAssocID="{43DF755E-4258-4457-98D5-3CA528A5E7D7}" presName="rootComposite" presStyleCnt="0"/>
      <dgm:spPr/>
    </dgm:pt>
    <dgm:pt modelId="{059A1C15-2194-493D-8B49-8C90B97D30D4}" type="pres">
      <dgm:prSet presAssocID="{43DF755E-4258-4457-98D5-3CA528A5E7D7}" presName="rootText" presStyleLbl="node2" presStyleIdx="2" presStyleCnt="4" custScaleX="117851" custScaleY="66240" custLinFactNeighborX="1454" custLinFactNeighborY="-11358">
        <dgm:presLayoutVars>
          <dgm:chPref val="3"/>
        </dgm:presLayoutVars>
      </dgm:prSet>
      <dgm:spPr/>
    </dgm:pt>
    <dgm:pt modelId="{F059CC7D-0C04-4623-86F8-AA183CB2B634}" type="pres">
      <dgm:prSet presAssocID="{43DF755E-4258-4457-98D5-3CA528A5E7D7}" presName="rootConnector" presStyleLbl="node2" presStyleIdx="2" presStyleCnt="4"/>
      <dgm:spPr/>
    </dgm:pt>
    <dgm:pt modelId="{0DE7BC3A-96B7-4AC7-AE75-8973E7166C54}" type="pres">
      <dgm:prSet presAssocID="{43DF755E-4258-4457-98D5-3CA528A5E7D7}" presName="hierChild4" presStyleCnt="0"/>
      <dgm:spPr/>
    </dgm:pt>
    <dgm:pt modelId="{AD380CAD-AC19-422C-87CA-AA9BB1499175}" type="pres">
      <dgm:prSet presAssocID="{43DF755E-4258-4457-98D5-3CA528A5E7D7}" presName="hierChild5" presStyleCnt="0"/>
      <dgm:spPr/>
    </dgm:pt>
    <dgm:pt modelId="{E2B6B861-3E05-430B-94A9-4DE29D8B3C9A}" type="pres">
      <dgm:prSet presAssocID="{6E6A02E0-35D8-4D7D-A539-2BD4FE4652CD}" presName="Name64" presStyleLbl="parChTrans1D2" presStyleIdx="3" presStyleCnt="4"/>
      <dgm:spPr/>
    </dgm:pt>
    <dgm:pt modelId="{220C0E1E-6A4F-49F3-87D4-F826F950E1A6}" type="pres">
      <dgm:prSet presAssocID="{A712BDD4-133A-45B1-88C8-6D2A1A567F2E}" presName="hierRoot2" presStyleCnt="0">
        <dgm:presLayoutVars>
          <dgm:hierBranch val="init"/>
        </dgm:presLayoutVars>
      </dgm:prSet>
      <dgm:spPr/>
    </dgm:pt>
    <dgm:pt modelId="{4F61703C-2C6F-48B4-888B-80735D463D5F}" type="pres">
      <dgm:prSet presAssocID="{A712BDD4-133A-45B1-88C8-6D2A1A567F2E}" presName="rootComposite" presStyleCnt="0"/>
      <dgm:spPr/>
    </dgm:pt>
    <dgm:pt modelId="{ECD88596-B14D-4DA4-B28B-7C8E405683D3}" type="pres">
      <dgm:prSet presAssocID="{A712BDD4-133A-45B1-88C8-6D2A1A567F2E}" presName="rootText" presStyleLbl="node2" presStyleIdx="3" presStyleCnt="4" custScaleX="117851" custScaleY="66240" custLinFactNeighborX="1354" custLinFactNeighborY="-38181">
        <dgm:presLayoutVars>
          <dgm:chPref val="3"/>
        </dgm:presLayoutVars>
      </dgm:prSet>
      <dgm:spPr/>
    </dgm:pt>
    <dgm:pt modelId="{BAC43E2F-892F-4366-8BBC-C9691C745717}" type="pres">
      <dgm:prSet presAssocID="{A712BDD4-133A-45B1-88C8-6D2A1A567F2E}" presName="rootConnector" presStyleLbl="node2" presStyleIdx="3" presStyleCnt="4"/>
      <dgm:spPr/>
    </dgm:pt>
    <dgm:pt modelId="{7347319D-D1E8-471D-B857-3057B9F13C8C}" type="pres">
      <dgm:prSet presAssocID="{A712BDD4-133A-45B1-88C8-6D2A1A567F2E}" presName="hierChild4" presStyleCnt="0"/>
      <dgm:spPr/>
    </dgm:pt>
    <dgm:pt modelId="{0B9817BD-E228-4B51-9FAC-9E2B4F44B3E5}" type="pres">
      <dgm:prSet presAssocID="{A712BDD4-133A-45B1-88C8-6D2A1A567F2E}" presName="hierChild5" presStyleCnt="0"/>
      <dgm:spPr/>
    </dgm:pt>
    <dgm:pt modelId="{6D64700E-C5F8-4821-9C28-AE48049EB1E9}" type="pres">
      <dgm:prSet presAssocID="{08EA0C9A-C8D4-4FFF-8CE5-887D47C84D43}" presName="hierChild3" presStyleCnt="0"/>
      <dgm:spPr/>
    </dgm:pt>
  </dgm:ptLst>
  <dgm:cxnLst>
    <dgm:cxn modelId="{90EA7C0C-524A-467A-B6C2-1E18C2E10E13}" srcId="{08EA0C9A-C8D4-4FFF-8CE5-887D47C84D43}" destId="{A712BDD4-133A-45B1-88C8-6D2A1A567F2E}" srcOrd="3" destOrd="0" parTransId="{6E6A02E0-35D8-4D7D-A539-2BD4FE4652CD}" sibTransId="{7AE5D565-4E23-472B-878D-CED5ABCF95A1}"/>
    <dgm:cxn modelId="{F7E1E912-17A1-4EB0-BB69-D7A7B64012E3}" type="presOf" srcId="{6E14A3A3-E2F7-4522-9146-E6D828C56DC1}" destId="{B00353A5-D6E0-41E0-9D50-DC542EE22381}" srcOrd="0" destOrd="0" presId="urn:microsoft.com/office/officeart/2009/3/layout/HorizontalOrganizationChart"/>
    <dgm:cxn modelId="{F1705266-5671-4236-9908-E5F388C46F5A}" type="presOf" srcId="{08EA0C9A-C8D4-4FFF-8CE5-887D47C84D43}" destId="{95001CB8-EDE6-427E-AC8F-6D8507832A59}" srcOrd="0" destOrd="0" presId="urn:microsoft.com/office/officeart/2009/3/layout/HorizontalOrganizationChart"/>
    <dgm:cxn modelId="{861BD147-1573-4E07-868B-171F80FA67B2}" type="presOf" srcId="{577DBD0D-1504-489C-B9AD-262A45031AB0}" destId="{6BC7845F-C1A2-4ED5-9A3F-48411D07E472}" srcOrd="0" destOrd="0" presId="urn:microsoft.com/office/officeart/2009/3/layout/HorizontalOrganizationChart"/>
    <dgm:cxn modelId="{800C5659-27D1-4A67-A06E-5802C94EC5B6}" type="presOf" srcId="{082B3C96-5645-4E6D-8EB4-28EC9CF9D772}" destId="{A8FF78C2-531A-44F4-A307-7E35A822D9C0}" srcOrd="1" destOrd="0" presId="urn:microsoft.com/office/officeart/2009/3/layout/HorizontalOrganizationChart"/>
    <dgm:cxn modelId="{81E01B5A-BA54-44F6-B389-041A2584187C}" srcId="{08EA0C9A-C8D4-4FFF-8CE5-887D47C84D43}" destId="{FA8305DE-3014-41BB-8C11-D18263371A43}" srcOrd="1" destOrd="0" parTransId="{8083FA71-627B-4625-AF45-5D05846307FC}" sibTransId="{E33120AE-FAA5-4702-AD58-5B0962CED4D6}"/>
    <dgm:cxn modelId="{70C33180-8185-4398-927C-E827AADC9998}" type="presOf" srcId="{A712BDD4-133A-45B1-88C8-6D2A1A567F2E}" destId="{ECD88596-B14D-4DA4-B28B-7C8E405683D3}" srcOrd="0" destOrd="0" presId="urn:microsoft.com/office/officeart/2009/3/layout/HorizontalOrganizationChart"/>
    <dgm:cxn modelId="{B2AC3686-53F3-48EC-8A99-97BB18066FBA}" type="presOf" srcId="{6E6A02E0-35D8-4D7D-A539-2BD4FE4652CD}" destId="{E2B6B861-3E05-430B-94A9-4DE29D8B3C9A}" srcOrd="0" destOrd="0" presId="urn:microsoft.com/office/officeart/2009/3/layout/HorizontalOrganizationChart"/>
    <dgm:cxn modelId="{96DCFC8C-E77D-4C77-ABB3-3E730A1E6F9E}" type="presOf" srcId="{A712BDD4-133A-45B1-88C8-6D2A1A567F2E}" destId="{BAC43E2F-892F-4366-8BBC-C9691C745717}" srcOrd="1" destOrd="0" presId="urn:microsoft.com/office/officeart/2009/3/layout/HorizontalOrganizationChart"/>
    <dgm:cxn modelId="{D5C4CA92-EB40-4385-B963-EA46742A0B99}" type="presOf" srcId="{082B3C96-5645-4E6D-8EB4-28EC9CF9D772}" destId="{F4B966DB-A176-4DD1-8DAA-A471754E9B4B}" srcOrd="0" destOrd="0" presId="urn:microsoft.com/office/officeart/2009/3/layout/HorizontalOrganizationChart"/>
    <dgm:cxn modelId="{60DA2D9C-5FDA-4088-95B6-96066062FE10}" srcId="{08EA0C9A-C8D4-4FFF-8CE5-887D47C84D43}" destId="{082B3C96-5645-4E6D-8EB4-28EC9CF9D772}" srcOrd="0" destOrd="0" parTransId="{33BA6768-3501-40EC-9306-E52C92B1B41F}" sibTransId="{024774BA-7253-4AA9-9FDD-A060573C5E5B}"/>
    <dgm:cxn modelId="{623F429E-5B49-4864-B5F8-E0EBBF566377}" type="presOf" srcId="{FA8305DE-3014-41BB-8C11-D18263371A43}" destId="{25FAC84E-0DF9-42E1-A78F-D5C206DF09D4}" srcOrd="1" destOrd="0" presId="urn:microsoft.com/office/officeart/2009/3/layout/HorizontalOrganizationChart"/>
    <dgm:cxn modelId="{58A1F2A6-551A-4D55-9183-44E4D037FB17}" srcId="{08EA0C9A-C8D4-4FFF-8CE5-887D47C84D43}" destId="{43DF755E-4258-4457-98D5-3CA528A5E7D7}" srcOrd="2" destOrd="0" parTransId="{577DBD0D-1504-489C-B9AD-262A45031AB0}" sibTransId="{AC473B68-E835-4AAD-8F02-84BEDB4C94AF}"/>
    <dgm:cxn modelId="{B517CEA7-7C19-4215-8C9E-410CBF0A47CD}" type="presOf" srcId="{43DF755E-4258-4457-98D5-3CA528A5E7D7}" destId="{F059CC7D-0C04-4623-86F8-AA183CB2B634}" srcOrd="1" destOrd="0" presId="urn:microsoft.com/office/officeart/2009/3/layout/HorizontalOrganizationChart"/>
    <dgm:cxn modelId="{9F80EEAD-0421-40B6-A39B-F464BBD3B102}" type="presOf" srcId="{8083FA71-627B-4625-AF45-5D05846307FC}" destId="{10812C83-F416-4E98-8290-858F65F42183}" srcOrd="0" destOrd="0" presId="urn:microsoft.com/office/officeart/2009/3/layout/HorizontalOrganizationChart"/>
    <dgm:cxn modelId="{114B16C4-1EAC-4403-A708-2172B91B2111}" type="presOf" srcId="{43DF755E-4258-4457-98D5-3CA528A5E7D7}" destId="{059A1C15-2194-493D-8B49-8C90B97D30D4}" srcOrd="0" destOrd="0" presId="urn:microsoft.com/office/officeart/2009/3/layout/HorizontalOrganizationChart"/>
    <dgm:cxn modelId="{398E93CA-F023-4824-828E-515DC3AB649D}" type="presOf" srcId="{33BA6768-3501-40EC-9306-E52C92B1B41F}" destId="{18BFD15D-6573-430F-B400-DB87242EE55A}" srcOrd="0" destOrd="0" presId="urn:microsoft.com/office/officeart/2009/3/layout/HorizontalOrganizationChart"/>
    <dgm:cxn modelId="{05C5A7E0-5D6B-42B8-BC6F-948269D59881}" type="presOf" srcId="{FA8305DE-3014-41BB-8C11-D18263371A43}" destId="{C8259410-67FD-4AD2-8C6C-657FB37076BC}" srcOrd="0" destOrd="0" presId="urn:microsoft.com/office/officeart/2009/3/layout/HorizontalOrganizationChart"/>
    <dgm:cxn modelId="{1CE5A7F9-BDD4-4682-B750-3F65937A8DD5}" srcId="{6E14A3A3-E2F7-4522-9146-E6D828C56DC1}" destId="{08EA0C9A-C8D4-4FFF-8CE5-887D47C84D43}" srcOrd="0" destOrd="0" parTransId="{AEAB0797-D1B2-4701-BD94-4EFF72745D1D}" sibTransId="{56F6EBB7-DC46-4D17-BB6A-6058FD20001D}"/>
    <dgm:cxn modelId="{72CC8AFA-5D0D-46F0-8A9F-EA16E981AC08}" type="presOf" srcId="{08EA0C9A-C8D4-4FFF-8CE5-887D47C84D43}" destId="{EA8144B0-9473-41C0-B43A-4752DF3FDBCA}" srcOrd="1" destOrd="0" presId="urn:microsoft.com/office/officeart/2009/3/layout/HorizontalOrganizationChart"/>
    <dgm:cxn modelId="{BEEFC2A5-8612-43CA-82C8-BD91CD8691C2}" type="presParOf" srcId="{B00353A5-D6E0-41E0-9D50-DC542EE22381}" destId="{19D8ECC5-8E9E-49D0-9957-FE5FD1B5D47F}" srcOrd="0" destOrd="0" presId="urn:microsoft.com/office/officeart/2009/3/layout/HorizontalOrganizationChart"/>
    <dgm:cxn modelId="{25D6F9AA-64BC-4370-947C-AEFB3FE21729}" type="presParOf" srcId="{19D8ECC5-8E9E-49D0-9957-FE5FD1B5D47F}" destId="{DB317F67-A33D-4279-BD7C-1182B8EF942C}" srcOrd="0" destOrd="0" presId="urn:microsoft.com/office/officeart/2009/3/layout/HorizontalOrganizationChart"/>
    <dgm:cxn modelId="{48078EC0-606D-4253-B0AD-9CEF40176733}" type="presParOf" srcId="{DB317F67-A33D-4279-BD7C-1182B8EF942C}" destId="{95001CB8-EDE6-427E-AC8F-6D8507832A59}" srcOrd="0" destOrd="0" presId="urn:microsoft.com/office/officeart/2009/3/layout/HorizontalOrganizationChart"/>
    <dgm:cxn modelId="{344B1080-04A7-45CE-80FC-B783D2BCC7C1}" type="presParOf" srcId="{DB317F67-A33D-4279-BD7C-1182B8EF942C}" destId="{EA8144B0-9473-41C0-B43A-4752DF3FDBCA}" srcOrd="1" destOrd="0" presId="urn:microsoft.com/office/officeart/2009/3/layout/HorizontalOrganizationChart"/>
    <dgm:cxn modelId="{9053863A-8EDE-46A0-829C-1B277EBB78C6}" type="presParOf" srcId="{19D8ECC5-8E9E-49D0-9957-FE5FD1B5D47F}" destId="{6938587D-BF33-4FFC-BA3B-182FB29E1CF6}" srcOrd="1" destOrd="0" presId="urn:microsoft.com/office/officeart/2009/3/layout/HorizontalOrganizationChart"/>
    <dgm:cxn modelId="{D8F17CD8-DEB9-4B00-8500-C682F65B0E8C}" type="presParOf" srcId="{6938587D-BF33-4FFC-BA3B-182FB29E1CF6}" destId="{18BFD15D-6573-430F-B400-DB87242EE55A}" srcOrd="0" destOrd="0" presId="urn:microsoft.com/office/officeart/2009/3/layout/HorizontalOrganizationChart"/>
    <dgm:cxn modelId="{D98FD485-EE38-4A7A-9E49-110FD6C6393C}" type="presParOf" srcId="{6938587D-BF33-4FFC-BA3B-182FB29E1CF6}" destId="{FCEE22F2-26F6-4128-A9BF-22003C6716B0}" srcOrd="1" destOrd="0" presId="urn:microsoft.com/office/officeart/2009/3/layout/HorizontalOrganizationChart"/>
    <dgm:cxn modelId="{435D5BCA-9A97-488B-9F11-779FE61E5B9F}" type="presParOf" srcId="{FCEE22F2-26F6-4128-A9BF-22003C6716B0}" destId="{42A67B44-A895-4023-9D18-0B02C778DA45}" srcOrd="0" destOrd="0" presId="urn:microsoft.com/office/officeart/2009/3/layout/HorizontalOrganizationChart"/>
    <dgm:cxn modelId="{047DFAFE-4C6B-46E4-B6A6-A92D63CFBF92}" type="presParOf" srcId="{42A67B44-A895-4023-9D18-0B02C778DA45}" destId="{F4B966DB-A176-4DD1-8DAA-A471754E9B4B}" srcOrd="0" destOrd="0" presId="urn:microsoft.com/office/officeart/2009/3/layout/HorizontalOrganizationChart"/>
    <dgm:cxn modelId="{FB3B7E6F-663A-4A88-9DB7-1DA04EB930F0}" type="presParOf" srcId="{42A67B44-A895-4023-9D18-0B02C778DA45}" destId="{A8FF78C2-531A-44F4-A307-7E35A822D9C0}" srcOrd="1" destOrd="0" presId="urn:microsoft.com/office/officeart/2009/3/layout/HorizontalOrganizationChart"/>
    <dgm:cxn modelId="{1BB464A8-EA8D-4670-A694-FB2AB135629F}" type="presParOf" srcId="{FCEE22F2-26F6-4128-A9BF-22003C6716B0}" destId="{49356287-5BD1-4D3B-8404-F66B41B220E5}" srcOrd="1" destOrd="0" presId="urn:microsoft.com/office/officeart/2009/3/layout/HorizontalOrganizationChart"/>
    <dgm:cxn modelId="{2B0E2E48-3E16-4D28-9FEE-1AC34955A118}" type="presParOf" srcId="{FCEE22F2-26F6-4128-A9BF-22003C6716B0}" destId="{3CBEE4CA-02AA-41E4-A867-39CB7946A2A2}" srcOrd="2" destOrd="0" presId="urn:microsoft.com/office/officeart/2009/3/layout/HorizontalOrganizationChart"/>
    <dgm:cxn modelId="{28906924-D0B9-45F1-AD8F-0D071C63FBB8}" type="presParOf" srcId="{6938587D-BF33-4FFC-BA3B-182FB29E1CF6}" destId="{10812C83-F416-4E98-8290-858F65F42183}" srcOrd="2" destOrd="0" presId="urn:microsoft.com/office/officeart/2009/3/layout/HorizontalOrganizationChart"/>
    <dgm:cxn modelId="{25362FD1-6B3A-45D6-944F-AE8B13C79150}" type="presParOf" srcId="{6938587D-BF33-4FFC-BA3B-182FB29E1CF6}" destId="{6245DDD3-8585-4339-82FB-E4C94CDCEC53}" srcOrd="3" destOrd="0" presId="urn:microsoft.com/office/officeart/2009/3/layout/HorizontalOrganizationChart"/>
    <dgm:cxn modelId="{A29258F7-87F2-4226-9067-0E7330D0AD00}" type="presParOf" srcId="{6245DDD3-8585-4339-82FB-E4C94CDCEC53}" destId="{FCAAAA8C-E74A-4B83-8BA1-0D8DB44F7CF1}" srcOrd="0" destOrd="0" presId="urn:microsoft.com/office/officeart/2009/3/layout/HorizontalOrganizationChart"/>
    <dgm:cxn modelId="{EAD8DD56-FD27-4D67-900A-65A542E0AE72}" type="presParOf" srcId="{FCAAAA8C-E74A-4B83-8BA1-0D8DB44F7CF1}" destId="{C8259410-67FD-4AD2-8C6C-657FB37076BC}" srcOrd="0" destOrd="0" presId="urn:microsoft.com/office/officeart/2009/3/layout/HorizontalOrganizationChart"/>
    <dgm:cxn modelId="{3323DC38-43AB-400D-AA80-33D57B6BEA9C}" type="presParOf" srcId="{FCAAAA8C-E74A-4B83-8BA1-0D8DB44F7CF1}" destId="{25FAC84E-0DF9-42E1-A78F-D5C206DF09D4}" srcOrd="1" destOrd="0" presId="urn:microsoft.com/office/officeart/2009/3/layout/HorizontalOrganizationChart"/>
    <dgm:cxn modelId="{46FD509B-343B-4669-A9CE-0F2B24D563F5}" type="presParOf" srcId="{6245DDD3-8585-4339-82FB-E4C94CDCEC53}" destId="{7BA41B6A-884F-4998-9B59-E809EE35D1FE}" srcOrd="1" destOrd="0" presId="urn:microsoft.com/office/officeart/2009/3/layout/HorizontalOrganizationChart"/>
    <dgm:cxn modelId="{F3322364-C2EE-4CEE-9302-6FDD7799A48D}" type="presParOf" srcId="{6245DDD3-8585-4339-82FB-E4C94CDCEC53}" destId="{EA6B0A9A-D1CA-4B92-A65B-D1C01FCAC433}" srcOrd="2" destOrd="0" presId="urn:microsoft.com/office/officeart/2009/3/layout/HorizontalOrganizationChart"/>
    <dgm:cxn modelId="{DBFBE652-C8F7-49B9-8710-C221D73D68D3}" type="presParOf" srcId="{6938587D-BF33-4FFC-BA3B-182FB29E1CF6}" destId="{6BC7845F-C1A2-4ED5-9A3F-48411D07E472}" srcOrd="4" destOrd="0" presId="urn:microsoft.com/office/officeart/2009/3/layout/HorizontalOrganizationChart"/>
    <dgm:cxn modelId="{6355B23F-AF66-4283-AA37-24ADF883A17C}" type="presParOf" srcId="{6938587D-BF33-4FFC-BA3B-182FB29E1CF6}" destId="{C24C63D2-FFD5-450C-8D98-FDB0F623B5F7}" srcOrd="5" destOrd="0" presId="urn:microsoft.com/office/officeart/2009/3/layout/HorizontalOrganizationChart"/>
    <dgm:cxn modelId="{4DD06B31-BD39-47FF-8949-9F980173EABC}" type="presParOf" srcId="{C24C63D2-FFD5-450C-8D98-FDB0F623B5F7}" destId="{D6649C68-4EFF-4108-A8E8-43EED502DBB0}" srcOrd="0" destOrd="0" presId="urn:microsoft.com/office/officeart/2009/3/layout/HorizontalOrganizationChart"/>
    <dgm:cxn modelId="{0CE1C295-3F99-4202-93DC-70611470A71A}" type="presParOf" srcId="{D6649C68-4EFF-4108-A8E8-43EED502DBB0}" destId="{059A1C15-2194-493D-8B49-8C90B97D30D4}" srcOrd="0" destOrd="0" presId="urn:microsoft.com/office/officeart/2009/3/layout/HorizontalOrganizationChart"/>
    <dgm:cxn modelId="{B2553302-7E1B-40AA-88E5-7E95EF6047E3}" type="presParOf" srcId="{D6649C68-4EFF-4108-A8E8-43EED502DBB0}" destId="{F059CC7D-0C04-4623-86F8-AA183CB2B634}" srcOrd="1" destOrd="0" presId="urn:microsoft.com/office/officeart/2009/3/layout/HorizontalOrganizationChart"/>
    <dgm:cxn modelId="{6F2E43AB-F726-4114-A4FA-55357B709714}" type="presParOf" srcId="{C24C63D2-FFD5-450C-8D98-FDB0F623B5F7}" destId="{0DE7BC3A-96B7-4AC7-AE75-8973E7166C54}" srcOrd="1" destOrd="0" presId="urn:microsoft.com/office/officeart/2009/3/layout/HorizontalOrganizationChart"/>
    <dgm:cxn modelId="{84A91B75-B667-41C9-B5DF-E54124F48A96}" type="presParOf" srcId="{C24C63D2-FFD5-450C-8D98-FDB0F623B5F7}" destId="{AD380CAD-AC19-422C-87CA-AA9BB1499175}" srcOrd="2" destOrd="0" presId="urn:microsoft.com/office/officeart/2009/3/layout/HorizontalOrganizationChart"/>
    <dgm:cxn modelId="{BB3F53D1-72C2-44B7-AE99-C9DC504D3A8D}" type="presParOf" srcId="{6938587D-BF33-4FFC-BA3B-182FB29E1CF6}" destId="{E2B6B861-3E05-430B-94A9-4DE29D8B3C9A}" srcOrd="6" destOrd="0" presId="urn:microsoft.com/office/officeart/2009/3/layout/HorizontalOrganizationChart"/>
    <dgm:cxn modelId="{D985E59D-B6D1-4484-B6B7-18C85FACF283}" type="presParOf" srcId="{6938587D-BF33-4FFC-BA3B-182FB29E1CF6}" destId="{220C0E1E-6A4F-49F3-87D4-F826F950E1A6}" srcOrd="7" destOrd="0" presId="urn:microsoft.com/office/officeart/2009/3/layout/HorizontalOrganizationChart"/>
    <dgm:cxn modelId="{566913DF-2ADF-4FD6-968F-E3C5BF282936}" type="presParOf" srcId="{220C0E1E-6A4F-49F3-87D4-F826F950E1A6}" destId="{4F61703C-2C6F-48B4-888B-80735D463D5F}" srcOrd="0" destOrd="0" presId="urn:microsoft.com/office/officeart/2009/3/layout/HorizontalOrganizationChart"/>
    <dgm:cxn modelId="{2BAD10E0-51D2-4DE9-BADE-26426EA03945}" type="presParOf" srcId="{4F61703C-2C6F-48B4-888B-80735D463D5F}" destId="{ECD88596-B14D-4DA4-B28B-7C8E405683D3}" srcOrd="0" destOrd="0" presId="urn:microsoft.com/office/officeart/2009/3/layout/HorizontalOrganizationChart"/>
    <dgm:cxn modelId="{645F35D1-ABE4-442B-B9AB-64B279D239E9}" type="presParOf" srcId="{4F61703C-2C6F-48B4-888B-80735D463D5F}" destId="{BAC43E2F-892F-4366-8BBC-C9691C745717}" srcOrd="1" destOrd="0" presId="urn:microsoft.com/office/officeart/2009/3/layout/HorizontalOrganizationChart"/>
    <dgm:cxn modelId="{516328A0-B86E-49D3-9EA2-C184600C1925}" type="presParOf" srcId="{220C0E1E-6A4F-49F3-87D4-F826F950E1A6}" destId="{7347319D-D1E8-471D-B857-3057B9F13C8C}" srcOrd="1" destOrd="0" presId="urn:microsoft.com/office/officeart/2009/3/layout/HorizontalOrganizationChart"/>
    <dgm:cxn modelId="{415A8CE1-9B1B-47E1-8079-44D65A1DFC04}" type="presParOf" srcId="{220C0E1E-6A4F-49F3-87D4-F826F950E1A6}" destId="{0B9817BD-E228-4B51-9FAC-9E2B4F44B3E5}" srcOrd="2" destOrd="0" presId="urn:microsoft.com/office/officeart/2009/3/layout/HorizontalOrganizationChart"/>
    <dgm:cxn modelId="{1F0D49A0-DA05-4621-A2BE-BE81832FEA8D}" type="presParOf" srcId="{19D8ECC5-8E9E-49D0-9957-FE5FD1B5D47F}" destId="{6D64700E-C5F8-4821-9C28-AE48049EB1E9}" srcOrd="2" destOrd="0" presId="urn:microsoft.com/office/officeart/2009/3/layout/HorizontalOrganizationChart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6E14A3A3-E2F7-4522-9146-E6D828C56DC1}" type="doc">
      <dgm:prSet loTypeId="urn:microsoft.com/office/officeart/2009/3/layout/HorizontalOrganizationChart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pPr latinLnBrk="1"/>
          <a:endParaRPr lang="ko-KR" altLang="en-US"/>
        </a:p>
      </dgm:t>
    </dgm:pt>
    <dgm:pt modelId="{08EA0C9A-C8D4-4FFF-8CE5-887D47C84D43}">
      <dgm:prSet phldrT="[텍스트]" custT="1"/>
      <dgm:spPr>
        <a:solidFill>
          <a:schemeClr val="accent4">
            <a:lumMod val="20000"/>
            <a:lumOff val="80000"/>
          </a:schemeClr>
        </a:solidFill>
      </dgm:spPr>
      <dgm:t>
        <a:bodyPr/>
        <a:lstStyle/>
        <a:p>
          <a:pPr latinLnBrk="1"/>
          <a:r>
            <a:rPr lang="en-US" altLang="ko-KR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COCOMO </a:t>
          </a:r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개발 유형</a:t>
          </a:r>
        </a:p>
      </dgm:t>
    </dgm:pt>
    <dgm:pt modelId="{AEAB0797-D1B2-4701-BD94-4EFF72745D1D}" type="parTrans" cxnId="{1CE5A7F9-BDD4-4682-B750-3F65937A8DD5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56F6EBB7-DC46-4D17-BB6A-6058FD20001D}" type="sibTrans" cxnId="{1CE5A7F9-BDD4-4682-B750-3F65937A8DD5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082B3C96-5645-4E6D-8EB4-28EC9CF9D772}">
      <dgm:prSet phldrT="[텍스트]"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조직형</a:t>
          </a:r>
        </a:p>
      </dgm:t>
    </dgm:pt>
    <dgm:pt modelId="{33BA6768-3501-40EC-9306-E52C92B1B41F}" type="parTrans" cxnId="{60DA2D9C-5FDA-4088-95B6-96066062FE10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024774BA-7253-4AA9-9FDD-A060573C5E5B}" type="sibTrans" cxnId="{60DA2D9C-5FDA-4088-95B6-96066062FE10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FA8305DE-3014-41BB-8C11-D18263371A43}">
      <dgm:prSet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반분리형</a:t>
          </a:r>
        </a:p>
      </dgm:t>
    </dgm:pt>
    <dgm:pt modelId="{8083FA71-627B-4625-AF45-5D05846307FC}" type="parTrans" cxnId="{81E01B5A-BA54-44F6-B389-041A2584187C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E33120AE-FAA5-4702-AD58-5B0962CED4D6}" type="sibTrans" cxnId="{81E01B5A-BA54-44F6-B389-041A2584187C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43DF755E-4258-4457-98D5-3CA528A5E7D7}">
      <dgm:prSet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내장형</a:t>
          </a:r>
          <a:endParaRPr lang="en-US" altLang="ko-KR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577DBD0D-1504-489C-B9AD-262A45031AB0}" type="parTrans" cxnId="{58A1F2A6-551A-4D55-9183-44E4D037FB17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AC473B68-E835-4AAD-8F02-84BEDB4C94AF}" type="sibTrans" cxnId="{58A1F2A6-551A-4D55-9183-44E4D037FB17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B00353A5-D6E0-41E0-9D50-DC542EE22381}" type="pres">
      <dgm:prSet presAssocID="{6E14A3A3-E2F7-4522-9146-E6D828C56DC1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19D8ECC5-8E9E-49D0-9957-FE5FD1B5D47F}" type="pres">
      <dgm:prSet presAssocID="{08EA0C9A-C8D4-4FFF-8CE5-887D47C84D43}" presName="hierRoot1" presStyleCnt="0">
        <dgm:presLayoutVars>
          <dgm:hierBranch val="init"/>
        </dgm:presLayoutVars>
      </dgm:prSet>
      <dgm:spPr/>
    </dgm:pt>
    <dgm:pt modelId="{DB317F67-A33D-4279-BD7C-1182B8EF942C}" type="pres">
      <dgm:prSet presAssocID="{08EA0C9A-C8D4-4FFF-8CE5-887D47C84D43}" presName="rootComposite1" presStyleCnt="0"/>
      <dgm:spPr/>
    </dgm:pt>
    <dgm:pt modelId="{95001CB8-EDE6-427E-AC8F-6D8507832A59}" type="pres">
      <dgm:prSet presAssocID="{08EA0C9A-C8D4-4FFF-8CE5-887D47C84D43}" presName="rootText1" presStyleLbl="node0" presStyleIdx="0" presStyleCnt="1" custScaleX="88219" custScaleY="51531">
        <dgm:presLayoutVars>
          <dgm:chPref val="3"/>
        </dgm:presLayoutVars>
      </dgm:prSet>
      <dgm:spPr/>
    </dgm:pt>
    <dgm:pt modelId="{EA8144B0-9473-41C0-B43A-4752DF3FDBCA}" type="pres">
      <dgm:prSet presAssocID="{08EA0C9A-C8D4-4FFF-8CE5-887D47C84D43}" presName="rootConnector1" presStyleLbl="node1" presStyleIdx="0" presStyleCnt="0"/>
      <dgm:spPr/>
    </dgm:pt>
    <dgm:pt modelId="{6938587D-BF33-4FFC-BA3B-182FB29E1CF6}" type="pres">
      <dgm:prSet presAssocID="{08EA0C9A-C8D4-4FFF-8CE5-887D47C84D43}" presName="hierChild2" presStyleCnt="0"/>
      <dgm:spPr/>
    </dgm:pt>
    <dgm:pt modelId="{18BFD15D-6573-430F-B400-DB87242EE55A}" type="pres">
      <dgm:prSet presAssocID="{33BA6768-3501-40EC-9306-E52C92B1B41F}" presName="Name64" presStyleLbl="parChTrans1D2" presStyleIdx="0" presStyleCnt="3"/>
      <dgm:spPr/>
    </dgm:pt>
    <dgm:pt modelId="{FCEE22F2-26F6-4128-A9BF-22003C6716B0}" type="pres">
      <dgm:prSet presAssocID="{082B3C96-5645-4E6D-8EB4-28EC9CF9D772}" presName="hierRoot2" presStyleCnt="0">
        <dgm:presLayoutVars>
          <dgm:hierBranch val="init"/>
        </dgm:presLayoutVars>
      </dgm:prSet>
      <dgm:spPr/>
    </dgm:pt>
    <dgm:pt modelId="{42A67B44-A895-4023-9D18-0B02C778DA45}" type="pres">
      <dgm:prSet presAssocID="{082B3C96-5645-4E6D-8EB4-28EC9CF9D772}" presName="rootComposite" presStyleCnt="0"/>
      <dgm:spPr/>
    </dgm:pt>
    <dgm:pt modelId="{F4B966DB-A176-4DD1-8DAA-A471754E9B4B}" type="pres">
      <dgm:prSet presAssocID="{082B3C96-5645-4E6D-8EB4-28EC9CF9D772}" presName="rootText" presStyleLbl="node2" presStyleIdx="0" presStyleCnt="3" custScaleX="60490" custScaleY="47939" custLinFactNeighborX="1370" custLinFactNeighborY="49600">
        <dgm:presLayoutVars>
          <dgm:chPref val="3"/>
        </dgm:presLayoutVars>
      </dgm:prSet>
      <dgm:spPr/>
    </dgm:pt>
    <dgm:pt modelId="{A8FF78C2-531A-44F4-A307-7E35A822D9C0}" type="pres">
      <dgm:prSet presAssocID="{082B3C96-5645-4E6D-8EB4-28EC9CF9D772}" presName="rootConnector" presStyleLbl="node2" presStyleIdx="0" presStyleCnt="3"/>
      <dgm:spPr/>
    </dgm:pt>
    <dgm:pt modelId="{49356287-5BD1-4D3B-8404-F66B41B220E5}" type="pres">
      <dgm:prSet presAssocID="{082B3C96-5645-4E6D-8EB4-28EC9CF9D772}" presName="hierChild4" presStyleCnt="0"/>
      <dgm:spPr/>
    </dgm:pt>
    <dgm:pt modelId="{3CBEE4CA-02AA-41E4-A867-39CB7946A2A2}" type="pres">
      <dgm:prSet presAssocID="{082B3C96-5645-4E6D-8EB4-28EC9CF9D772}" presName="hierChild5" presStyleCnt="0"/>
      <dgm:spPr/>
    </dgm:pt>
    <dgm:pt modelId="{10812C83-F416-4E98-8290-858F65F42183}" type="pres">
      <dgm:prSet presAssocID="{8083FA71-627B-4625-AF45-5D05846307FC}" presName="Name64" presStyleLbl="parChTrans1D2" presStyleIdx="1" presStyleCnt="3"/>
      <dgm:spPr/>
    </dgm:pt>
    <dgm:pt modelId="{6245DDD3-8585-4339-82FB-E4C94CDCEC53}" type="pres">
      <dgm:prSet presAssocID="{FA8305DE-3014-41BB-8C11-D18263371A43}" presName="hierRoot2" presStyleCnt="0">
        <dgm:presLayoutVars>
          <dgm:hierBranch val="init"/>
        </dgm:presLayoutVars>
      </dgm:prSet>
      <dgm:spPr/>
    </dgm:pt>
    <dgm:pt modelId="{FCAAAA8C-E74A-4B83-8BA1-0D8DB44F7CF1}" type="pres">
      <dgm:prSet presAssocID="{FA8305DE-3014-41BB-8C11-D18263371A43}" presName="rootComposite" presStyleCnt="0"/>
      <dgm:spPr/>
    </dgm:pt>
    <dgm:pt modelId="{C8259410-67FD-4AD2-8C6C-657FB37076BC}" type="pres">
      <dgm:prSet presAssocID="{FA8305DE-3014-41BB-8C11-D18263371A43}" presName="rootText" presStyleLbl="node2" presStyleIdx="1" presStyleCnt="3" custScaleX="60490" custScaleY="47939" custLinFactNeighborX="1454" custLinFactNeighborY="20823">
        <dgm:presLayoutVars>
          <dgm:chPref val="3"/>
        </dgm:presLayoutVars>
      </dgm:prSet>
      <dgm:spPr/>
    </dgm:pt>
    <dgm:pt modelId="{25FAC84E-0DF9-42E1-A78F-D5C206DF09D4}" type="pres">
      <dgm:prSet presAssocID="{FA8305DE-3014-41BB-8C11-D18263371A43}" presName="rootConnector" presStyleLbl="node2" presStyleIdx="1" presStyleCnt="3"/>
      <dgm:spPr/>
    </dgm:pt>
    <dgm:pt modelId="{7BA41B6A-884F-4998-9B59-E809EE35D1FE}" type="pres">
      <dgm:prSet presAssocID="{FA8305DE-3014-41BB-8C11-D18263371A43}" presName="hierChild4" presStyleCnt="0"/>
      <dgm:spPr/>
    </dgm:pt>
    <dgm:pt modelId="{EA6B0A9A-D1CA-4B92-A65B-D1C01FCAC433}" type="pres">
      <dgm:prSet presAssocID="{FA8305DE-3014-41BB-8C11-D18263371A43}" presName="hierChild5" presStyleCnt="0"/>
      <dgm:spPr/>
    </dgm:pt>
    <dgm:pt modelId="{6BC7845F-C1A2-4ED5-9A3F-48411D07E472}" type="pres">
      <dgm:prSet presAssocID="{577DBD0D-1504-489C-B9AD-262A45031AB0}" presName="Name64" presStyleLbl="parChTrans1D2" presStyleIdx="2" presStyleCnt="3"/>
      <dgm:spPr/>
    </dgm:pt>
    <dgm:pt modelId="{C24C63D2-FFD5-450C-8D98-FDB0F623B5F7}" type="pres">
      <dgm:prSet presAssocID="{43DF755E-4258-4457-98D5-3CA528A5E7D7}" presName="hierRoot2" presStyleCnt="0">
        <dgm:presLayoutVars>
          <dgm:hierBranch val="init"/>
        </dgm:presLayoutVars>
      </dgm:prSet>
      <dgm:spPr/>
    </dgm:pt>
    <dgm:pt modelId="{D6649C68-4EFF-4108-A8E8-43EED502DBB0}" type="pres">
      <dgm:prSet presAssocID="{43DF755E-4258-4457-98D5-3CA528A5E7D7}" presName="rootComposite" presStyleCnt="0"/>
      <dgm:spPr/>
    </dgm:pt>
    <dgm:pt modelId="{059A1C15-2194-493D-8B49-8C90B97D30D4}" type="pres">
      <dgm:prSet presAssocID="{43DF755E-4258-4457-98D5-3CA528A5E7D7}" presName="rootText" presStyleLbl="node2" presStyleIdx="2" presStyleCnt="3" custScaleX="60490" custScaleY="46944" custLinFactNeighborX="1454" custLinFactNeighborY="-11358">
        <dgm:presLayoutVars>
          <dgm:chPref val="3"/>
        </dgm:presLayoutVars>
      </dgm:prSet>
      <dgm:spPr/>
    </dgm:pt>
    <dgm:pt modelId="{F059CC7D-0C04-4623-86F8-AA183CB2B634}" type="pres">
      <dgm:prSet presAssocID="{43DF755E-4258-4457-98D5-3CA528A5E7D7}" presName="rootConnector" presStyleLbl="node2" presStyleIdx="2" presStyleCnt="3"/>
      <dgm:spPr/>
    </dgm:pt>
    <dgm:pt modelId="{0DE7BC3A-96B7-4AC7-AE75-8973E7166C54}" type="pres">
      <dgm:prSet presAssocID="{43DF755E-4258-4457-98D5-3CA528A5E7D7}" presName="hierChild4" presStyleCnt="0"/>
      <dgm:spPr/>
    </dgm:pt>
    <dgm:pt modelId="{AD380CAD-AC19-422C-87CA-AA9BB1499175}" type="pres">
      <dgm:prSet presAssocID="{43DF755E-4258-4457-98D5-3CA528A5E7D7}" presName="hierChild5" presStyleCnt="0"/>
      <dgm:spPr/>
    </dgm:pt>
    <dgm:pt modelId="{6D64700E-C5F8-4821-9C28-AE48049EB1E9}" type="pres">
      <dgm:prSet presAssocID="{08EA0C9A-C8D4-4FFF-8CE5-887D47C84D43}" presName="hierChild3" presStyleCnt="0"/>
      <dgm:spPr/>
    </dgm:pt>
  </dgm:ptLst>
  <dgm:cxnLst>
    <dgm:cxn modelId="{F7E1E912-17A1-4EB0-BB69-D7A7B64012E3}" type="presOf" srcId="{6E14A3A3-E2F7-4522-9146-E6D828C56DC1}" destId="{B00353A5-D6E0-41E0-9D50-DC542EE22381}" srcOrd="0" destOrd="0" presId="urn:microsoft.com/office/officeart/2009/3/layout/HorizontalOrganizationChart"/>
    <dgm:cxn modelId="{F1705266-5671-4236-9908-E5F388C46F5A}" type="presOf" srcId="{08EA0C9A-C8D4-4FFF-8CE5-887D47C84D43}" destId="{95001CB8-EDE6-427E-AC8F-6D8507832A59}" srcOrd="0" destOrd="0" presId="urn:microsoft.com/office/officeart/2009/3/layout/HorizontalOrganizationChart"/>
    <dgm:cxn modelId="{861BD147-1573-4E07-868B-171F80FA67B2}" type="presOf" srcId="{577DBD0D-1504-489C-B9AD-262A45031AB0}" destId="{6BC7845F-C1A2-4ED5-9A3F-48411D07E472}" srcOrd="0" destOrd="0" presId="urn:microsoft.com/office/officeart/2009/3/layout/HorizontalOrganizationChart"/>
    <dgm:cxn modelId="{800C5659-27D1-4A67-A06E-5802C94EC5B6}" type="presOf" srcId="{082B3C96-5645-4E6D-8EB4-28EC9CF9D772}" destId="{A8FF78C2-531A-44F4-A307-7E35A822D9C0}" srcOrd="1" destOrd="0" presId="urn:microsoft.com/office/officeart/2009/3/layout/HorizontalOrganizationChart"/>
    <dgm:cxn modelId="{81E01B5A-BA54-44F6-B389-041A2584187C}" srcId="{08EA0C9A-C8D4-4FFF-8CE5-887D47C84D43}" destId="{FA8305DE-3014-41BB-8C11-D18263371A43}" srcOrd="1" destOrd="0" parTransId="{8083FA71-627B-4625-AF45-5D05846307FC}" sibTransId="{E33120AE-FAA5-4702-AD58-5B0962CED4D6}"/>
    <dgm:cxn modelId="{D5C4CA92-EB40-4385-B963-EA46742A0B99}" type="presOf" srcId="{082B3C96-5645-4E6D-8EB4-28EC9CF9D772}" destId="{F4B966DB-A176-4DD1-8DAA-A471754E9B4B}" srcOrd="0" destOrd="0" presId="urn:microsoft.com/office/officeart/2009/3/layout/HorizontalOrganizationChart"/>
    <dgm:cxn modelId="{60DA2D9C-5FDA-4088-95B6-96066062FE10}" srcId="{08EA0C9A-C8D4-4FFF-8CE5-887D47C84D43}" destId="{082B3C96-5645-4E6D-8EB4-28EC9CF9D772}" srcOrd="0" destOrd="0" parTransId="{33BA6768-3501-40EC-9306-E52C92B1B41F}" sibTransId="{024774BA-7253-4AA9-9FDD-A060573C5E5B}"/>
    <dgm:cxn modelId="{623F429E-5B49-4864-B5F8-E0EBBF566377}" type="presOf" srcId="{FA8305DE-3014-41BB-8C11-D18263371A43}" destId="{25FAC84E-0DF9-42E1-A78F-D5C206DF09D4}" srcOrd="1" destOrd="0" presId="urn:microsoft.com/office/officeart/2009/3/layout/HorizontalOrganizationChart"/>
    <dgm:cxn modelId="{58A1F2A6-551A-4D55-9183-44E4D037FB17}" srcId="{08EA0C9A-C8D4-4FFF-8CE5-887D47C84D43}" destId="{43DF755E-4258-4457-98D5-3CA528A5E7D7}" srcOrd="2" destOrd="0" parTransId="{577DBD0D-1504-489C-B9AD-262A45031AB0}" sibTransId="{AC473B68-E835-4AAD-8F02-84BEDB4C94AF}"/>
    <dgm:cxn modelId="{B517CEA7-7C19-4215-8C9E-410CBF0A47CD}" type="presOf" srcId="{43DF755E-4258-4457-98D5-3CA528A5E7D7}" destId="{F059CC7D-0C04-4623-86F8-AA183CB2B634}" srcOrd="1" destOrd="0" presId="urn:microsoft.com/office/officeart/2009/3/layout/HorizontalOrganizationChart"/>
    <dgm:cxn modelId="{9F80EEAD-0421-40B6-A39B-F464BBD3B102}" type="presOf" srcId="{8083FA71-627B-4625-AF45-5D05846307FC}" destId="{10812C83-F416-4E98-8290-858F65F42183}" srcOrd="0" destOrd="0" presId="urn:microsoft.com/office/officeart/2009/3/layout/HorizontalOrganizationChart"/>
    <dgm:cxn modelId="{114B16C4-1EAC-4403-A708-2172B91B2111}" type="presOf" srcId="{43DF755E-4258-4457-98D5-3CA528A5E7D7}" destId="{059A1C15-2194-493D-8B49-8C90B97D30D4}" srcOrd="0" destOrd="0" presId="urn:microsoft.com/office/officeart/2009/3/layout/HorizontalOrganizationChart"/>
    <dgm:cxn modelId="{398E93CA-F023-4824-828E-515DC3AB649D}" type="presOf" srcId="{33BA6768-3501-40EC-9306-E52C92B1B41F}" destId="{18BFD15D-6573-430F-B400-DB87242EE55A}" srcOrd="0" destOrd="0" presId="urn:microsoft.com/office/officeart/2009/3/layout/HorizontalOrganizationChart"/>
    <dgm:cxn modelId="{05C5A7E0-5D6B-42B8-BC6F-948269D59881}" type="presOf" srcId="{FA8305DE-3014-41BB-8C11-D18263371A43}" destId="{C8259410-67FD-4AD2-8C6C-657FB37076BC}" srcOrd="0" destOrd="0" presId="urn:microsoft.com/office/officeart/2009/3/layout/HorizontalOrganizationChart"/>
    <dgm:cxn modelId="{1CE5A7F9-BDD4-4682-B750-3F65937A8DD5}" srcId="{6E14A3A3-E2F7-4522-9146-E6D828C56DC1}" destId="{08EA0C9A-C8D4-4FFF-8CE5-887D47C84D43}" srcOrd="0" destOrd="0" parTransId="{AEAB0797-D1B2-4701-BD94-4EFF72745D1D}" sibTransId="{56F6EBB7-DC46-4D17-BB6A-6058FD20001D}"/>
    <dgm:cxn modelId="{72CC8AFA-5D0D-46F0-8A9F-EA16E981AC08}" type="presOf" srcId="{08EA0C9A-C8D4-4FFF-8CE5-887D47C84D43}" destId="{EA8144B0-9473-41C0-B43A-4752DF3FDBCA}" srcOrd="1" destOrd="0" presId="urn:microsoft.com/office/officeart/2009/3/layout/HorizontalOrganizationChart"/>
    <dgm:cxn modelId="{BEEFC2A5-8612-43CA-82C8-BD91CD8691C2}" type="presParOf" srcId="{B00353A5-D6E0-41E0-9D50-DC542EE22381}" destId="{19D8ECC5-8E9E-49D0-9957-FE5FD1B5D47F}" srcOrd="0" destOrd="0" presId="urn:microsoft.com/office/officeart/2009/3/layout/HorizontalOrganizationChart"/>
    <dgm:cxn modelId="{25D6F9AA-64BC-4370-947C-AEFB3FE21729}" type="presParOf" srcId="{19D8ECC5-8E9E-49D0-9957-FE5FD1B5D47F}" destId="{DB317F67-A33D-4279-BD7C-1182B8EF942C}" srcOrd="0" destOrd="0" presId="urn:microsoft.com/office/officeart/2009/3/layout/HorizontalOrganizationChart"/>
    <dgm:cxn modelId="{48078EC0-606D-4253-B0AD-9CEF40176733}" type="presParOf" srcId="{DB317F67-A33D-4279-BD7C-1182B8EF942C}" destId="{95001CB8-EDE6-427E-AC8F-6D8507832A59}" srcOrd="0" destOrd="0" presId="urn:microsoft.com/office/officeart/2009/3/layout/HorizontalOrganizationChart"/>
    <dgm:cxn modelId="{344B1080-04A7-45CE-80FC-B783D2BCC7C1}" type="presParOf" srcId="{DB317F67-A33D-4279-BD7C-1182B8EF942C}" destId="{EA8144B0-9473-41C0-B43A-4752DF3FDBCA}" srcOrd="1" destOrd="0" presId="urn:microsoft.com/office/officeart/2009/3/layout/HorizontalOrganizationChart"/>
    <dgm:cxn modelId="{9053863A-8EDE-46A0-829C-1B277EBB78C6}" type="presParOf" srcId="{19D8ECC5-8E9E-49D0-9957-FE5FD1B5D47F}" destId="{6938587D-BF33-4FFC-BA3B-182FB29E1CF6}" srcOrd="1" destOrd="0" presId="urn:microsoft.com/office/officeart/2009/3/layout/HorizontalOrganizationChart"/>
    <dgm:cxn modelId="{D8F17CD8-DEB9-4B00-8500-C682F65B0E8C}" type="presParOf" srcId="{6938587D-BF33-4FFC-BA3B-182FB29E1CF6}" destId="{18BFD15D-6573-430F-B400-DB87242EE55A}" srcOrd="0" destOrd="0" presId="urn:microsoft.com/office/officeart/2009/3/layout/HorizontalOrganizationChart"/>
    <dgm:cxn modelId="{D98FD485-EE38-4A7A-9E49-110FD6C6393C}" type="presParOf" srcId="{6938587D-BF33-4FFC-BA3B-182FB29E1CF6}" destId="{FCEE22F2-26F6-4128-A9BF-22003C6716B0}" srcOrd="1" destOrd="0" presId="urn:microsoft.com/office/officeart/2009/3/layout/HorizontalOrganizationChart"/>
    <dgm:cxn modelId="{435D5BCA-9A97-488B-9F11-779FE61E5B9F}" type="presParOf" srcId="{FCEE22F2-26F6-4128-A9BF-22003C6716B0}" destId="{42A67B44-A895-4023-9D18-0B02C778DA45}" srcOrd="0" destOrd="0" presId="urn:microsoft.com/office/officeart/2009/3/layout/HorizontalOrganizationChart"/>
    <dgm:cxn modelId="{047DFAFE-4C6B-46E4-B6A6-A92D63CFBF92}" type="presParOf" srcId="{42A67B44-A895-4023-9D18-0B02C778DA45}" destId="{F4B966DB-A176-4DD1-8DAA-A471754E9B4B}" srcOrd="0" destOrd="0" presId="urn:microsoft.com/office/officeart/2009/3/layout/HorizontalOrganizationChart"/>
    <dgm:cxn modelId="{FB3B7E6F-663A-4A88-9DB7-1DA04EB930F0}" type="presParOf" srcId="{42A67B44-A895-4023-9D18-0B02C778DA45}" destId="{A8FF78C2-531A-44F4-A307-7E35A822D9C0}" srcOrd="1" destOrd="0" presId="urn:microsoft.com/office/officeart/2009/3/layout/HorizontalOrganizationChart"/>
    <dgm:cxn modelId="{1BB464A8-EA8D-4670-A694-FB2AB135629F}" type="presParOf" srcId="{FCEE22F2-26F6-4128-A9BF-22003C6716B0}" destId="{49356287-5BD1-4D3B-8404-F66B41B220E5}" srcOrd="1" destOrd="0" presId="urn:microsoft.com/office/officeart/2009/3/layout/HorizontalOrganizationChart"/>
    <dgm:cxn modelId="{2B0E2E48-3E16-4D28-9FEE-1AC34955A118}" type="presParOf" srcId="{FCEE22F2-26F6-4128-A9BF-22003C6716B0}" destId="{3CBEE4CA-02AA-41E4-A867-39CB7946A2A2}" srcOrd="2" destOrd="0" presId="urn:microsoft.com/office/officeart/2009/3/layout/HorizontalOrganizationChart"/>
    <dgm:cxn modelId="{28906924-D0B9-45F1-AD8F-0D071C63FBB8}" type="presParOf" srcId="{6938587D-BF33-4FFC-BA3B-182FB29E1CF6}" destId="{10812C83-F416-4E98-8290-858F65F42183}" srcOrd="2" destOrd="0" presId="urn:microsoft.com/office/officeart/2009/3/layout/HorizontalOrganizationChart"/>
    <dgm:cxn modelId="{25362FD1-6B3A-45D6-944F-AE8B13C79150}" type="presParOf" srcId="{6938587D-BF33-4FFC-BA3B-182FB29E1CF6}" destId="{6245DDD3-8585-4339-82FB-E4C94CDCEC53}" srcOrd="3" destOrd="0" presId="urn:microsoft.com/office/officeart/2009/3/layout/HorizontalOrganizationChart"/>
    <dgm:cxn modelId="{A29258F7-87F2-4226-9067-0E7330D0AD00}" type="presParOf" srcId="{6245DDD3-8585-4339-82FB-E4C94CDCEC53}" destId="{FCAAAA8C-E74A-4B83-8BA1-0D8DB44F7CF1}" srcOrd="0" destOrd="0" presId="urn:microsoft.com/office/officeart/2009/3/layout/HorizontalOrganizationChart"/>
    <dgm:cxn modelId="{EAD8DD56-FD27-4D67-900A-65A542E0AE72}" type="presParOf" srcId="{FCAAAA8C-E74A-4B83-8BA1-0D8DB44F7CF1}" destId="{C8259410-67FD-4AD2-8C6C-657FB37076BC}" srcOrd="0" destOrd="0" presId="urn:microsoft.com/office/officeart/2009/3/layout/HorizontalOrganizationChart"/>
    <dgm:cxn modelId="{3323DC38-43AB-400D-AA80-33D57B6BEA9C}" type="presParOf" srcId="{FCAAAA8C-E74A-4B83-8BA1-0D8DB44F7CF1}" destId="{25FAC84E-0DF9-42E1-A78F-D5C206DF09D4}" srcOrd="1" destOrd="0" presId="urn:microsoft.com/office/officeart/2009/3/layout/HorizontalOrganizationChart"/>
    <dgm:cxn modelId="{46FD509B-343B-4669-A9CE-0F2B24D563F5}" type="presParOf" srcId="{6245DDD3-8585-4339-82FB-E4C94CDCEC53}" destId="{7BA41B6A-884F-4998-9B59-E809EE35D1FE}" srcOrd="1" destOrd="0" presId="urn:microsoft.com/office/officeart/2009/3/layout/HorizontalOrganizationChart"/>
    <dgm:cxn modelId="{F3322364-C2EE-4CEE-9302-6FDD7799A48D}" type="presParOf" srcId="{6245DDD3-8585-4339-82FB-E4C94CDCEC53}" destId="{EA6B0A9A-D1CA-4B92-A65B-D1C01FCAC433}" srcOrd="2" destOrd="0" presId="urn:microsoft.com/office/officeart/2009/3/layout/HorizontalOrganizationChart"/>
    <dgm:cxn modelId="{DBFBE652-C8F7-49B9-8710-C221D73D68D3}" type="presParOf" srcId="{6938587D-BF33-4FFC-BA3B-182FB29E1CF6}" destId="{6BC7845F-C1A2-4ED5-9A3F-48411D07E472}" srcOrd="4" destOrd="0" presId="urn:microsoft.com/office/officeart/2009/3/layout/HorizontalOrganizationChart"/>
    <dgm:cxn modelId="{6355B23F-AF66-4283-AA37-24ADF883A17C}" type="presParOf" srcId="{6938587D-BF33-4FFC-BA3B-182FB29E1CF6}" destId="{C24C63D2-FFD5-450C-8D98-FDB0F623B5F7}" srcOrd="5" destOrd="0" presId="urn:microsoft.com/office/officeart/2009/3/layout/HorizontalOrganizationChart"/>
    <dgm:cxn modelId="{4DD06B31-BD39-47FF-8949-9F980173EABC}" type="presParOf" srcId="{C24C63D2-FFD5-450C-8D98-FDB0F623B5F7}" destId="{D6649C68-4EFF-4108-A8E8-43EED502DBB0}" srcOrd="0" destOrd="0" presId="urn:microsoft.com/office/officeart/2009/3/layout/HorizontalOrganizationChart"/>
    <dgm:cxn modelId="{0CE1C295-3F99-4202-93DC-70611470A71A}" type="presParOf" srcId="{D6649C68-4EFF-4108-A8E8-43EED502DBB0}" destId="{059A1C15-2194-493D-8B49-8C90B97D30D4}" srcOrd="0" destOrd="0" presId="urn:microsoft.com/office/officeart/2009/3/layout/HorizontalOrganizationChart"/>
    <dgm:cxn modelId="{B2553302-7E1B-40AA-88E5-7E95EF6047E3}" type="presParOf" srcId="{D6649C68-4EFF-4108-A8E8-43EED502DBB0}" destId="{F059CC7D-0C04-4623-86F8-AA183CB2B634}" srcOrd="1" destOrd="0" presId="urn:microsoft.com/office/officeart/2009/3/layout/HorizontalOrganizationChart"/>
    <dgm:cxn modelId="{6F2E43AB-F726-4114-A4FA-55357B709714}" type="presParOf" srcId="{C24C63D2-FFD5-450C-8D98-FDB0F623B5F7}" destId="{0DE7BC3A-96B7-4AC7-AE75-8973E7166C54}" srcOrd="1" destOrd="0" presId="urn:microsoft.com/office/officeart/2009/3/layout/HorizontalOrganizationChart"/>
    <dgm:cxn modelId="{84A91B75-B667-41C9-B5DF-E54124F48A96}" type="presParOf" srcId="{C24C63D2-FFD5-450C-8D98-FDB0F623B5F7}" destId="{AD380CAD-AC19-422C-87CA-AA9BB1499175}" srcOrd="2" destOrd="0" presId="urn:microsoft.com/office/officeart/2009/3/layout/HorizontalOrganizationChart"/>
    <dgm:cxn modelId="{1F0D49A0-DA05-4621-A2BE-BE81832FEA8D}" type="presParOf" srcId="{19D8ECC5-8E9E-49D0-9957-FE5FD1B5D47F}" destId="{6D64700E-C5F8-4821-9C28-AE48049EB1E9}" srcOrd="2" destOrd="0" presId="urn:microsoft.com/office/officeart/2009/3/layout/HorizontalOrganization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6E14A3A3-E2F7-4522-9146-E6D828C56DC1}" type="doc">
      <dgm:prSet loTypeId="urn:microsoft.com/office/officeart/2009/3/layout/HorizontalOrganizationChart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pPr latinLnBrk="1"/>
          <a:endParaRPr lang="ko-KR" altLang="en-US"/>
        </a:p>
      </dgm:t>
    </dgm:pt>
    <dgm:pt modelId="{08EA0C9A-C8D4-4FFF-8CE5-887D47C84D43}">
      <dgm:prSet phldrT="[텍스트]" custT="1"/>
      <dgm:spPr>
        <a:solidFill>
          <a:schemeClr val="accent4">
            <a:lumMod val="20000"/>
            <a:lumOff val="80000"/>
          </a:schemeClr>
        </a:solidFill>
      </dgm:spPr>
      <dgm:t>
        <a:bodyPr/>
        <a:lstStyle/>
        <a:p>
          <a:pPr latinLnBrk="1"/>
          <a:r>
            <a:rPr lang="en-US" altLang="ko-KR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COCOMO </a:t>
          </a:r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모형</a:t>
          </a:r>
        </a:p>
      </dgm:t>
    </dgm:pt>
    <dgm:pt modelId="{AEAB0797-D1B2-4701-BD94-4EFF72745D1D}" type="parTrans" cxnId="{1CE5A7F9-BDD4-4682-B750-3F65937A8DD5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56F6EBB7-DC46-4D17-BB6A-6058FD20001D}" type="sibTrans" cxnId="{1CE5A7F9-BDD4-4682-B750-3F65937A8DD5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082B3C96-5645-4E6D-8EB4-28EC9CF9D772}">
      <dgm:prSet phldrT="[텍스트]"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기본형</a:t>
          </a:r>
        </a:p>
      </dgm:t>
    </dgm:pt>
    <dgm:pt modelId="{33BA6768-3501-40EC-9306-E52C92B1B41F}" type="parTrans" cxnId="{60DA2D9C-5FDA-4088-95B6-96066062FE10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024774BA-7253-4AA9-9FDD-A060573C5E5B}" type="sibTrans" cxnId="{60DA2D9C-5FDA-4088-95B6-96066062FE10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FA8305DE-3014-41BB-8C11-D18263371A43}">
      <dgm:prSet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중간형</a:t>
          </a:r>
        </a:p>
      </dgm:t>
    </dgm:pt>
    <dgm:pt modelId="{8083FA71-627B-4625-AF45-5D05846307FC}" type="parTrans" cxnId="{81E01B5A-BA54-44F6-B389-041A2584187C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E33120AE-FAA5-4702-AD58-5B0962CED4D6}" type="sibTrans" cxnId="{81E01B5A-BA54-44F6-B389-041A2584187C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43DF755E-4258-4457-98D5-3CA528A5E7D7}">
      <dgm:prSet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발전형</a:t>
          </a:r>
          <a:endParaRPr lang="en-US" altLang="ko-KR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577DBD0D-1504-489C-B9AD-262A45031AB0}" type="parTrans" cxnId="{58A1F2A6-551A-4D55-9183-44E4D037FB17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AC473B68-E835-4AAD-8F02-84BEDB4C94AF}" type="sibTrans" cxnId="{58A1F2A6-551A-4D55-9183-44E4D037FB17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B00353A5-D6E0-41E0-9D50-DC542EE22381}" type="pres">
      <dgm:prSet presAssocID="{6E14A3A3-E2F7-4522-9146-E6D828C56DC1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19D8ECC5-8E9E-49D0-9957-FE5FD1B5D47F}" type="pres">
      <dgm:prSet presAssocID="{08EA0C9A-C8D4-4FFF-8CE5-887D47C84D43}" presName="hierRoot1" presStyleCnt="0">
        <dgm:presLayoutVars>
          <dgm:hierBranch val="init"/>
        </dgm:presLayoutVars>
      </dgm:prSet>
      <dgm:spPr/>
    </dgm:pt>
    <dgm:pt modelId="{DB317F67-A33D-4279-BD7C-1182B8EF942C}" type="pres">
      <dgm:prSet presAssocID="{08EA0C9A-C8D4-4FFF-8CE5-887D47C84D43}" presName="rootComposite1" presStyleCnt="0"/>
      <dgm:spPr/>
    </dgm:pt>
    <dgm:pt modelId="{95001CB8-EDE6-427E-AC8F-6D8507832A59}" type="pres">
      <dgm:prSet presAssocID="{08EA0C9A-C8D4-4FFF-8CE5-887D47C84D43}" presName="rootText1" presStyleLbl="node0" presStyleIdx="0" presStyleCnt="1" custScaleX="88219" custScaleY="51531">
        <dgm:presLayoutVars>
          <dgm:chPref val="3"/>
        </dgm:presLayoutVars>
      </dgm:prSet>
      <dgm:spPr/>
    </dgm:pt>
    <dgm:pt modelId="{EA8144B0-9473-41C0-B43A-4752DF3FDBCA}" type="pres">
      <dgm:prSet presAssocID="{08EA0C9A-C8D4-4FFF-8CE5-887D47C84D43}" presName="rootConnector1" presStyleLbl="node1" presStyleIdx="0" presStyleCnt="0"/>
      <dgm:spPr/>
    </dgm:pt>
    <dgm:pt modelId="{6938587D-BF33-4FFC-BA3B-182FB29E1CF6}" type="pres">
      <dgm:prSet presAssocID="{08EA0C9A-C8D4-4FFF-8CE5-887D47C84D43}" presName="hierChild2" presStyleCnt="0"/>
      <dgm:spPr/>
    </dgm:pt>
    <dgm:pt modelId="{18BFD15D-6573-430F-B400-DB87242EE55A}" type="pres">
      <dgm:prSet presAssocID="{33BA6768-3501-40EC-9306-E52C92B1B41F}" presName="Name64" presStyleLbl="parChTrans1D2" presStyleIdx="0" presStyleCnt="3"/>
      <dgm:spPr/>
    </dgm:pt>
    <dgm:pt modelId="{FCEE22F2-26F6-4128-A9BF-22003C6716B0}" type="pres">
      <dgm:prSet presAssocID="{082B3C96-5645-4E6D-8EB4-28EC9CF9D772}" presName="hierRoot2" presStyleCnt="0">
        <dgm:presLayoutVars>
          <dgm:hierBranch val="init"/>
        </dgm:presLayoutVars>
      </dgm:prSet>
      <dgm:spPr/>
    </dgm:pt>
    <dgm:pt modelId="{42A67B44-A895-4023-9D18-0B02C778DA45}" type="pres">
      <dgm:prSet presAssocID="{082B3C96-5645-4E6D-8EB4-28EC9CF9D772}" presName="rootComposite" presStyleCnt="0"/>
      <dgm:spPr/>
    </dgm:pt>
    <dgm:pt modelId="{F4B966DB-A176-4DD1-8DAA-A471754E9B4B}" type="pres">
      <dgm:prSet presAssocID="{082B3C96-5645-4E6D-8EB4-28EC9CF9D772}" presName="rootText" presStyleLbl="node2" presStyleIdx="0" presStyleCnt="3" custScaleX="60490" custScaleY="47939" custLinFactNeighborX="1370" custLinFactNeighborY="49600">
        <dgm:presLayoutVars>
          <dgm:chPref val="3"/>
        </dgm:presLayoutVars>
      </dgm:prSet>
      <dgm:spPr/>
    </dgm:pt>
    <dgm:pt modelId="{A8FF78C2-531A-44F4-A307-7E35A822D9C0}" type="pres">
      <dgm:prSet presAssocID="{082B3C96-5645-4E6D-8EB4-28EC9CF9D772}" presName="rootConnector" presStyleLbl="node2" presStyleIdx="0" presStyleCnt="3"/>
      <dgm:spPr/>
    </dgm:pt>
    <dgm:pt modelId="{49356287-5BD1-4D3B-8404-F66B41B220E5}" type="pres">
      <dgm:prSet presAssocID="{082B3C96-5645-4E6D-8EB4-28EC9CF9D772}" presName="hierChild4" presStyleCnt="0"/>
      <dgm:spPr/>
    </dgm:pt>
    <dgm:pt modelId="{3CBEE4CA-02AA-41E4-A867-39CB7946A2A2}" type="pres">
      <dgm:prSet presAssocID="{082B3C96-5645-4E6D-8EB4-28EC9CF9D772}" presName="hierChild5" presStyleCnt="0"/>
      <dgm:spPr/>
    </dgm:pt>
    <dgm:pt modelId="{10812C83-F416-4E98-8290-858F65F42183}" type="pres">
      <dgm:prSet presAssocID="{8083FA71-627B-4625-AF45-5D05846307FC}" presName="Name64" presStyleLbl="parChTrans1D2" presStyleIdx="1" presStyleCnt="3"/>
      <dgm:spPr/>
    </dgm:pt>
    <dgm:pt modelId="{6245DDD3-8585-4339-82FB-E4C94CDCEC53}" type="pres">
      <dgm:prSet presAssocID="{FA8305DE-3014-41BB-8C11-D18263371A43}" presName="hierRoot2" presStyleCnt="0">
        <dgm:presLayoutVars>
          <dgm:hierBranch val="init"/>
        </dgm:presLayoutVars>
      </dgm:prSet>
      <dgm:spPr/>
    </dgm:pt>
    <dgm:pt modelId="{FCAAAA8C-E74A-4B83-8BA1-0D8DB44F7CF1}" type="pres">
      <dgm:prSet presAssocID="{FA8305DE-3014-41BB-8C11-D18263371A43}" presName="rootComposite" presStyleCnt="0"/>
      <dgm:spPr/>
    </dgm:pt>
    <dgm:pt modelId="{C8259410-67FD-4AD2-8C6C-657FB37076BC}" type="pres">
      <dgm:prSet presAssocID="{FA8305DE-3014-41BB-8C11-D18263371A43}" presName="rootText" presStyleLbl="node2" presStyleIdx="1" presStyleCnt="3" custScaleX="60490" custScaleY="47939" custLinFactNeighborX="1454" custLinFactNeighborY="20823">
        <dgm:presLayoutVars>
          <dgm:chPref val="3"/>
        </dgm:presLayoutVars>
      </dgm:prSet>
      <dgm:spPr/>
    </dgm:pt>
    <dgm:pt modelId="{25FAC84E-0DF9-42E1-A78F-D5C206DF09D4}" type="pres">
      <dgm:prSet presAssocID="{FA8305DE-3014-41BB-8C11-D18263371A43}" presName="rootConnector" presStyleLbl="node2" presStyleIdx="1" presStyleCnt="3"/>
      <dgm:spPr/>
    </dgm:pt>
    <dgm:pt modelId="{7BA41B6A-884F-4998-9B59-E809EE35D1FE}" type="pres">
      <dgm:prSet presAssocID="{FA8305DE-3014-41BB-8C11-D18263371A43}" presName="hierChild4" presStyleCnt="0"/>
      <dgm:spPr/>
    </dgm:pt>
    <dgm:pt modelId="{EA6B0A9A-D1CA-4B92-A65B-D1C01FCAC433}" type="pres">
      <dgm:prSet presAssocID="{FA8305DE-3014-41BB-8C11-D18263371A43}" presName="hierChild5" presStyleCnt="0"/>
      <dgm:spPr/>
    </dgm:pt>
    <dgm:pt modelId="{6BC7845F-C1A2-4ED5-9A3F-48411D07E472}" type="pres">
      <dgm:prSet presAssocID="{577DBD0D-1504-489C-B9AD-262A45031AB0}" presName="Name64" presStyleLbl="parChTrans1D2" presStyleIdx="2" presStyleCnt="3"/>
      <dgm:spPr/>
    </dgm:pt>
    <dgm:pt modelId="{C24C63D2-FFD5-450C-8D98-FDB0F623B5F7}" type="pres">
      <dgm:prSet presAssocID="{43DF755E-4258-4457-98D5-3CA528A5E7D7}" presName="hierRoot2" presStyleCnt="0">
        <dgm:presLayoutVars>
          <dgm:hierBranch val="init"/>
        </dgm:presLayoutVars>
      </dgm:prSet>
      <dgm:spPr/>
    </dgm:pt>
    <dgm:pt modelId="{D6649C68-4EFF-4108-A8E8-43EED502DBB0}" type="pres">
      <dgm:prSet presAssocID="{43DF755E-4258-4457-98D5-3CA528A5E7D7}" presName="rootComposite" presStyleCnt="0"/>
      <dgm:spPr/>
    </dgm:pt>
    <dgm:pt modelId="{059A1C15-2194-493D-8B49-8C90B97D30D4}" type="pres">
      <dgm:prSet presAssocID="{43DF755E-4258-4457-98D5-3CA528A5E7D7}" presName="rootText" presStyleLbl="node2" presStyleIdx="2" presStyleCnt="3" custScaleX="60490" custScaleY="46944" custLinFactNeighborX="1454" custLinFactNeighborY="-11358">
        <dgm:presLayoutVars>
          <dgm:chPref val="3"/>
        </dgm:presLayoutVars>
      </dgm:prSet>
      <dgm:spPr/>
    </dgm:pt>
    <dgm:pt modelId="{F059CC7D-0C04-4623-86F8-AA183CB2B634}" type="pres">
      <dgm:prSet presAssocID="{43DF755E-4258-4457-98D5-3CA528A5E7D7}" presName="rootConnector" presStyleLbl="node2" presStyleIdx="2" presStyleCnt="3"/>
      <dgm:spPr/>
    </dgm:pt>
    <dgm:pt modelId="{0DE7BC3A-96B7-4AC7-AE75-8973E7166C54}" type="pres">
      <dgm:prSet presAssocID="{43DF755E-4258-4457-98D5-3CA528A5E7D7}" presName="hierChild4" presStyleCnt="0"/>
      <dgm:spPr/>
    </dgm:pt>
    <dgm:pt modelId="{AD380CAD-AC19-422C-87CA-AA9BB1499175}" type="pres">
      <dgm:prSet presAssocID="{43DF755E-4258-4457-98D5-3CA528A5E7D7}" presName="hierChild5" presStyleCnt="0"/>
      <dgm:spPr/>
    </dgm:pt>
    <dgm:pt modelId="{6D64700E-C5F8-4821-9C28-AE48049EB1E9}" type="pres">
      <dgm:prSet presAssocID="{08EA0C9A-C8D4-4FFF-8CE5-887D47C84D43}" presName="hierChild3" presStyleCnt="0"/>
      <dgm:spPr/>
    </dgm:pt>
  </dgm:ptLst>
  <dgm:cxnLst>
    <dgm:cxn modelId="{F7E1E912-17A1-4EB0-BB69-D7A7B64012E3}" type="presOf" srcId="{6E14A3A3-E2F7-4522-9146-E6D828C56DC1}" destId="{B00353A5-D6E0-41E0-9D50-DC542EE22381}" srcOrd="0" destOrd="0" presId="urn:microsoft.com/office/officeart/2009/3/layout/HorizontalOrganizationChart"/>
    <dgm:cxn modelId="{F1705266-5671-4236-9908-E5F388C46F5A}" type="presOf" srcId="{08EA0C9A-C8D4-4FFF-8CE5-887D47C84D43}" destId="{95001CB8-EDE6-427E-AC8F-6D8507832A59}" srcOrd="0" destOrd="0" presId="urn:microsoft.com/office/officeart/2009/3/layout/HorizontalOrganizationChart"/>
    <dgm:cxn modelId="{861BD147-1573-4E07-868B-171F80FA67B2}" type="presOf" srcId="{577DBD0D-1504-489C-B9AD-262A45031AB0}" destId="{6BC7845F-C1A2-4ED5-9A3F-48411D07E472}" srcOrd="0" destOrd="0" presId="urn:microsoft.com/office/officeart/2009/3/layout/HorizontalOrganizationChart"/>
    <dgm:cxn modelId="{800C5659-27D1-4A67-A06E-5802C94EC5B6}" type="presOf" srcId="{082B3C96-5645-4E6D-8EB4-28EC9CF9D772}" destId="{A8FF78C2-531A-44F4-A307-7E35A822D9C0}" srcOrd="1" destOrd="0" presId="urn:microsoft.com/office/officeart/2009/3/layout/HorizontalOrganizationChart"/>
    <dgm:cxn modelId="{81E01B5A-BA54-44F6-B389-041A2584187C}" srcId="{08EA0C9A-C8D4-4FFF-8CE5-887D47C84D43}" destId="{FA8305DE-3014-41BB-8C11-D18263371A43}" srcOrd="1" destOrd="0" parTransId="{8083FA71-627B-4625-AF45-5D05846307FC}" sibTransId="{E33120AE-FAA5-4702-AD58-5B0962CED4D6}"/>
    <dgm:cxn modelId="{D5C4CA92-EB40-4385-B963-EA46742A0B99}" type="presOf" srcId="{082B3C96-5645-4E6D-8EB4-28EC9CF9D772}" destId="{F4B966DB-A176-4DD1-8DAA-A471754E9B4B}" srcOrd="0" destOrd="0" presId="urn:microsoft.com/office/officeart/2009/3/layout/HorizontalOrganizationChart"/>
    <dgm:cxn modelId="{60DA2D9C-5FDA-4088-95B6-96066062FE10}" srcId="{08EA0C9A-C8D4-4FFF-8CE5-887D47C84D43}" destId="{082B3C96-5645-4E6D-8EB4-28EC9CF9D772}" srcOrd="0" destOrd="0" parTransId="{33BA6768-3501-40EC-9306-E52C92B1B41F}" sibTransId="{024774BA-7253-4AA9-9FDD-A060573C5E5B}"/>
    <dgm:cxn modelId="{623F429E-5B49-4864-B5F8-E0EBBF566377}" type="presOf" srcId="{FA8305DE-3014-41BB-8C11-D18263371A43}" destId="{25FAC84E-0DF9-42E1-A78F-D5C206DF09D4}" srcOrd="1" destOrd="0" presId="urn:microsoft.com/office/officeart/2009/3/layout/HorizontalOrganizationChart"/>
    <dgm:cxn modelId="{58A1F2A6-551A-4D55-9183-44E4D037FB17}" srcId="{08EA0C9A-C8D4-4FFF-8CE5-887D47C84D43}" destId="{43DF755E-4258-4457-98D5-3CA528A5E7D7}" srcOrd="2" destOrd="0" parTransId="{577DBD0D-1504-489C-B9AD-262A45031AB0}" sibTransId="{AC473B68-E835-4AAD-8F02-84BEDB4C94AF}"/>
    <dgm:cxn modelId="{B517CEA7-7C19-4215-8C9E-410CBF0A47CD}" type="presOf" srcId="{43DF755E-4258-4457-98D5-3CA528A5E7D7}" destId="{F059CC7D-0C04-4623-86F8-AA183CB2B634}" srcOrd="1" destOrd="0" presId="urn:microsoft.com/office/officeart/2009/3/layout/HorizontalOrganizationChart"/>
    <dgm:cxn modelId="{9F80EEAD-0421-40B6-A39B-F464BBD3B102}" type="presOf" srcId="{8083FA71-627B-4625-AF45-5D05846307FC}" destId="{10812C83-F416-4E98-8290-858F65F42183}" srcOrd="0" destOrd="0" presId="urn:microsoft.com/office/officeart/2009/3/layout/HorizontalOrganizationChart"/>
    <dgm:cxn modelId="{114B16C4-1EAC-4403-A708-2172B91B2111}" type="presOf" srcId="{43DF755E-4258-4457-98D5-3CA528A5E7D7}" destId="{059A1C15-2194-493D-8B49-8C90B97D30D4}" srcOrd="0" destOrd="0" presId="urn:microsoft.com/office/officeart/2009/3/layout/HorizontalOrganizationChart"/>
    <dgm:cxn modelId="{398E93CA-F023-4824-828E-515DC3AB649D}" type="presOf" srcId="{33BA6768-3501-40EC-9306-E52C92B1B41F}" destId="{18BFD15D-6573-430F-B400-DB87242EE55A}" srcOrd="0" destOrd="0" presId="urn:microsoft.com/office/officeart/2009/3/layout/HorizontalOrganizationChart"/>
    <dgm:cxn modelId="{05C5A7E0-5D6B-42B8-BC6F-948269D59881}" type="presOf" srcId="{FA8305DE-3014-41BB-8C11-D18263371A43}" destId="{C8259410-67FD-4AD2-8C6C-657FB37076BC}" srcOrd="0" destOrd="0" presId="urn:microsoft.com/office/officeart/2009/3/layout/HorizontalOrganizationChart"/>
    <dgm:cxn modelId="{1CE5A7F9-BDD4-4682-B750-3F65937A8DD5}" srcId="{6E14A3A3-E2F7-4522-9146-E6D828C56DC1}" destId="{08EA0C9A-C8D4-4FFF-8CE5-887D47C84D43}" srcOrd="0" destOrd="0" parTransId="{AEAB0797-D1B2-4701-BD94-4EFF72745D1D}" sibTransId="{56F6EBB7-DC46-4D17-BB6A-6058FD20001D}"/>
    <dgm:cxn modelId="{72CC8AFA-5D0D-46F0-8A9F-EA16E981AC08}" type="presOf" srcId="{08EA0C9A-C8D4-4FFF-8CE5-887D47C84D43}" destId="{EA8144B0-9473-41C0-B43A-4752DF3FDBCA}" srcOrd="1" destOrd="0" presId="urn:microsoft.com/office/officeart/2009/3/layout/HorizontalOrganizationChart"/>
    <dgm:cxn modelId="{BEEFC2A5-8612-43CA-82C8-BD91CD8691C2}" type="presParOf" srcId="{B00353A5-D6E0-41E0-9D50-DC542EE22381}" destId="{19D8ECC5-8E9E-49D0-9957-FE5FD1B5D47F}" srcOrd="0" destOrd="0" presId="urn:microsoft.com/office/officeart/2009/3/layout/HorizontalOrganizationChart"/>
    <dgm:cxn modelId="{25D6F9AA-64BC-4370-947C-AEFB3FE21729}" type="presParOf" srcId="{19D8ECC5-8E9E-49D0-9957-FE5FD1B5D47F}" destId="{DB317F67-A33D-4279-BD7C-1182B8EF942C}" srcOrd="0" destOrd="0" presId="urn:microsoft.com/office/officeart/2009/3/layout/HorizontalOrganizationChart"/>
    <dgm:cxn modelId="{48078EC0-606D-4253-B0AD-9CEF40176733}" type="presParOf" srcId="{DB317F67-A33D-4279-BD7C-1182B8EF942C}" destId="{95001CB8-EDE6-427E-AC8F-6D8507832A59}" srcOrd="0" destOrd="0" presId="urn:microsoft.com/office/officeart/2009/3/layout/HorizontalOrganizationChart"/>
    <dgm:cxn modelId="{344B1080-04A7-45CE-80FC-B783D2BCC7C1}" type="presParOf" srcId="{DB317F67-A33D-4279-BD7C-1182B8EF942C}" destId="{EA8144B0-9473-41C0-B43A-4752DF3FDBCA}" srcOrd="1" destOrd="0" presId="urn:microsoft.com/office/officeart/2009/3/layout/HorizontalOrganizationChart"/>
    <dgm:cxn modelId="{9053863A-8EDE-46A0-829C-1B277EBB78C6}" type="presParOf" srcId="{19D8ECC5-8E9E-49D0-9957-FE5FD1B5D47F}" destId="{6938587D-BF33-4FFC-BA3B-182FB29E1CF6}" srcOrd="1" destOrd="0" presId="urn:microsoft.com/office/officeart/2009/3/layout/HorizontalOrganizationChart"/>
    <dgm:cxn modelId="{D8F17CD8-DEB9-4B00-8500-C682F65B0E8C}" type="presParOf" srcId="{6938587D-BF33-4FFC-BA3B-182FB29E1CF6}" destId="{18BFD15D-6573-430F-B400-DB87242EE55A}" srcOrd="0" destOrd="0" presId="urn:microsoft.com/office/officeart/2009/3/layout/HorizontalOrganizationChart"/>
    <dgm:cxn modelId="{D98FD485-EE38-4A7A-9E49-110FD6C6393C}" type="presParOf" srcId="{6938587D-BF33-4FFC-BA3B-182FB29E1CF6}" destId="{FCEE22F2-26F6-4128-A9BF-22003C6716B0}" srcOrd="1" destOrd="0" presId="urn:microsoft.com/office/officeart/2009/3/layout/HorizontalOrganizationChart"/>
    <dgm:cxn modelId="{435D5BCA-9A97-488B-9F11-779FE61E5B9F}" type="presParOf" srcId="{FCEE22F2-26F6-4128-A9BF-22003C6716B0}" destId="{42A67B44-A895-4023-9D18-0B02C778DA45}" srcOrd="0" destOrd="0" presId="urn:microsoft.com/office/officeart/2009/3/layout/HorizontalOrganizationChart"/>
    <dgm:cxn modelId="{047DFAFE-4C6B-46E4-B6A6-A92D63CFBF92}" type="presParOf" srcId="{42A67B44-A895-4023-9D18-0B02C778DA45}" destId="{F4B966DB-A176-4DD1-8DAA-A471754E9B4B}" srcOrd="0" destOrd="0" presId="urn:microsoft.com/office/officeart/2009/3/layout/HorizontalOrganizationChart"/>
    <dgm:cxn modelId="{FB3B7E6F-663A-4A88-9DB7-1DA04EB930F0}" type="presParOf" srcId="{42A67B44-A895-4023-9D18-0B02C778DA45}" destId="{A8FF78C2-531A-44F4-A307-7E35A822D9C0}" srcOrd="1" destOrd="0" presId="urn:microsoft.com/office/officeart/2009/3/layout/HorizontalOrganizationChart"/>
    <dgm:cxn modelId="{1BB464A8-EA8D-4670-A694-FB2AB135629F}" type="presParOf" srcId="{FCEE22F2-26F6-4128-A9BF-22003C6716B0}" destId="{49356287-5BD1-4D3B-8404-F66B41B220E5}" srcOrd="1" destOrd="0" presId="urn:microsoft.com/office/officeart/2009/3/layout/HorizontalOrganizationChart"/>
    <dgm:cxn modelId="{2B0E2E48-3E16-4D28-9FEE-1AC34955A118}" type="presParOf" srcId="{FCEE22F2-26F6-4128-A9BF-22003C6716B0}" destId="{3CBEE4CA-02AA-41E4-A867-39CB7946A2A2}" srcOrd="2" destOrd="0" presId="urn:microsoft.com/office/officeart/2009/3/layout/HorizontalOrganizationChart"/>
    <dgm:cxn modelId="{28906924-D0B9-45F1-AD8F-0D071C63FBB8}" type="presParOf" srcId="{6938587D-BF33-4FFC-BA3B-182FB29E1CF6}" destId="{10812C83-F416-4E98-8290-858F65F42183}" srcOrd="2" destOrd="0" presId="urn:microsoft.com/office/officeart/2009/3/layout/HorizontalOrganizationChart"/>
    <dgm:cxn modelId="{25362FD1-6B3A-45D6-944F-AE8B13C79150}" type="presParOf" srcId="{6938587D-BF33-4FFC-BA3B-182FB29E1CF6}" destId="{6245DDD3-8585-4339-82FB-E4C94CDCEC53}" srcOrd="3" destOrd="0" presId="urn:microsoft.com/office/officeart/2009/3/layout/HorizontalOrganizationChart"/>
    <dgm:cxn modelId="{A29258F7-87F2-4226-9067-0E7330D0AD00}" type="presParOf" srcId="{6245DDD3-8585-4339-82FB-E4C94CDCEC53}" destId="{FCAAAA8C-E74A-4B83-8BA1-0D8DB44F7CF1}" srcOrd="0" destOrd="0" presId="urn:microsoft.com/office/officeart/2009/3/layout/HorizontalOrganizationChart"/>
    <dgm:cxn modelId="{EAD8DD56-FD27-4D67-900A-65A542E0AE72}" type="presParOf" srcId="{FCAAAA8C-E74A-4B83-8BA1-0D8DB44F7CF1}" destId="{C8259410-67FD-4AD2-8C6C-657FB37076BC}" srcOrd="0" destOrd="0" presId="urn:microsoft.com/office/officeart/2009/3/layout/HorizontalOrganizationChart"/>
    <dgm:cxn modelId="{3323DC38-43AB-400D-AA80-33D57B6BEA9C}" type="presParOf" srcId="{FCAAAA8C-E74A-4B83-8BA1-0D8DB44F7CF1}" destId="{25FAC84E-0DF9-42E1-A78F-D5C206DF09D4}" srcOrd="1" destOrd="0" presId="urn:microsoft.com/office/officeart/2009/3/layout/HorizontalOrganizationChart"/>
    <dgm:cxn modelId="{46FD509B-343B-4669-A9CE-0F2B24D563F5}" type="presParOf" srcId="{6245DDD3-8585-4339-82FB-E4C94CDCEC53}" destId="{7BA41B6A-884F-4998-9B59-E809EE35D1FE}" srcOrd="1" destOrd="0" presId="urn:microsoft.com/office/officeart/2009/3/layout/HorizontalOrganizationChart"/>
    <dgm:cxn modelId="{F3322364-C2EE-4CEE-9302-6FDD7799A48D}" type="presParOf" srcId="{6245DDD3-8585-4339-82FB-E4C94CDCEC53}" destId="{EA6B0A9A-D1CA-4B92-A65B-D1C01FCAC433}" srcOrd="2" destOrd="0" presId="urn:microsoft.com/office/officeart/2009/3/layout/HorizontalOrganizationChart"/>
    <dgm:cxn modelId="{DBFBE652-C8F7-49B9-8710-C221D73D68D3}" type="presParOf" srcId="{6938587D-BF33-4FFC-BA3B-182FB29E1CF6}" destId="{6BC7845F-C1A2-4ED5-9A3F-48411D07E472}" srcOrd="4" destOrd="0" presId="urn:microsoft.com/office/officeart/2009/3/layout/HorizontalOrganizationChart"/>
    <dgm:cxn modelId="{6355B23F-AF66-4283-AA37-24ADF883A17C}" type="presParOf" srcId="{6938587D-BF33-4FFC-BA3B-182FB29E1CF6}" destId="{C24C63D2-FFD5-450C-8D98-FDB0F623B5F7}" srcOrd="5" destOrd="0" presId="urn:microsoft.com/office/officeart/2009/3/layout/HorizontalOrganizationChart"/>
    <dgm:cxn modelId="{4DD06B31-BD39-47FF-8949-9F980173EABC}" type="presParOf" srcId="{C24C63D2-FFD5-450C-8D98-FDB0F623B5F7}" destId="{D6649C68-4EFF-4108-A8E8-43EED502DBB0}" srcOrd="0" destOrd="0" presId="urn:microsoft.com/office/officeart/2009/3/layout/HorizontalOrganizationChart"/>
    <dgm:cxn modelId="{0CE1C295-3F99-4202-93DC-70611470A71A}" type="presParOf" srcId="{D6649C68-4EFF-4108-A8E8-43EED502DBB0}" destId="{059A1C15-2194-493D-8B49-8C90B97D30D4}" srcOrd="0" destOrd="0" presId="urn:microsoft.com/office/officeart/2009/3/layout/HorizontalOrganizationChart"/>
    <dgm:cxn modelId="{B2553302-7E1B-40AA-88E5-7E95EF6047E3}" type="presParOf" srcId="{D6649C68-4EFF-4108-A8E8-43EED502DBB0}" destId="{F059CC7D-0C04-4623-86F8-AA183CB2B634}" srcOrd="1" destOrd="0" presId="urn:microsoft.com/office/officeart/2009/3/layout/HorizontalOrganizationChart"/>
    <dgm:cxn modelId="{6F2E43AB-F726-4114-A4FA-55357B709714}" type="presParOf" srcId="{C24C63D2-FFD5-450C-8D98-FDB0F623B5F7}" destId="{0DE7BC3A-96B7-4AC7-AE75-8973E7166C54}" srcOrd="1" destOrd="0" presId="urn:microsoft.com/office/officeart/2009/3/layout/HorizontalOrganizationChart"/>
    <dgm:cxn modelId="{84A91B75-B667-41C9-B5DF-E54124F48A96}" type="presParOf" srcId="{C24C63D2-FFD5-450C-8D98-FDB0F623B5F7}" destId="{AD380CAD-AC19-422C-87CA-AA9BB1499175}" srcOrd="2" destOrd="0" presId="urn:microsoft.com/office/officeart/2009/3/layout/HorizontalOrganizationChart"/>
    <dgm:cxn modelId="{1F0D49A0-DA05-4621-A2BE-BE81832FEA8D}" type="presParOf" srcId="{19D8ECC5-8E9E-49D0-9957-FE5FD1B5D47F}" destId="{6D64700E-C5F8-4821-9C28-AE48049EB1E9}" srcOrd="2" destOrd="0" presId="urn:microsoft.com/office/officeart/2009/3/layout/HorizontalOrganizationChart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74AF785D-53BB-46E0-84D5-B87846BC9A83}" type="doc">
      <dgm:prSet loTypeId="urn:microsoft.com/office/officeart/2005/8/layout/chevron1" loCatId="process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pPr latinLnBrk="1"/>
          <a:endParaRPr lang="ko-KR" altLang="en-US"/>
        </a:p>
      </dgm:t>
    </dgm:pt>
    <dgm:pt modelId="{1A17164F-25A8-4938-AD64-E0F87D5333BC}">
      <dgm:prSet phldrT="[텍스트]" custT="1"/>
      <dgm:spPr>
        <a:solidFill>
          <a:schemeClr val="accent4">
            <a:lumMod val="20000"/>
            <a:lumOff val="80000"/>
          </a:schemeClr>
        </a:solidFill>
      </dgm:spPr>
      <dgm:t>
        <a:bodyPr/>
        <a:lstStyle/>
        <a:p>
          <a:pPr latinLnBrk="1"/>
          <a:r>
            <a:rPr lang="en-US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ISO/IEC 12207</a:t>
          </a:r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의 프로세스 단계</a:t>
          </a:r>
        </a:p>
      </dgm:t>
    </dgm:pt>
    <dgm:pt modelId="{401FCF0F-21B9-4D9F-A814-F221C6D9AC4F}" type="parTrans" cxnId="{56233FF4-DCCE-4271-8DF9-F7478B5C060A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7BEC7362-7F75-45C7-BBC8-5C517C2B7B25}" type="sibTrans" cxnId="{56233FF4-DCCE-4271-8DF9-F7478B5C060A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849BBD41-2667-485E-AF17-75A91ADEBFA2}">
      <dgm:prSet phldrT="[텍스트]"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지원 생명주기 프로세스</a:t>
          </a:r>
        </a:p>
      </dgm:t>
    </dgm:pt>
    <dgm:pt modelId="{FAC70805-F583-4765-AB51-0A8232DBAC52}" type="parTrans" cxnId="{0EC2C0F6-E115-4F81-8FF9-973A32474357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499FA79D-F3A0-4095-8FAD-BA590FA3AC89}" type="sibTrans" cxnId="{0EC2C0F6-E115-4F81-8FF9-973A32474357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F807CB73-1DCF-481F-8707-E91CC779B6A4}">
      <dgm:prSet phldrT="[텍스트]"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조직 생명주기 프로세스</a:t>
          </a:r>
        </a:p>
      </dgm:t>
    </dgm:pt>
    <dgm:pt modelId="{7FC018FA-4600-4E84-B7E0-68D590F679A8}" type="parTrans" cxnId="{9479A8B7-C7D3-48B5-8F98-BCE48F86CA49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AE46CABA-2587-44EB-91EE-36046FB00B65}" type="sibTrans" cxnId="{9479A8B7-C7D3-48B5-8F98-BCE48F86CA49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8623C5BF-D9C9-45EF-80FA-16C66E9F947A}">
      <dgm:prSet phldrT="[텍스트]"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기본 생명주기 프로세스</a:t>
          </a:r>
        </a:p>
      </dgm:t>
    </dgm:pt>
    <dgm:pt modelId="{3CD1C500-E230-422D-A34C-1611F3A6822D}" type="parTrans" cxnId="{5E354784-2B53-49FF-A3B1-C1DF98CC97B8}">
      <dgm:prSet/>
      <dgm:spPr/>
      <dgm:t>
        <a:bodyPr/>
        <a:lstStyle/>
        <a:p>
          <a:pPr latinLnBrk="1"/>
          <a:endParaRPr lang="ko-KR" altLang="en-US" sz="1800"/>
        </a:p>
      </dgm:t>
    </dgm:pt>
    <dgm:pt modelId="{D726B518-D561-4829-8005-5217CC40BD71}" type="sibTrans" cxnId="{5E354784-2B53-49FF-A3B1-C1DF98CC97B8}">
      <dgm:prSet/>
      <dgm:spPr/>
      <dgm:t>
        <a:bodyPr/>
        <a:lstStyle/>
        <a:p>
          <a:pPr latinLnBrk="1"/>
          <a:endParaRPr lang="ko-KR" altLang="en-US" sz="1800"/>
        </a:p>
      </dgm:t>
    </dgm:pt>
    <dgm:pt modelId="{6B78106F-D556-40D4-9E05-13280A5F75F9}" type="pres">
      <dgm:prSet presAssocID="{74AF785D-53BB-46E0-84D5-B87846BC9A83}" presName="Name0" presStyleCnt="0">
        <dgm:presLayoutVars>
          <dgm:dir/>
          <dgm:animLvl val="lvl"/>
          <dgm:resizeHandles val="exact"/>
        </dgm:presLayoutVars>
      </dgm:prSet>
      <dgm:spPr/>
    </dgm:pt>
    <dgm:pt modelId="{20A28ADC-1A81-49CF-AB1E-1ABD55291F81}" type="pres">
      <dgm:prSet presAssocID="{1A17164F-25A8-4938-AD64-E0F87D5333BC}" presName="parTxOnly" presStyleLbl="node1" presStyleIdx="0" presStyleCnt="4" custScaleX="311576" custScaleY="138122">
        <dgm:presLayoutVars>
          <dgm:chMax val="0"/>
          <dgm:chPref val="0"/>
          <dgm:bulletEnabled val="1"/>
        </dgm:presLayoutVars>
      </dgm:prSet>
      <dgm:spPr/>
    </dgm:pt>
    <dgm:pt modelId="{2B43D33F-62F2-458E-99FD-90C92F9E95FC}" type="pres">
      <dgm:prSet presAssocID="{7BEC7362-7F75-45C7-BBC8-5C517C2B7B25}" presName="parTxOnlySpace" presStyleCnt="0"/>
      <dgm:spPr/>
    </dgm:pt>
    <dgm:pt modelId="{47DB46B2-2E36-4E2C-B790-41ABF31BB5DA}" type="pres">
      <dgm:prSet presAssocID="{8623C5BF-D9C9-45EF-80FA-16C66E9F947A}" presName="parTxOnly" presStyleLbl="node1" presStyleIdx="1" presStyleCnt="4" custScaleX="155255" custScaleY="138122">
        <dgm:presLayoutVars>
          <dgm:chMax val="0"/>
          <dgm:chPref val="0"/>
          <dgm:bulletEnabled val="1"/>
        </dgm:presLayoutVars>
      </dgm:prSet>
      <dgm:spPr/>
    </dgm:pt>
    <dgm:pt modelId="{2FD1A183-475C-477B-B3F7-D253C03998F4}" type="pres">
      <dgm:prSet presAssocID="{D726B518-D561-4829-8005-5217CC40BD71}" presName="parTxOnlySpace" presStyleCnt="0"/>
      <dgm:spPr/>
    </dgm:pt>
    <dgm:pt modelId="{8E609709-6974-4C8A-8459-0183C47C880B}" type="pres">
      <dgm:prSet presAssocID="{849BBD41-2667-485E-AF17-75A91ADEBFA2}" presName="parTxOnly" presStyleLbl="node1" presStyleIdx="2" presStyleCnt="4" custScaleX="155255" custScaleY="138122">
        <dgm:presLayoutVars>
          <dgm:chMax val="0"/>
          <dgm:chPref val="0"/>
          <dgm:bulletEnabled val="1"/>
        </dgm:presLayoutVars>
      </dgm:prSet>
      <dgm:spPr/>
    </dgm:pt>
    <dgm:pt modelId="{10C1C406-F6EC-478E-8B94-EE04D2FD860A}" type="pres">
      <dgm:prSet presAssocID="{499FA79D-F3A0-4095-8FAD-BA590FA3AC89}" presName="parTxOnlySpace" presStyleCnt="0"/>
      <dgm:spPr/>
    </dgm:pt>
    <dgm:pt modelId="{DB936954-4016-4B53-9709-090CD9B935DC}" type="pres">
      <dgm:prSet presAssocID="{F807CB73-1DCF-481F-8707-E91CC779B6A4}" presName="parTxOnly" presStyleLbl="node1" presStyleIdx="3" presStyleCnt="4" custScaleX="155255" custScaleY="138122">
        <dgm:presLayoutVars>
          <dgm:chMax val="0"/>
          <dgm:chPref val="0"/>
          <dgm:bulletEnabled val="1"/>
        </dgm:presLayoutVars>
      </dgm:prSet>
      <dgm:spPr/>
    </dgm:pt>
  </dgm:ptLst>
  <dgm:cxnLst>
    <dgm:cxn modelId="{29FCEF27-2E77-4469-AB3C-4B270E47B965}" type="presOf" srcId="{1A17164F-25A8-4938-AD64-E0F87D5333BC}" destId="{20A28ADC-1A81-49CF-AB1E-1ABD55291F81}" srcOrd="0" destOrd="0" presId="urn:microsoft.com/office/officeart/2005/8/layout/chevron1"/>
    <dgm:cxn modelId="{5E354784-2B53-49FF-A3B1-C1DF98CC97B8}" srcId="{74AF785D-53BB-46E0-84D5-B87846BC9A83}" destId="{8623C5BF-D9C9-45EF-80FA-16C66E9F947A}" srcOrd="1" destOrd="0" parTransId="{3CD1C500-E230-422D-A34C-1611F3A6822D}" sibTransId="{D726B518-D561-4829-8005-5217CC40BD71}"/>
    <dgm:cxn modelId="{BF83FDB6-B12D-4461-AC79-A71D1E23F965}" type="presOf" srcId="{849BBD41-2667-485E-AF17-75A91ADEBFA2}" destId="{8E609709-6974-4C8A-8459-0183C47C880B}" srcOrd="0" destOrd="0" presId="urn:microsoft.com/office/officeart/2005/8/layout/chevron1"/>
    <dgm:cxn modelId="{9479A8B7-C7D3-48B5-8F98-BCE48F86CA49}" srcId="{74AF785D-53BB-46E0-84D5-B87846BC9A83}" destId="{F807CB73-1DCF-481F-8707-E91CC779B6A4}" srcOrd="3" destOrd="0" parTransId="{7FC018FA-4600-4E84-B7E0-68D590F679A8}" sibTransId="{AE46CABA-2587-44EB-91EE-36046FB00B65}"/>
    <dgm:cxn modelId="{A40791BD-5733-4FD8-9451-3AE87AA3C02B}" type="presOf" srcId="{8623C5BF-D9C9-45EF-80FA-16C66E9F947A}" destId="{47DB46B2-2E36-4E2C-B790-41ABF31BB5DA}" srcOrd="0" destOrd="0" presId="urn:microsoft.com/office/officeart/2005/8/layout/chevron1"/>
    <dgm:cxn modelId="{BA4BA5BD-2472-40A4-A54F-AF6C7D535EAD}" type="presOf" srcId="{74AF785D-53BB-46E0-84D5-B87846BC9A83}" destId="{6B78106F-D556-40D4-9E05-13280A5F75F9}" srcOrd="0" destOrd="0" presId="urn:microsoft.com/office/officeart/2005/8/layout/chevron1"/>
    <dgm:cxn modelId="{978EF0DD-F390-4EEB-B6D7-C8FA5D1B405E}" type="presOf" srcId="{F807CB73-1DCF-481F-8707-E91CC779B6A4}" destId="{DB936954-4016-4B53-9709-090CD9B935DC}" srcOrd="0" destOrd="0" presId="urn:microsoft.com/office/officeart/2005/8/layout/chevron1"/>
    <dgm:cxn modelId="{56233FF4-DCCE-4271-8DF9-F7478B5C060A}" srcId="{74AF785D-53BB-46E0-84D5-B87846BC9A83}" destId="{1A17164F-25A8-4938-AD64-E0F87D5333BC}" srcOrd="0" destOrd="0" parTransId="{401FCF0F-21B9-4D9F-A814-F221C6D9AC4F}" sibTransId="{7BEC7362-7F75-45C7-BBC8-5C517C2B7B25}"/>
    <dgm:cxn modelId="{0EC2C0F6-E115-4F81-8FF9-973A32474357}" srcId="{74AF785D-53BB-46E0-84D5-B87846BC9A83}" destId="{849BBD41-2667-485E-AF17-75A91ADEBFA2}" srcOrd="2" destOrd="0" parTransId="{FAC70805-F583-4765-AB51-0A8232DBAC52}" sibTransId="{499FA79D-F3A0-4095-8FAD-BA590FA3AC89}"/>
    <dgm:cxn modelId="{DADF73C3-3B20-4EF9-89B1-68E1183D1947}" type="presParOf" srcId="{6B78106F-D556-40D4-9E05-13280A5F75F9}" destId="{20A28ADC-1A81-49CF-AB1E-1ABD55291F81}" srcOrd="0" destOrd="0" presId="urn:microsoft.com/office/officeart/2005/8/layout/chevron1"/>
    <dgm:cxn modelId="{FF546F50-56B1-44FC-9B17-16154DD9F1A4}" type="presParOf" srcId="{6B78106F-D556-40D4-9E05-13280A5F75F9}" destId="{2B43D33F-62F2-458E-99FD-90C92F9E95FC}" srcOrd="1" destOrd="0" presId="urn:microsoft.com/office/officeart/2005/8/layout/chevron1"/>
    <dgm:cxn modelId="{1445CD98-6399-4539-A5F7-6C970B9256B5}" type="presParOf" srcId="{6B78106F-D556-40D4-9E05-13280A5F75F9}" destId="{47DB46B2-2E36-4E2C-B790-41ABF31BB5DA}" srcOrd="2" destOrd="0" presId="urn:microsoft.com/office/officeart/2005/8/layout/chevron1"/>
    <dgm:cxn modelId="{EFE70D62-A46A-418B-82AC-F4913F35E370}" type="presParOf" srcId="{6B78106F-D556-40D4-9E05-13280A5F75F9}" destId="{2FD1A183-475C-477B-B3F7-D253C03998F4}" srcOrd="3" destOrd="0" presId="urn:microsoft.com/office/officeart/2005/8/layout/chevron1"/>
    <dgm:cxn modelId="{0B74659A-9EC4-4D17-8644-3117B9FA7B0B}" type="presParOf" srcId="{6B78106F-D556-40D4-9E05-13280A5F75F9}" destId="{8E609709-6974-4C8A-8459-0183C47C880B}" srcOrd="4" destOrd="0" presId="urn:microsoft.com/office/officeart/2005/8/layout/chevron1"/>
    <dgm:cxn modelId="{1D8E8BB6-E7C6-4E89-938F-3ED0AFAA089F}" type="presParOf" srcId="{6B78106F-D556-40D4-9E05-13280A5F75F9}" destId="{10C1C406-F6EC-478E-8B94-EE04D2FD860A}" srcOrd="5" destOrd="0" presId="urn:microsoft.com/office/officeart/2005/8/layout/chevron1"/>
    <dgm:cxn modelId="{EDEE76A7-9BD2-4843-BA59-C8734BAA054D}" type="presParOf" srcId="{6B78106F-D556-40D4-9E05-13280A5F75F9}" destId="{DB936954-4016-4B53-9709-090CD9B935DC}" srcOrd="6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74AF785D-53BB-46E0-84D5-B87846BC9A83}" type="doc">
      <dgm:prSet loTypeId="urn:microsoft.com/office/officeart/2005/8/layout/chevron1" loCatId="process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pPr latinLnBrk="1"/>
          <a:endParaRPr lang="ko-KR" altLang="en-US"/>
        </a:p>
      </dgm:t>
    </dgm:pt>
    <dgm:pt modelId="{1A17164F-25A8-4938-AD64-E0F87D5333BC}">
      <dgm:prSet phldrT="[텍스트]" custT="1"/>
      <dgm:spPr>
        <a:solidFill>
          <a:schemeClr val="accent4">
            <a:lumMod val="20000"/>
            <a:lumOff val="80000"/>
          </a:schemeClr>
        </a:solidFill>
      </dgm:spPr>
      <dgm:t>
        <a:bodyPr/>
        <a:lstStyle/>
        <a:p>
          <a:pPr latinLnBrk="1"/>
          <a:r>
            <a:rPr lang="en-US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CMMI</a:t>
          </a:r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의 소프트웨어 프로세스 성숙도 단계</a:t>
          </a:r>
        </a:p>
      </dgm:t>
    </dgm:pt>
    <dgm:pt modelId="{401FCF0F-21B9-4D9F-A814-F221C6D9AC4F}" type="parTrans" cxnId="{56233FF4-DCCE-4271-8DF9-F7478B5C060A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7BEC7362-7F75-45C7-BBC8-5C517C2B7B25}" type="sibTrans" cxnId="{56233FF4-DCCE-4271-8DF9-F7478B5C060A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849BBD41-2667-485E-AF17-75A91ADEBFA2}">
      <dgm:prSet phldrT="[텍스트]"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관리</a:t>
          </a:r>
        </a:p>
      </dgm:t>
    </dgm:pt>
    <dgm:pt modelId="{FAC70805-F583-4765-AB51-0A8232DBAC52}" type="parTrans" cxnId="{0EC2C0F6-E115-4F81-8FF9-973A32474357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499FA79D-F3A0-4095-8FAD-BA590FA3AC89}" type="sibTrans" cxnId="{0EC2C0F6-E115-4F81-8FF9-973A32474357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F807CB73-1DCF-481F-8707-E91CC779B6A4}">
      <dgm:prSet phldrT="[텍스트]"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정의</a:t>
          </a:r>
        </a:p>
      </dgm:t>
    </dgm:pt>
    <dgm:pt modelId="{7FC018FA-4600-4E84-B7E0-68D590F679A8}" type="parTrans" cxnId="{9479A8B7-C7D3-48B5-8F98-BCE48F86CA49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AE46CABA-2587-44EB-91EE-36046FB00B65}" type="sibTrans" cxnId="{9479A8B7-C7D3-48B5-8F98-BCE48F86CA49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8623C5BF-D9C9-45EF-80FA-16C66E9F947A}">
      <dgm:prSet phldrT="[텍스트]"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초기</a:t>
          </a:r>
        </a:p>
      </dgm:t>
    </dgm:pt>
    <dgm:pt modelId="{3CD1C500-E230-422D-A34C-1611F3A6822D}" type="parTrans" cxnId="{5E354784-2B53-49FF-A3B1-C1DF98CC97B8}">
      <dgm:prSet/>
      <dgm:spPr/>
      <dgm:t>
        <a:bodyPr/>
        <a:lstStyle/>
        <a:p>
          <a:pPr latinLnBrk="1"/>
          <a:endParaRPr lang="ko-KR" altLang="en-US" sz="1800"/>
        </a:p>
      </dgm:t>
    </dgm:pt>
    <dgm:pt modelId="{D726B518-D561-4829-8005-5217CC40BD71}" type="sibTrans" cxnId="{5E354784-2B53-49FF-A3B1-C1DF98CC97B8}">
      <dgm:prSet/>
      <dgm:spPr/>
      <dgm:t>
        <a:bodyPr/>
        <a:lstStyle/>
        <a:p>
          <a:pPr latinLnBrk="1"/>
          <a:endParaRPr lang="ko-KR" altLang="en-US" sz="1800"/>
        </a:p>
      </dgm:t>
    </dgm:pt>
    <dgm:pt modelId="{03479E4D-26BC-4CC6-BE26-7A71816B935E}">
      <dgm:prSet phldrT="[텍스트]"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정량적 관리</a:t>
          </a:r>
        </a:p>
      </dgm:t>
    </dgm:pt>
    <dgm:pt modelId="{C4AB0ABC-B22A-418E-913B-9889D904BE00}" type="parTrans" cxnId="{36A11279-D42D-4B9C-8F2D-C8500033B9E1}">
      <dgm:prSet/>
      <dgm:spPr/>
      <dgm:t>
        <a:bodyPr/>
        <a:lstStyle/>
        <a:p>
          <a:pPr latinLnBrk="1"/>
          <a:endParaRPr lang="ko-KR" altLang="en-US" sz="1800"/>
        </a:p>
      </dgm:t>
    </dgm:pt>
    <dgm:pt modelId="{C86E2486-9988-4E08-81F9-69B936FB720D}" type="sibTrans" cxnId="{36A11279-D42D-4B9C-8F2D-C8500033B9E1}">
      <dgm:prSet/>
      <dgm:spPr/>
      <dgm:t>
        <a:bodyPr/>
        <a:lstStyle/>
        <a:p>
          <a:pPr latinLnBrk="1"/>
          <a:endParaRPr lang="ko-KR" altLang="en-US" sz="1800"/>
        </a:p>
      </dgm:t>
    </dgm:pt>
    <dgm:pt modelId="{25C897A8-8539-4735-99B8-165097565D99}">
      <dgm:prSet phldrT="[텍스트]"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최적화</a:t>
          </a:r>
        </a:p>
      </dgm:t>
    </dgm:pt>
    <dgm:pt modelId="{7D4B61C5-54BE-45EF-8B06-A1A4D0A7EB02}" type="parTrans" cxnId="{7816D9DA-75BD-42AF-B228-7D605BCA8FBA}">
      <dgm:prSet/>
      <dgm:spPr/>
      <dgm:t>
        <a:bodyPr/>
        <a:lstStyle/>
        <a:p>
          <a:pPr latinLnBrk="1"/>
          <a:endParaRPr lang="ko-KR" altLang="en-US" sz="1800"/>
        </a:p>
      </dgm:t>
    </dgm:pt>
    <dgm:pt modelId="{23D1F6C6-6F73-4FFF-B4E8-AA9B7EEF74AD}" type="sibTrans" cxnId="{7816D9DA-75BD-42AF-B228-7D605BCA8FBA}">
      <dgm:prSet/>
      <dgm:spPr/>
      <dgm:t>
        <a:bodyPr/>
        <a:lstStyle/>
        <a:p>
          <a:pPr latinLnBrk="1"/>
          <a:endParaRPr lang="ko-KR" altLang="en-US" sz="1800"/>
        </a:p>
      </dgm:t>
    </dgm:pt>
    <dgm:pt modelId="{6B78106F-D556-40D4-9E05-13280A5F75F9}" type="pres">
      <dgm:prSet presAssocID="{74AF785D-53BB-46E0-84D5-B87846BC9A83}" presName="Name0" presStyleCnt="0">
        <dgm:presLayoutVars>
          <dgm:dir/>
          <dgm:animLvl val="lvl"/>
          <dgm:resizeHandles val="exact"/>
        </dgm:presLayoutVars>
      </dgm:prSet>
      <dgm:spPr/>
    </dgm:pt>
    <dgm:pt modelId="{20A28ADC-1A81-49CF-AB1E-1ABD55291F81}" type="pres">
      <dgm:prSet presAssocID="{1A17164F-25A8-4938-AD64-E0F87D5333BC}" presName="parTxOnly" presStyleLbl="node1" presStyleIdx="0" presStyleCnt="6" custScaleX="311576">
        <dgm:presLayoutVars>
          <dgm:chMax val="0"/>
          <dgm:chPref val="0"/>
          <dgm:bulletEnabled val="1"/>
        </dgm:presLayoutVars>
      </dgm:prSet>
      <dgm:spPr/>
    </dgm:pt>
    <dgm:pt modelId="{2B43D33F-62F2-458E-99FD-90C92F9E95FC}" type="pres">
      <dgm:prSet presAssocID="{7BEC7362-7F75-45C7-BBC8-5C517C2B7B25}" presName="parTxOnlySpace" presStyleCnt="0"/>
      <dgm:spPr/>
    </dgm:pt>
    <dgm:pt modelId="{47DB46B2-2E36-4E2C-B790-41ABF31BB5DA}" type="pres">
      <dgm:prSet presAssocID="{8623C5BF-D9C9-45EF-80FA-16C66E9F947A}" presName="parTxOnly" presStyleLbl="node1" presStyleIdx="1" presStyleCnt="6">
        <dgm:presLayoutVars>
          <dgm:chMax val="0"/>
          <dgm:chPref val="0"/>
          <dgm:bulletEnabled val="1"/>
        </dgm:presLayoutVars>
      </dgm:prSet>
      <dgm:spPr/>
    </dgm:pt>
    <dgm:pt modelId="{2FD1A183-475C-477B-B3F7-D253C03998F4}" type="pres">
      <dgm:prSet presAssocID="{D726B518-D561-4829-8005-5217CC40BD71}" presName="parTxOnlySpace" presStyleCnt="0"/>
      <dgm:spPr/>
    </dgm:pt>
    <dgm:pt modelId="{8E609709-6974-4C8A-8459-0183C47C880B}" type="pres">
      <dgm:prSet presAssocID="{849BBD41-2667-485E-AF17-75A91ADEBFA2}" presName="parTxOnly" presStyleLbl="node1" presStyleIdx="2" presStyleCnt="6">
        <dgm:presLayoutVars>
          <dgm:chMax val="0"/>
          <dgm:chPref val="0"/>
          <dgm:bulletEnabled val="1"/>
        </dgm:presLayoutVars>
      </dgm:prSet>
      <dgm:spPr/>
    </dgm:pt>
    <dgm:pt modelId="{10C1C406-F6EC-478E-8B94-EE04D2FD860A}" type="pres">
      <dgm:prSet presAssocID="{499FA79D-F3A0-4095-8FAD-BA590FA3AC89}" presName="parTxOnlySpace" presStyleCnt="0"/>
      <dgm:spPr/>
    </dgm:pt>
    <dgm:pt modelId="{DB936954-4016-4B53-9709-090CD9B935DC}" type="pres">
      <dgm:prSet presAssocID="{F807CB73-1DCF-481F-8707-E91CC779B6A4}" presName="parTxOnly" presStyleLbl="node1" presStyleIdx="3" presStyleCnt="6">
        <dgm:presLayoutVars>
          <dgm:chMax val="0"/>
          <dgm:chPref val="0"/>
          <dgm:bulletEnabled val="1"/>
        </dgm:presLayoutVars>
      </dgm:prSet>
      <dgm:spPr/>
    </dgm:pt>
    <dgm:pt modelId="{F19CF9EB-E998-40E9-8427-EF06966FAFE2}" type="pres">
      <dgm:prSet presAssocID="{AE46CABA-2587-44EB-91EE-36046FB00B65}" presName="parTxOnlySpace" presStyleCnt="0"/>
      <dgm:spPr/>
    </dgm:pt>
    <dgm:pt modelId="{26460EDD-0513-4BAA-9EF8-56EABA3481CB}" type="pres">
      <dgm:prSet presAssocID="{03479E4D-26BC-4CC6-BE26-7A71816B935E}" presName="parTxOnly" presStyleLbl="node1" presStyleIdx="4" presStyleCnt="6" custScaleX="133010">
        <dgm:presLayoutVars>
          <dgm:chMax val="0"/>
          <dgm:chPref val="0"/>
          <dgm:bulletEnabled val="1"/>
        </dgm:presLayoutVars>
      </dgm:prSet>
      <dgm:spPr/>
    </dgm:pt>
    <dgm:pt modelId="{E85D9BCB-33EA-4564-A483-2E9209312861}" type="pres">
      <dgm:prSet presAssocID="{C86E2486-9988-4E08-81F9-69B936FB720D}" presName="parTxOnlySpace" presStyleCnt="0"/>
      <dgm:spPr/>
    </dgm:pt>
    <dgm:pt modelId="{6B262BC6-F3FA-41E1-A8BE-2E27C4104944}" type="pres">
      <dgm:prSet presAssocID="{25C897A8-8539-4735-99B8-165097565D99}" presName="parTxOnly" presStyleLbl="node1" presStyleIdx="5" presStyleCnt="6">
        <dgm:presLayoutVars>
          <dgm:chMax val="0"/>
          <dgm:chPref val="0"/>
          <dgm:bulletEnabled val="1"/>
        </dgm:presLayoutVars>
      </dgm:prSet>
      <dgm:spPr/>
    </dgm:pt>
  </dgm:ptLst>
  <dgm:cxnLst>
    <dgm:cxn modelId="{29FCEF27-2E77-4469-AB3C-4B270E47B965}" type="presOf" srcId="{1A17164F-25A8-4938-AD64-E0F87D5333BC}" destId="{20A28ADC-1A81-49CF-AB1E-1ABD55291F81}" srcOrd="0" destOrd="0" presId="urn:microsoft.com/office/officeart/2005/8/layout/chevron1"/>
    <dgm:cxn modelId="{1187F742-AB06-4E4A-8A38-7AAD6DD6CE14}" type="presOf" srcId="{03479E4D-26BC-4CC6-BE26-7A71816B935E}" destId="{26460EDD-0513-4BAA-9EF8-56EABA3481CB}" srcOrd="0" destOrd="0" presId="urn:microsoft.com/office/officeart/2005/8/layout/chevron1"/>
    <dgm:cxn modelId="{36A11279-D42D-4B9C-8F2D-C8500033B9E1}" srcId="{74AF785D-53BB-46E0-84D5-B87846BC9A83}" destId="{03479E4D-26BC-4CC6-BE26-7A71816B935E}" srcOrd="4" destOrd="0" parTransId="{C4AB0ABC-B22A-418E-913B-9889D904BE00}" sibTransId="{C86E2486-9988-4E08-81F9-69B936FB720D}"/>
    <dgm:cxn modelId="{5E354784-2B53-49FF-A3B1-C1DF98CC97B8}" srcId="{74AF785D-53BB-46E0-84D5-B87846BC9A83}" destId="{8623C5BF-D9C9-45EF-80FA-16C66E9F947A}" srcOrd="1" destOrd="0" parTransId="{3CD1C500-E230-422D-A34C-1611F3A6822D}" sibTransId="{D726B518-D561-4829-8005-5217CC40BD71}"/>
    <dgm:cxn modelId="{BF83FDB6-B12D-4461-AC79-A71D1E23F965}" type="presOf" srcId="{849BBD41-2667-485E-AF17-75A91ADEBFA2}" destId="{8E609709-6974-4C8A-8459-0183C47C880B}" srcOrd="0" destOrd="0" presId="urn:microsoft.com/office/officeart/2005/8/layout/chevron1"/>
    <dgm:cxn modelId="{9479A8B7-C7D3-48B5-8F98-BCE48F86CA49}" srcId="{74AF785D-53BB-46E0-84D5-B87846BC9A83}" destId="{F807CB73-1DCF-481F-8707-E91CC779B6A4}" srcOrd="3" destOrd="0" parTransId="{7FC018FA-4600-4E84-B7E0-68D590F679A8}" sibTransId="{AE46CABA-2587-44EB-91EE-36046FB00B65}"/>
    <dgm:cxn modelId="{A40791BD-5733-4FD8-9451-3AE87AA3C02B}" type="presOf" srcId="{8623C5BF-D9C9-45EF-80FA-16C66E9F947A}" destId="{47DB46B2-2E36-4E2C-B790-41ABF31BB5DA}" srcOrd="0" destOrd="0" presId="urn:microsoft.com/office/officeart/2005/8/layout/chevron1"/>
    <dgm:cxn modelId="{BA4BA5BD-2472-40A4-A54F-AF6C7D535EAD}" type="presOf" srcId="{74AF785D-53BB-46E0-84D5-B87846BC9A83}" destId="{6B78106F-D556-40D4-9E05-13280A5F75F9}" srcOrd="0" destOrd="0" presId="urn:microsoft.com/office/officeart/2005/8/layout/chevron1"/>
    <dgm:cxn modelId="{4357BCC1-E117-45B6-B869-E8575B9E4CE5}" type="presOf" srcId="{25C897A8-8539-4735-99B8-165097565D99}" destId="{6B262BC6-F3FA-41E1-A8BE-2E27C4104944}" srcOrd="0" destOrd="0" presId="urn:microsoft.com/office/officeart/2005/8/layout/chevron1"/>
    <dgm:cxn modelId="{7816D9DA-75BD-42AF-B228-7D605BCA8FBA}" srcId="{74AF785D-53BB-46E0-84D5-B87846BC9A83}" destId="{25C897A8-8539-4735-99B8-165097565D99}" srcOrd="5" destOrd="0" parTransId="{7D4B61C5-54BE-45EF-8B06-A1A4D0A7EB02}" sibTransId="{23D1F6C6-6F73-4FFF-B4E8-AA9B7EEF74AD}"/>
    <dgm:cxn modelId="{978EF0DD-F390-4EEB-B6D7-C8FA5D1B405E}" type="presOf" srcId="{F807CB73-1DCF-481F-8707-E91CC779B6A4}" destId="{DB936954-4016-4B53-9709-090CD9B935DC}" srcOrd="0" destOrd="0" presId="urn:microsoft.com/office/officeart/2005/8/layout/chevron1"/>
    <dgm:cxn modelId="{56233FF4-DCCE-4271-8DF9-F7478B5C060A}" srcId="{74AF785D-53BB-46E0-84D5-B87846BC9A83}" destId="{1A17164F-25A8-4938-AD64-E0F87D5333BC}" srcOrd="0" destOrd="0" parTransId="{401FCF0F-21B9-4D9F-A814-F221C6D9AC4F}" sibTransId="{7BEC7362-7F75-45C7-BBC8-5C517C2B7B25}"/>
    <dgm:cxn modelId="{0EC2C0F6-E115-4F81-8FF9-973A32474357}" srcId="{74AF785D-53BB-46E0-84D5-B87846BC9A83}" destId="{849BBD41-2667-485E-AF17-75A91ADEBFA2}" srcOrd="2" destOrd="0" parTransId="{FAC70805-F583-4765-AB51-0A8232DBAC52}" sibTransId="{499FA79D-F3A0-4095-8FAD-BA590FA3AC89}"/>
    <dgm:cxn modelId="{DADF73C3-3B20-4EF9-89B1-68E1183D1947}" type="presParOf" srcId="{6B78106F-D556-40D4-9E05-13280A5F75F9}" destId="{20A28ADC-1A81-49CF-AB1E-1ABD55291F81}" srcOrd="0" destOrd="0" presId="urn:microsoft.com/office/officeart/2005/8/layout/chevron1"/>
    <dgm:cxn modelId="{FF546F50-56B1-44FC-9B17-16154DD9F1A4}" type="presParOf" srcId="{6B78106F-D556-40D4-9E05-13280A5F75F9}" destId="{2B43D33F-62F2-458E-99FD-90C92F9E95FC}" srcOrd="1" destOrd="0" presId="urn:microsoft.com/office/officeart/2005/8/layout/chevron1"/>
    <dgm:cxn modelId="{1445CD98-6399-4539-A5F7-6C970B9256B5}" type="presParOf" srcId="{6B78106F-D556-40D4-9E05-13280A5F75F9}" destId="{47DB46B2-2E36-4E2C-B790-41ABF31BB5DA}" srcOrd="2" destOrd="0" presId="urn:microsoft.com/office/officeart/2005/8/layout/chevron1"/>
    <dgm:cxn modelId="{EFE70D62-A46A-418B-82AC-F4913F35E370}" type="presParOf" srcId="{6B78106F-D556-40D4-9E05-13280A5F75F9}" destId="{2FD1A183-475C-477B-B3F7-D253C03998F4}" srcOrd="3" destOrd="0" presId="urn:microsoft.com/office/officeart/2005/8/layout/chevron1"/>
    <dgm:cxn modelId="{0B74659A-9EC4-4D17-8644-3117B9FA7B0B}" type="presParOf" srcId="{6B78106F-D556-40D4-9E05-13280A5F75F9}" destId="{8E609709-6974-4C8A-8459-0183C47C880B}" srcOrd="4" destOrd="0" presId="urn:microsoft.com/office/officeart/2005/8/layout/chevron1"/>
    <dgm:cxn modelId="{1D8E8BB6-E7C6-4E89-938F-3ED0AFAA089F}" type="presParOf" srcId="{6B78106F-D556-40D4-9E05-13280A5F75F9}" destId="{10C1C406-F6EC-478E-8B94-EE04D2FD860A}" srcOrd="5" destOrd="0" presId="urn:microsoft.com/office/officeart/2005/8/layout/chevron1"/>
    <dgm:cxn modelId="{EDEE76A7-9BD2-4843-BA59-C8734BAA054D}" type="presParOf" srcId="{6B78106F-D556-40D4-9E05-13280A5F75F9}" destId="{DB936954-4016-4B53-9709-090CD9B935DC}" srcOrd="6" destOrd="0" presId="urn:microsoft.com/office/officeart/2005/8/layout/chevron1"/>
    <dgm:cxn modelId="{9E251AA3-A921-4FD5-97BC-4FE0344CD1D2}" type="presParOf" srcId="{6B78106F-D556-40D4-9E05-13280A5F75F9}" destId="{F19CF9EB-E998-40E9-8427-EF06966FAFE2}" srcOrd="7" destOrd="0" presId="urn:microsoft.com/office/officeart/2005/8/layout/chevron1"/>
    <dgm:cxn modelId="{C50ED1F7-D417-4BA1-81C3-4F17497405EC}" type="presParOf" srcId="{6B78106F-D556-40D4-9E05-13280A5F75F9}" destId="{26460EDD-0513-4BAA-9EF8-56EABA3481CB}" srcOrd="8" destOrd="0" presId="urn:microsoft.com/office/officeart/2005/8/layout/chevron1"/>
    <dgm:cxn modelId="{0BE72228-16AA-46CC-8D1B-E05A98E7861E}" type="presParOf" srcId="{6B78106F-D556-40D4-9E05-13280A5F75F9}" destId="{E85D9BCB-33EA-4564-A483-2E9209312861}" srcOrd="9" destOrd="0" presId="urn:microsoft.com/office/officeart/2005/8/layout/chevron1"/>
    <dgm:cxn modelId="{16105379-F695-4612-A3E0-A7EDEC01F2E8}" type="presParOf" srcId="{6B78106F-D556-40D4-9E05-13280A5F75F9}" destId="{6B262BC6-F3FA-41E1-A8BE-2E27C4104944}" srcOrd="1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7.xml><?xml version="1.0" encoding="utf-8"?>
<dgm:dataModel xmlns:dgm="http://schemas.openxmlformats.org/drawingml/2006/diagram" xmlns:a="http://schemas.openxmlformats.org/drawingml/2006/main">
  <dgm:ptLst>
    <dgm:pt modelId="{74AF785D-53BB-46E0-84D5-B87846BC9A83}" type="doc">
      <dgm:prSet loTypeId="urn:microsoft.com/office/officeart/2005/8/layout/chevron1" loCatId="process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pPr latinLnBrk="1"/>
          <a:endParaRPr lang="ko-KR" altLang="en-US"/>
        </a:p>
      </dgm:t>
    </dgm:pt>
    <dgm:pt modelId="{1A17164F-25A8-4938-AD64-E0F87D5333BC}">
      <dgm:prSet phldrT="[텍스트]" custT="1"/>
      <dgm:spPr>
        <a:solidFill>
          <a:schemeClr val="accent4">
            <a:lumMod val="20000"/>
            <a:lumOff val="80000"/>
          </a:schemeClr>
        </a:solidFill>
      </dgm:spPr>
      <dgm:t>
        <a:bodyPr/>
        <a:lstStyle/>
        <a:p>
          <a:pPr latinLnBrk="1"/>
          <a:r>
            <a:rPr lang="en-US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SPICE</a:t>
          </a:r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의 프로세스 수행 능력 단계</a:t>
          </a:r>
        </a:p>
      </dgm:t>
    </dgm:pt>
    <dgm:pt modelId="{401FCF0F-21B9-4D9F-A814-F221C6D9AC4F}" type="parTrans" cxnId="{56233FF4-DCCE-4271-8DF9-F7478B5C060A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7BEC7362-7F75-45C7-BBC8-5C517C2B7B25}" type="sibTrans" cxnId="{56233FF4-DCCE-4271-8DF9-F7478B5C060A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849BBD41-2667-485E-AF17-75A91ADEBFA2}">
      <dgm:prSet phldrT="[텍스트]"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수행</a:t>
          </a:r>
        </a:p>
      </dgm:t>
    </dgm:pt>
    <dgm:pt modelId="{FAC70805-F583-4765-AB51-0A8232DBAC52}" type="parTrans" cxnId="{0EC2C0F6-E115-4F81-8FF9-973A32474357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499FA79D-F3A0-4095-8FAD-BA590FA3AC89}" type="sibTrans" cxnId="{0EC2C0F6-E115-4F81-8FF9-973A32474357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F807CB73-1DCF-481F-8707-E91CC779B6A4}">
      <dgm:prSet phldrT="[텍스트]"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관리</a:t>
          </a:r>
        </a:p>
      </dgm:t>
    </dgm:pt>
    <dgm:pt modelId="{7FC018FA-4600-4E84-B7E0-68D590F679A8}" type="parTrans" cxnId="{9479A8B7-C7D3-48B5-8F98-BCE48F86CA49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AE46CABA-2587-44EB-91EE-36046FB00B65}" type="sibTrans" cxnId="{9479A8B7-C7D3-48B5-8F98-BCE48F86CA49}">
      <dgm:prSet/>
      <dgm:spPr/>
      <dgm:t>
        <a:bodyPr/>
        <a:lstStyle/>
        <a:p>
          <a:pPr latinLnBrk="1"/>
          <a:endParaRPr lang="ko-KR" altLang="en-US" sz="18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gm:t>
    </dgm:pt>
    <dgm:pt modelId="{8623C5BF-D9C9-45EF-80FA-16C66E9F947A}">
      <dgm:prSet phldrT="[텍스트]"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불완전</a:t>
          </a:r>
        </a:p>
      </dgm:t>
    </dgm:pt>
    <dgm:pt modelId="{3CD1C500-E230-422D-A34C-1611F3A6822D}" type="parTrans" cxnId="{5E354784-2B53-49FF-A3B1-C1DF98CC97B8}">
      <dgm:prSet/>
      <dgm:spPr/>
      <dgm:t>
        <a:bodyPr/>
        <a:lstStyle/>
        <a:p>
          <a:pPr latinLnBrk="1"/>
          <a:endParaRPr lang="ko-KR" altLang="en-US" sz="1800"/>
        </a:p>
      </dgm:t>
    </dgm:pt>
    <dgm:pt modelId="{D726B518-D561-4829-8005-5217CC40BD71}" type="sibTrans" cxnId="{5E354784-2B53-49FF-A3B1-C1DF98CC97B8}">
      <dgm:prSet/>
      <dgm:spPr/>
      <dgm:t>
        <a:bodyPr/>
        <a:lstStyle/>
        <a:p>
          <a:pPr latinLnBrk="1"/>
          <a:endParaRPr lang="ko-KR" altLang="en-US" sz="1800"/>
        </a:p>
      </dgm:t>
    </dgm:pt>
    <dgm:pt modelId="{25C897A8-8539-4735-99B8-165097565D99}">
      <dgm:prSet phldrT="[텍스트]"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최적화</a:t>
          </a:r>
        </a:p>
      </dgm:t>
    </dgm:pt>
    <dgm:pt modelId="{7D4B61C5-54BE-45EF-8B06-A1A4D0A7EB02}" type="parTrans" cxnId="{7816D9DA-75BD-42AF-B228-7D605BCA8FBA}">
      <dgm:prSet/>
      <dgm:spPr/>
      <dgm:t>
        <a:bodyPr/>
        <a:lstStyle/>
        <a:p>
          <a:pPr latinLnBrk="1"/>
          <a:endParaRPr lang="ko-KR" altLang="en-US" sz="1800"/>
        </a:p>
      </dgm:t>
    </dgm:pt>
    <dgm:pt modelId="{23D1F6C6-6F73-4FFF-B4E8-AA9B7EEF74AD}" type="sibTrans" cxnId="{7816D9DA-75BD-42AF-B228-7D605BCA8FBA}">
      <dgm:prSet/>
      <dgm:spPr/>
      <dgm:t>
        <a:bodyPr/>
        <a:lstStyle/>
        <a:p>
          <a:pPr latinLnBrk="1"/>
          <a:endParaRPr lang="ko-KR" altLang="en-US" sz="1800"/>
        </a:p>
      </dgm:t>
    </dgm:pt>
    <dgm:pt modelId="{5A07047F-A37E-4FB4-8363-682F3CA3E0DD}">
      <dgm:prSet phldrT="[텍스트]"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확립</a:t>
          </a:r>
        </a:p>
      </dgm:t>
    </dgm:pt>
    <dgm:pt modelId="{F270200D-D426-4F7D-A6E1-F9F3D422F258}" type="parTrans" cxnId="{B20B6428-919C-4807-B4CD-95683C5A85A9}">
      <dgm:prSet/>
      <dgm:spPr/>
      <dgm:t>
        <a:bodyPr/>
        <a:lstStyle/>
        <a:p>
          <a:pPr latinLnBrk="1"/>
          <a:endParaRPr lang="ko-KR" altLang="en-US"/>
        </a:p>
      </dgm:t>
    </dgm:pt>
    <dgm:pt modelId="{443E6BEE-B452-4B8F-B986-C00E28E42B44}" type="sibTrans" cxnId="{B20B6428-919C-4807-B4CD-95683C5A85A9}">
      <dgm:prSet/>
      <dgm:spPr/>
      <dgm:t>
        <a:bodyPr/>
        <a:lstStyle/>
        <a:p>
          <a:pPr latinLnBrk="1"/>
          <a:endParaRPr lang="ko-KR" altLang="en-US"/>
        </a:p>
      </dgm:t>
    </dgm:pt>
    <dgm:pt modelId="{FD707B8E-4E16-482D-9221-49F5FC36FD18}">
      <dgm:prSet phldrT="[텍스트]" custT="1"/>
      <dgm:spPr/>
      <dgm:t>
        <a:bodyPr/>
        <a:lstStyle/>
        <a:p>
          <a:pPr latinLnBrk="1"/>
          <a:r>
            <a:rPr lang="ko-KR" altLang="en-US" sz="1800">
              <a:latin typeface="210 네모진 020" panose="02020603020101020101" pitchFamily="18" charset="-127"/>
              <a:ea typeface="210 네모진 020" panose="02020603020101020101" pitchFamily="18" charset="-127"/>
            </a:rPr>
            <a:t>예측</a:t>
          </a:r>
        </a:p>
      </dgm:t>
    </dgm:pt>
    <dgm:pt modelId="{7D26AB4B-E8A9-4FC8-BDF0-4EB967A0B781}" type="parTrans" cxnId="{E0DFD5A5-D6E0-4C1F-BA6D-89DC8C7FF328}">
      <dgm:prSet/>
      <dgm:spPr/>
      <dgm:t>
        <a:bodyPr/>
        <a:lstStyle/>
        <a:p>
          <a:pPr latinLnBrk="1"/>
          <a:endParaRPr lang="ko-KR" altLang="en-US"/>
        </a:p>
      </dgm:t>
    </dgm:pt>
    <dgm:pt modelId="{EF9F094A-8FFD-4180-94C5-989C68A5F098}" type="sibTrans" cxnId="{E0DFD5A5-D6E0-4C1F-BA6D-89DC8C7FF328}">
      <dgm:prSet/>
      <dgm:spPr/>
      <dgm:t>
        <a:bodyPr/>
        <a:lstStyle/>
        <a:p>
          <a:pPr latinLnBrk="1"/>
          <a:endParaRPr lang="ko-KR" altLang="en-US"/>
        </a:p>
      </dgm:t>
    </dgm:pt>
    <dgm:pt modelId="{6B78106F-D556-40D4-9E05-13280A5F75F9}" type="pres">
      <dgm:prSet presAssocID="{74AF785D-53BB-46E0-84D5-B87846BC9A83}" presName="Name0" presStyleCnt="0">
        <dgm:presLayoutVars>
          <dgm:dir/>
          <dgm:animLvl val="lvl"/>
          <dgm:resizeHandles val="exact"/>
        </dgm:presLayoutVars>
      </dgm:prSet>
      <dgm:spPr/>
    </dgm:pt>
    <dgm:pt modelId="{20A28ADC-1A81-49CF-AB1E-1ABD55291F81}" type="pres">
      <dgm:prSet presAssocID="{1A17164F-25A8-4938-AD64-E0F87D5333BC}" presName="parTxOnly" presStyleLbl="node1" presStyleIdx="0" presStyleCnt="7" custScaleX="311576">
        <dgm:presLayoutVars>
          <dgm:chMax val="0"/>
          <dgm:chPref val="0"/>
          <dgm:bulletEnabled val="1"/>
        </dgm:presLayoutVars>
      </dgm:prSet>
      <dgm:spPr/>
    </dgm:pt>
    <dgm:pt modelId="{2B43D33F-62F2-458E-99FD-90C92F9E95FC}" type="pres">
      <dgm:prSet presAssocID="{7BEC7362-7F75-45C7-BBC8-5C517C2B7B25}" presName="parTxOnlySpace" presStyleCnt="0"/>
      <dgm:spPr/>
    </dgm:pt>
    <dgm:pt modelId="{47DB46B2-2E36-4E2C-B790-41ABF31BB5DA}" type="pres">
      <dgm:prSet presAssocID="{8623C5BF-D9C9-45EF-80FA-16C66E9F947A}" presName="parTxOnly" presStyleLbl="node1" presStyleIdx="1" presStyleCnt="7">
        <dgm:presLayoutVars>
          <dgm:chMax val="0"/>
          <dgm:chPref val="0"/>
          <dgm:bulletEnabled val="1"/>
        </dgm:presLayoutVars>
      </dgm:prSet>
      <dgm:spPr/>
    </dgm:pt>
    <dgm:pt modelId="{2FD1A183-475C-477B-B3F7-D253C03998F4}" type="pres">
      <dgm:prSet presAssocID="{D726B518-D561-4829-8005-5217CC40BD71}" presName="parTxOnlySpace" presStyleCnt="0"/>
      <dgm:spPr/>
    </dgm:pt>
    <dgm:pt modelId="{8E609709-6974-4C8A-8459-0183C47C880B}" type="pres">
      <dgm:prSet presAssocID="{849BBD41-2667-485E-AF17-75A91ADEBFA2}" presName="parTxOnly" presStyleLbl="node1" presStyleIdx="2" presStyleCnt="7">
        <dgm:presLayoutVars>
          <dgm:chMax val="0"/>
          <dgm:chPref val="0"/>
          <dgm:bulletEnabled val="1"/>
        </dgm:presLayoutVars>
      </dgm:prSet>
      <dgm:spPr/>
    </dgm:pt>
    <dgm:pt modelId="{10C1C406-F6EC-478E-8B94-EE04D2FD860A}" type="pres">
      <dgm:prSet presAssocID="{499FA79D-F3A0-4095-8FAD-BA590FA3AC89}" presName="parTxOnlySpace" presStyleCnt="0"/>
      <dgm:spPr/>
    </dgm:pt>
    <dgm:pt modelId="{DB936954-4016-4B53-9709-090CD9B935DC}" type="pres">
      <dgm:prSet presAssocID="{F807CB73-1DCF-481F-8707-E91CC779B6A4}" presName="parTxOnly" presStyleLbl="node1" presStyleIdx="3" presStyleCnt="7">
        <dgm:presLayoutVars>
          <dgm:chMax val="0"/>
          <dgm:chPref val="0"/>
          <dgm:bulletEnabled val="1"/>
        </dgm:presLayoutVars>
      </dgm:prSet>
      <dgm:spPr/>
    </dgm:pt>
    <dgm:pt modelId="{F19CF9EB-E998-40E9-8427-EF06966FAFE2}" type="pres">
      <dgm:prSet presAssocID="{AE46CABA-2587-44EB-91EE-36046FB00B65}" presName="parTxOnlySpace" presStyleCnt="0"/>
      <dgm:spPr/>
    </dgm:pt>
    <dgm:pt modelId="{488AB96C-7A88-4822-ACBC-1A61033E99DB}" type="pres">
      <dgm:prSet presAssocID="{5A07047F-A37E-4FB4-8363-682F3CA3E0DD}" presName="parTxOnly" presStyleLbl="node1" presStyleIdx="4" presStyleCnt="7">
        <dgm:presLayoutVars>
          <dgm:chMax val="0"/>
          <dgm:chPref val="0"/>
          <dgm:bulletEnabled val="1"/>
        </dgm:presLayoutVars>
      </dgm:prSet>
      <dgm:spPr/>
    </dgm:pt>
    <dgm:pt modelId="{B5A77F68-17AD-4DF2-8E5B-4A9B3B4F4D66}" type="pres">
      <dgm:prSet presAssocID="{443E6BEE-B452-4B8F-B986-C00E28E42B44}" presName="parTxOnlySpace" presStyleCnt="0"/>
      <dgm:spPr/>
    </dgm:pt>
    <dgm:pt modelId="{E3C61602-6EF6-47AD-8F06-D0151C2067F4}" type="pres">
      <dgm:prSet presAssocID="{FD707B8E-4E16-482D-9221-49F5FC36FD18}" presName="parTxOnly" presStyleLbl="node1" presStyleIdx="5" presStyleCnt="7">
        <dgm:presLayoutVars>
          <dgm:chMax val="0"/>
          <dgm:chPref val="0"/>
          <dgm:bulletEnabled val="1"/>
        </dgm:presLayoutVars>
      </dgm:prSet>
      <dgm:spPr/>
    </dgm:pt>
    <dgm:pt modelId="{D519DEC4-855D-4547-9094-FEB78D451ACA}" type="pres">
      <dgm:prSet presAssocID="{EF9F094A-8FFD-4180-94C5-989C68A5F098}" presName="parTxOnlySpace" presStyleCnt="0"/>
      <dgm:spPr/>
    </dgm:pt>
    <dgm:pt modelId="{6B262BC6-F3FA-41E1-A8BE-2E27C4104944}" type="pres">
      <dgm:prSet presAssocID="{25C897A8-8539-4735-99B8-165097565D99}" presName="parTxOnly" presStyleLbl="node1" presStyleIdx="6" presStyleCnt="7">
        <dgm:presLayoutVars>
          <dgm:chMax val="0"/>
          <dgm:chPref val="0"/>
          <dgm:bulletEnabled val="1"/>
        </dgm:presLayoutVars>
      </dgm:prSet>
      <dgm:spPr/>
    </dgm:pt>
  </dgm:ptLst>
  <dgm:cxnLst>
    <dgm:cxn modelId="{29FCEF27-2E77-4469-AB3C-4B270E47B965}" type="presOf" srcId="{1A17164F-25A8-4938-AD64-E0F87D5333BC}" destId="{20A28ADC-1A81-49CF-AB1E-1ABD55291F81}" srcOrd="0" destOrd="0" presId="urn:microsoft.com/office/officeart/2005/8/layout/chevron1"/>
    <dgm:cxn modelId="{B20B6428-919C-4807-B4CD-95683C5A85A9}" srcId="{74AF785D-53BB-46E0-84D5-B87846BC9A83}" destId="{5A07047F-A37E-4FB4-8363-682F3CA3E0DD}" srcOrd="4" destOrd="0" parTransId="{F270200D-D426-4F7D-A6E1-F9F3D422F258}" sibTransId="{443E6BEE-B452-4B8F-B986-C00E28E42B44}"/>
    <dgm:cxn modelId="{CB057738-B664-4D5E-AD61-D5C8C4664A55}" type="presOf" srcId="{5A07047F-A37E-4FB4-8363-682F3CA3E0DD}" destId="{488AB96C-7A88-4822-ACBC-1A61033E99DB}" srcOrd="0" destOrd="0" presId="urn:microsoft.com/office/officeart/2005/8/layout/chevron1"/>
    <dgm:cxn modelId="{A2FAD647-5BA5-49D7-87AD-41951610F0AF}" type="presOf" srcId="{FD707B8E-4E16-482D-9221-49F5FC36FD18}" destId="{E3C61602-6EF6-47AD-8F06-D0151C2067F4}" srcOrd="0" destOrd="0" presId="urn:microsoft.com/office/officeart/2005/8/layout/chevron1"/>
    <dgm:cxn modelId="{5E354784-2B53-49FF-A3B1-C1DF98CC97B8}" srcId="{74AF785D-53BB-46E0-84D5-B87846BC9A83}" destId="{8623C5BF-D9C9-45EF-80FA-16C66E9F947A}" srcOrd="1" destOrd="0" parTransId="{3CD1C500-E230-422D-A34C-1611F3A6822D}" sibTransId="{D726B518-D561-4829-8005-5217CC40BD71}"/>
    <dgm:cxn modelId="{E0DFD5A5-D6E0-4C1F-BA6D-89DC8C7FF328}" srcId="{74AF785D-53BB-46E0-84D5-B87846BC9A83}" destId="{FD707B8E-4E16-482D-9221-49F5FC36FD18}" srcOrd="5" destOrd="0" parTransId="{7D26AB4B-E8A9-4FC8-BDF0-4EB967A0B781}" sibTransId="{EF9F094A-8FFD-4180-94C5-989C68A5F098}"/>
    <dgm:cxn modelId="{BF83FDB6-B12D-4461-AC79-A71D1E23F965}" type="presOf" srcId="{849BBD41-2667-485E-AF17-75A91ADEBFA2}" destId="{8E609709-6974-4C8A-8459-0183C47C880B}" srcOrd="0" destOrd="0" presId="urn:microsoft.com/office/officeart/2005/8/layout/chevron1"/>
    <dgm:cxn modelId="{9479A8B7-C7D3-48B5-8F98-BCE48F86CA49}" srcId="{74AF785D-53BB-46E0-84D5-B87846BC9A83}" destId="{F807CB73-1DCF-481F-8707-E91CC779B6A4}" srcOrd="3" destOrd="0" parTransId="{7FC018FA-4600-4E84-B7E0-68D590F679A8}" sibTransId="{AE46CABA-2587-44EB-91EE-36046FB00B65}"/>
    <dgm:cxn modelId="{A40791BD-5733-4FD8-9451-3AE87AA3C02B}" type="presOf" srcId="{8623C5BF-D9C9-45EF-80FA-16C66E9F947A}" destId="{47DB46B2-2E36-4E2C-B790-41ABF31BB5DA}" srcOrd="0" destOrd="0" presId="urn:microsoft.com/office/officeart/2005/8/layout/chevron1"/>
    <dgm:cxn modelId="{BA4BA5BD-2472-40A4-A54F-AF6C7D535EAD}" type="presOf" srcId="{74AF785D-53BB-46E0-84D5-B87846BC9A83}" destId="{6B78106F-D556-40D4-9E05-13280A5F75F9}" srcOrd="0" destOrd="0" presId="urn:microsoft.com/office/officeart/2005/8/layout/chevron1"/>
    <dgm:cxn modelId="{4357BCC1-E117-45B6-B869-E8575B9E4CE5}" type="presOf" srcId="{25C897A8-8539-4735-99B8-165097565D99}" destId="{6B262BC6-F3FA-41E1-A8BE-2E27C4104944}" srcOrd="0" destOrd="0" presId="urn:microsoft.com/office/officeart/2005/8/layout/chevron1"/>
    <dgm:cxn modelId="{7816D9DA-75BD-42AF-B228-7D605BCA8FBA}" srcId="{74AF785D-53BB-46E0-84D5-B87846BC9A83}" destId="{25C897A8-8539-4735-99B8-165097565D99}" srcOrd="6" destOrd="0" parTransId="{7D4B61C5-54BE-45EF-8B06-A1A4D0A7EB02}" sibTransId="{23D1F6C6-6F73-4FFF-B4E8-AA9B7EEF74AD}"/>
    <dgm:cxn modelId="{978EF0DD-F390-4EEB-B6D7-C8FA5D1B405E}" type="presOf" srcId="{F807CB73-1DCF-481F-8707-E91CC779B6A4}" destId="{DB936954-4016-4B53-9709-090CD9B935DC}" srcOrd="0" destOrd="0" presId="urn:microsoft.com/office/officeart/2005/8/layout/chevron1"/>
    <dgm:cxn modelId="{56233FF4-DCCE-4271-8DF9-F7478B5C060A}" srcId="{74AF785D-53BB-46E0-84D5-B87846BC9A83}" destId="{1A17164F-25A8-4938-AD64-E0F87D5333BC}" srcOrd="0" destOrd="0" parTransId="{401FCF0F-21B9-4D9F-A814-F221C6D9AC4F}" sibTransId="{7BEC7362-7F75-45C7-BBC8-5C517C2B7B25}"/>
    <dgm:cxn modelId="{0EC2C0F6-E115-4F81-8FF9-973A32474357}" srcId="{74AF785D-53BB-46E0-84D5-B87846BC9A83}" destId="{849BBD41-2667-485E-AF17-75A91ADEBFA2}" srcOrd="2" destOrd="0" parTransId="{FAC70805-F583-4765-AB51-0A8232DBAC52}" sibTransId="{499FA79D-F3A0-4095-8FAD-BA590FA3AC89}"/>
    <dgm:cxn modelId="{DADF73C3-3B20-4EF9-89B1-68E1183D1947}" type="presParOf" srcId="{6B78106F-D556-40D4-9E05-13280A5F75F9}" destId="{20A28ADC-1A81-49CF-AB1E-1ABD55291F81}" srcOrd="0" destOrd="0" presId="urn:microsoft.com/office/officeart/2005/8/layout/chevron1"/>
    <dgm:cxn modelId="{FF546F50-56B1-44FC-9B17-16154DD9F1A4}" type="presParOf" srcId="{6B78106F-D556-40D4-9E05-13280A5F75F9}" destId="{2B43D33F-62F2-458E-99FD-90C92F9E95FC}" srcOrd="1" destOrd="0" presId="urn:microsoft.com/office/officeart/2005/8/layout/chevron1"/>
    <dgm:cxn modelId="{1445CD98-6399-4539-A5F7-6C970B9256B5}" type="presParOf" srcId="{6B78106F-D556-40D4-9E05-13280A5F75F9}" destId="{47DB46B2-2E36-4E2C-B790-41ABF31BB5DA}" srcOrd="2" destOrd="0" presId="urn:microsoft.com/office/officeart/2005/8/layout/chevron1"/>
    <dgm:cxn modelId="{EFE70D62-A46A-418B-82AC-F4913F35E370}" type="presParOf" srcId="{6B78106F-D556-40D4-9E05-13280A5F75F9}" destId="{2FD1A183-475C-477B-B3F7-D253C03998F4}" srcOrd="3" destOrd="0" presId="urn:microsoft.com/office/officeart/2005/8/layout/chevron1"/>
    <dgm:cxn modelId="{0B74659A-9EC4-4D17-8644-3117B9FA7B0B}" type="presParOf" srcId="{6B78106F-D556-40D4-9E05-13280A5F75F9}" destId="{8E609709-6974-4C8A-8459-0183C47C880B}" srcOrd="4" destOrd="0" presId="urn:microsoft.com/office/officeart/2005/8/layout/chevron1"/>
    <dgm:cxn modelId="{1D8E8BB6-E7C6-4E89-938F-3ED0AFAA089F}" type="presParOf" srcId="{6B78106F-D556-40D4-9E05-13280A5F75F9}" destId="{10C1C406-F6EC-478E-8B94-EE04D2FD860A}" srcOrd="5" destOrd="0" presId="urn:microsoft.com/office/officeart/2005/8/layout/chevron1"/>
    <dgm:cxn modelId="{EDEE76A7-9BD2-4843-BA59-C8734BAA054D}" type="presParOf" srcId="{6B78106F-D556-40D4-9E05-13280A5F75F9}" destId="{DB936954-4016-4B53-9709-090CD9B935DC}" srcOrd="6" destOrd="0" presId="urn:microsoft.com/office/officeart/2005/8/layout/chevron1"/>
    <dgm:cxn modelId="{9E251AA3-A921-4FD5-97BC-4FE0344CD1D2}" type="presParOf" srcId="{6B78106F-D556-40D4-9E05-13280A5F75F9}" destId="{F19CF9EB-E998-40E9-8427-EF06966FAFE2}" srcOrd="7" destOrd="0" presId="urn:microsoft.com/office/officeart/2005/8/layout/chevron1"/>
    <dgm:cxn modelId="{FBB584CD-283B-43A9-9878-E4CA73959FD1}" type="presParOf" srcId="{6B78106F-D556-40D4-9E05-13280A5F75F9}" destId="{488AB96C-7A88-4822-ACBC-1A61033E99DB}" srcOrd="8" destOrd="0" presId="urn:microsoft.com/office/officeart/2005/8/layout/chevron1"/>
    <dgm:cxn modelId="{9983F7ED-76F3-477F-B5A7-B2B3BB6FBE1D}" type="presParOf" srcId="{6B78106F-D556-40D4-9E05-13280A5F75F9}" destId="{B5A77F68-17AD-4DF2-8E5B-4A9B3B4F4D66}" srcOrd="9" destOrd="0" presId="urn:microsoft.com/office/officeart/2005/8/layout/chevron1"/>
    <dgm:cxn modelId="{A1975E94-0D50-4C18-8A2C-12D0B4884490}" type="presParOf" srcId="{6B78106F-D556-40D4-9E05-13280A5F75F9}" destId="{E3C61602-6EF6-47AD-8F06-D0151C2067F4}" srcOrd="10" destOrd="0" presId="urn:microsoft.com/office/officeart/2005/8/layout/chevron1"/>
    <dgm:cxn modelId="{891B0083-57F8-4094-9C0F-51E1F0043FC0}" type="presParOf" srcId="{6B78106F-D556-40D4-9E05-13280A5F75F9}" destId="{D519DEC4-855D-4547-9094-FEB78D451ACA}" srcOrd="11" destOrd="0" presId="urn:microsoft.com/office/officeart/2005/8/layout/chevron1"/>
    <dgm:cxn modelId="{16105379-F695-4612-A3E0-A7EDEC01F2E8}" type="presParOf" srcId="{6B78106F-D556-40D4-9E05-13280A5F75F9}" destId="{6B262BC6-F3FA-41E1-A8BE-2E27C4104944}" srcOrd="12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77F0658-EE95-456E-8392-9D53FA88F9A9}">
      <dsp:nvSpPr>
        <dsp:cNvPr id="0" name=""/>
        <dsp:cNvSpPr/>
      </dsp:nvSpPr>
      <dsp:spPr>
        <a:xfrm>
          <a:off x="4607409" y="1156448"/>
          <a:ext cx="406390" cy="5796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97599" y="0"/>
              </a:lnTo>
              <a:lnTo>
                <a:pt x="197599" y="579681"/>
              </a:lnTo>
              <a:lnTo>
                <a:pt x="406390" y="579681"/>
              </a:lnTo>
            </a:path>
          </a:pathLst>
        </a:custGeom>
        <a:noFill/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20CE483-5FFE-48C6-86D2-80EE492397BD}">
      <dsp:nvSpPr>
        <dsp:cNvPr id="0" name=""/>
        <dsp:cNvSpPr/>
      </dsp:nvSpPr>
      <dsp:spPr>
        <a:xfrm>
          <a:off x="4607409" y="1110728"/>
          <a:ext cx="406390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406390" y="45720"/>
              </a:lnTo>
            </a:path>
          </a:pathLst>
        </a:custGeom>
        <a:noFill/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0812C83-F416-4E98-8290-858F65F42183}">
      <dsp:nvSpPr>
        <dsp:cNvPr id="0" name=""/>
        <dsp:cNvSpPr/>
      </dsp:nvSpPr>
      <dsp:spPr>
        <a:xfrm>
          <a:off x="4607409" y="576766"/>
          <a:ext cx="406390" cy="579681"/>
        </a:xfrm>
        <a:custGeom>
          <a:avLst/>
          <a:gdLst/>
          <a:ahLst/>
          <a:cxnLst/>
          <a:rect l="0" t="0" r="0" b="0"/>
          <a:pathLst>
            <a:path>
              <a:moveTo>
                <a:pt x="0" y="579681"/>
              </a:moveTo>
              <a:lnTo>
                <a:pt x="197599" y="579681"/>
              </a:lnTo>
              <a:lnTo>
                <a:pt x="197599" y="0"/>
              </a:lnTo>
              <a:lnTo>
                <a:pt x="406390" y="0"/>
              </a:lnTo>
            </a:path>
          </a:pathLst>
        </a:custGeom>
        <a:noFill/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186B038-A050-4390-8F1E-E1D4CACE39BB}">
      <dsp:nvSpPr>
        <dsp:cNvPr id="0" name=""/>
        <dsp:cNvSpPr/>
      </dsp:nvSpPr>
      <dsp:spPr>
        <a:xfrm>
          <a:off x="2090727" y="810567"/>
          <a:ext cx="428773" cy="345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19982" y="0"/>
              </a:lnTo>
              <a:lnTo>
                <a:pt x="219982" y="345880"/>
              </a:lnTo>
              <a:lnTo>
                <a:pt x="428773" y="345880"/>
              </a:lnTo>
            </a:path>
          </a:pathLst>
        </a:custGeom>
        <a:noFill/>
        <a:ln w="127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8BFD15D-6573-430F-B400-DB87242EE55A}">
      <dsp:nvSpPr>
        <dsp:cNvPr id="0" name=""/>
        <dsp:cNvSpPr/>
      </dsp:nvSpPr>
      <dsp:spPr>
        <a:xfrm>
          <a:off x="2090727" y="515339"/>
          <a:ext cx="434974" cy="295228"/>
        </a:xfrm>
        <a:custGeom>
          <a:avLst/>
          <a:gdLst/>
          <a:ahLst/>
          <a:cxnLst/>
          <a:rect l="0" t="0" r="0" b="0"/>
          <a:pathLst>
            <a:path>
              <a:moveTo>
                <a:pt x="0" y="295228"/>
              </a:moveTo>
              <a:lnTo>
                <a:pt x="226183" y="295228"/>
              </a:lnTo>
              <a:lnTo>
                <a:pt x="226183" y="0"/>
              </a:lnTo>
              <a:lnTo>
                <a:pt x="434974" y="0"/>
              </a:lnTo>
            </a:path>
          </a:pathLst>
        </a:custGeom>
        <a:noFill/>
        <a:ln w="127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5001CB8-EDE6-427E-AC8F-6D8507832A59}">
      <dsp:nvSpPr>
        <dsp:cNvPr id="0" name=""/>
        <dsp:cNvSpPr/>
      </dsp:nvSpPr>
      <dsp:spPr>
        <a:xfrm>
          <a:off x="2818" y="595182"/>
          <a:ext cx="2087909" cy="430771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화이트박스 테스트</a:t>
          </a:r>
        </a:p>
      </dsp:txBody>
      <dsp:txXfrm>
        <a:off x="2818" y="595182"/>
        <a:ext cx="2087909" cy="430771"/>
      </dsp:txXfrm>
    </dsp:sp>
    <dsp:sp modelId="{F4B966DB-A176-4DD1-8DAA-A471754E9B4B}">
      <dsp:nvSpPr>
        <dsp:cNvPr id="0" name=""/>
        <dsp:cNvSpPr/>
      </dsp:nvSpPr>
      <dsp:spPr>
        <a:xfrm>
          <a:off x="2525701" y="299953"/>
          <a:ext cx="2087909" cy="430771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기초 경로 검사</a:t>
          </a:r>
        </a:p>
      </dsp:txBody>
      <dsp:txXfrm>
        <a:off x="2525701" y="299953"/>
        <a:ext cx="2087909" cy="430771"/>
      </dsp:txXfrm>
    </dsp:sp>
    <dsp:sp modelId="{E89EE066-B68F-4E23-AB4A-E814965BA2A3}">
      <dsp:nvSpPr>
        <dsp:cNvPr id="0" name=""/>
        <dsp:cNvSpPr/>
      </dsp:nvSpPr>
      <dsp:spPr>
        <a:xfrm>
          <a:off x="2519500" y="941062"/>
          <a:ext cx="2087909" cy="430771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제어 구조 검사</a:t>
          </a:r>
        </a:p>
      </dsp:txBody>
      <dsp:txXfrm>
        <a:off x="2519500" y="941062"/>
        <a:ext cx="2087909" cy="430771"/>
      </dsp:txXfrm>
    </dsp:sp>
    <dsp:sp modelId="{C8259410-67FD-4AD2-8C6C-657FB37076BC}">
      <dsp:nvSpPr>
        <dsp:cNvPr id="0" name=""/>
        <dsp:cNvSpPr/>
      </dsp:nvSpPr>
      <dsp:spPr>
        <a:xfrm>
          <a:off x="5013800" y="361380"/>
          <a:ext cx="2087909" cy="430771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조건 검사</a:t>
          </a:r>
        </a:p>
      </dsp:txBody>
      <dsp:txXfrm>
        <a:off x="5013800" y="361380"/>
        <a:ext cx="2087909" cy="430771"/>
      </dsp:txXfrm>
    </dsp:sp>
    <dsp:sp modelId="{6C90D3D3-D76C-4844-BA1A-7BFE423C019D}">
      <dsp:nvSpPr>
        <dsp:cNvPr id="0" name=""/>
        <dsp:cNvSpPr/>
      </dsp:nvSpPr>
      <dsp:spPr>
        <a:xfrm>
          <a:off x="5013800" y="941062"/>
          <a:ext cx="2087909" cy="430771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루프 검사</a:t>
          </a:r>
        </a:p>
      </dsp:txBody>
      <dsp:txXfrm>
        <a:off x="5013800" y="941062"/>
        <a:ext cx="2087909" cy="430771"/>
      </dsp:txXfrm>
    </dsp:sp>
    <dsp:sp modelId="{4DBFCA83-9D57-41DC-8C44-FB287771520C}">
      <dsp:nvSpPr>
        <dsp:cNvPr id="0" name=""/>
        <dsp:cNvSpPr/>
      </dsp:nvSpPr>
      <dsp:spPr>
        <a:xfrm>
          <a:off x="5013800" y="1520743"/>
          <a:ext cx="2087909" cy="430771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데이터 흐름 검사</a:t>
          </a:r>
        </a:p>
      </dsp:txBody>
      <dsp:txXfrm>
        <a:off x="5013800" y="1520743"/>
        <a:ext cx="2087909" cy="430771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2B6B861-3E05-430B-94A9-4DE29D8B3C9A}">
      <dsp:nvSpPr>
        <dsp:cNvPr id="0" name=""/>
        <dsp:cNvSpPr/>
      </dsp:nvSpPr>
      <dsp:spPr>
        <a:xfrm>
          <a:off x="3514596" y="1156448"/>
          <a:ext cx="414139" cy="7338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20199" y="0"/>
              </a:lnTo>
              <a:lnTo>
                <a:pt x="220199" y="733831"/>
              </a:lnTo>
              <a:lnTo>
                <a:pt x="414139" y="733831"/>
              </a:lnTo>
            </a:path>
          </a:pathLst>
        </a:custGeom>
        <a:noFill/>
        <a:ln w="127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BC7845F-C1A2-4ED5-9A3F-48411D07E472}">
      <dsp:nvSpPr>
        <dsp:cNvPr id="0" name=""/>
        <dsp:cNvSpPr/>
      </dsp:nvSpPr>
      <dsp:spPr>
        <a:xfrm>
          <a:off x="3514596" y="1156448"/>
          <a:ext cx="416078" cy="2582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22138" y="0"/>
              </a:lnTo>
              <a:lnTo>
                <a:pt x="222138" y="258248"/>
              </a:lnTo>
              <a:lnTo>
                <a:pt x="416078" y="258248"/>
              </a:lnTo>
            </a:path>
          </a:pathLst>
        </a:custGeom>
        <a:noFill/>
        <a:ln w="127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0812C83-F416-4E98-8290-858F65F42183}">
      <dsp:nvSpPr>
        <dsp:cNvPr id="0" name=""/>
        <dsp:cNvSpPr/>
      </dsp:nvSpPr>
      <dsp:spPr>
        <a:xfrm>
          <a:off x="3514596" y="966652"/>
          <a:ext cx="416078" cy="189795"/>
        </a:xfrm>
        <a:custGeom>
          <a:avLst/>
          <a:gdLst/>
          <a:ahLst/>
          <a:cxnLst/>
          <a:rect l="0" t="0" r="0" b="0"/>
          <a:pathLst>
            <a:path>
              <a:moveTo>
                <a:pt x="0" y="189795"/>
              </a:moveTo>
              <a:lnTo>
                <a:pt x="222138" y="189795"/>
              </a:lnTo>
              <a:lnTo>
                <a:pt x="222138" y="0"/>
              </a:lnTo>
              <a:lnTo>
                <a:pt x="416078" y="0"/>
              </a:lnTo>
            </a:path>
          </a:pathLst>
        </a:custGeom>
        <a:noFill/>
        <a:ln w="127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8BFD15D-6573-430F-B400-DB87242EE55A}">
      <dsp:nvSpPr>
        <dsp:cNvPr id="0" name=""/>
        <dsp:cNvSpPr/>
      </dsp:nvSpPr>
      <dsp:spPr>
        <a:xfrm>
          <a:off x="3514596" y="494316"/>
          <a:ext cx="414449" cy="662131"/>
        </a:xfrm>
        <a:custGeom>
          <a:avLst/>
          <a:gdLst/>
          <a:ahLst/>
          <a:cxnLst/>
          <a:rect l="0" t="0" r="0" b="0"/>
          <a:pathLst>
            <a:path>
              <a:moveTo>
                <a:pt x="0" y="662131"/>
              </a:moveTo>
              <a:lnTo>
                <a:pt x="220509" y="662131"/>
              </a:lnTo>
              <a:lnTo>
                <a:pt x="220509" y="0"/>
              </a:lnTo>
              <a:lnTo>
                <a:pt x="414449" y="0"/>
              </a:lnTo>
            </a:path>
          </a:pathLst>
        </a:custGeom>
        <a:noFill/>
        <a:ln w="127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5001CB8-EDE6-427E-AC8F-6D8507832A59}">
      <dsp:nvSpPr>
        <dsp:cNvPr id="0" name=""/>
        <dsp:cNvSpPr/>
      </dsp:nvSpPr>
      <dsp:spPr>
        <a:xfrm>
          <a:off x="586997" y="956382"/>
          <a:ext cx="2927598" cy="400131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화이트박스 테스트 검증기준</a:t>
          </a:r>
        </a:p>
      </dsp:txBody>
      <dsp:txXfrm>
        <a:off x="586997" y="956382"/>
        <a:ext cx="2927598" cy="400131"/>
      </dsp:txXfrm>
    </dsp:sp>
    <dsp:sp modelId="{F4B966DB-A176-4DD1-8DAA-A471754E9B4B}">
      <dsp:nvSpPr>
        <dsp:cNvPr id="0" name=""/>
        <dsp:cNvSpPr/>
      </dsp:nvSpPr>
      <dsp:spPr>
        <a:xfrm>
          <a:off x="3929046" y="294251"/>
          <a:ext cx="2285599" cy="400131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문장 검증 기준</a:t>
          </a:r>
        </a:p>
      </dsp:txBody>
      <dsp:txXfrm>
        <a:off x="3929046" y="294251"/>
        <a:ext cx="2285599" cy="400131"/>
      </dsp:txXfrm>
    </dsp:sp>
    <dsp:sp modelId="{C8259410-67FD-4AD2-8C6C-657FB37076BC}">
      <dsp:nvSpPr>
        <dsp:cNvPr id="0" name=""/>
        <dsp:cNvSpPr/>
      </dsp:nvSpPr>
      <dsp:spPr>
        <a:xfrm>
          <a:off x="3930675" y="766586"/>
          <a:ext cx="2285599" cy="400131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분기 검증 기준</a:t>
          </a:r>
        </a:p>
      </dsp:txBody>
      <dsp:txXfrm>
        <a:off x="3930675" y="766586"/>
        <a:ext cx="2285599" cy="400131"/>
      </dsp:txXfrm>
    </dsp:sp>
    <dsp:sp modelId="{059A1C15-2194-493D-8B49-8C90B97D30D4}">
      <dsp:nvSpPr>
        <dsp:cNvPr id="0" name=""/>
        <dsp:cNvSpPr/>
      </dsp:nvSpPr>
      <dsp:spPr>
        <a:xfrm>
          <a:off x="3930675" y="1218786"/>
          <a:ext cx="2285599" cy="391820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조건 검증 기준</a:t>
          </a:r>
          <a:endParaRPr lang="en-US" altLang="ko-KR" sz="1800" kern="12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sp:txBody>
      <dsp:txXfrm>
        <a:off x="3930675" y="1218786"/>
        <a:ext cx="2285599" cy="391820"/>
      </dsp:txXfrm>
    </dsp:sp>
    <dsp:sp modelId="{ECD88596-B14D-4DA4-B28B-7C8E405683D3}">
      <dsp:nvSpPr>
        <dsp:cNvPr id="0" name=""/>
        <dsp:cNvSpPr/>
      </dsp:nvSpPr>
      <dsp:spPr>
        <a:xfrm>
          <a:off x="3928735" y="1694369"/>
          <a:ext cx="2285599" cy="391820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분기</a:t>
          </a:r>
          <a:r>
            <a:rPr lang="en-US" altLang="ko-KR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/</a:t>
          </a: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조건 검증 기준</a:t>
          </a:r>
        </a:p>
      </dsp:txBody>
      <dsp:txXfrm>
        <a:off x="3928735" y="1694369"/>
        <a:ext cx="2285599" cy="391820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BC7845F-C1A2-4ED5-9A3F-48411D07E472}">
      <dsp:nvSpPr>
        <dsp:cNvPr id="0" name=""/>
        <dsp:cNvSpPr/>
      </dsp:nvSpPr>
      <dsp:spPr>
        <a:xfrm>
          <a:off x="3453322" y="1156448"/>
          <a:ext cx="723197" cy="79746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386105" y="0"/>
              </a:lnTo>
              <a:lnTo>
                <a:pt x="386105" y="797465"/>
              </a:lnTo>
              <a:lnTo>
                <a:pt x="723197" y="797465"/>
              </a:lnTo>
            </a:path>
          </a:pathLst>
        </a:custGeom>
        <a:noFill/>
        <a:ln w="127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0812C83-F416-4E98-8290-858F65F42183}">
      <dsp:nvSpPr>
        <dsp:cNvPr id="0" name=""/>
        <dsp:cNvSpPr/>
      </dsp:nvSpPr>
      <dsp:spPr>
        <a:xfrm>
          <a:off x="3453322" y="1156448"/>
          <a:ext cx="723197" cy="21920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386105" y="0"/>
              </a:lnTo>
              <a:lnTo>
                <a:pt x="386105" y="219202"/>
              </a:lnTo>
              <a:lnTo>
                <a:pt x="723197" y="219202"/>
              </a:lnTo>
            </a:path>
          </a:pathLst>
        </a:custGeom>
        <a:noFill/>
        <a:ln w="127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8BFD15D-6573-430F-B400-DB87242EE55A}">
      <dsp:nvSpPr>
        <dsp:cNvPr id="0" name=""/>
        <dsp:cNvSpPr/>
      </dsp:nvSpPr>
      <dsp:spPr>
        <a:xfrm>
          <a:off x="3453322" y="757275"/>
          <a:ext cx="720365" cy="399172"/>
        </a:xfrm>
        <a:custGeom>
          <a:avLst/>
          <a:gdLst/>
          <a:ahLst/>
          <a:cxnLst/>
          <a:rect l="0" t="0" r="0" b="0"/>
          <a:pathLst>
            <a:path>
              <a:moveTo>
                <a:pt x="0" y="399172"/>
              </a:moveTo>
              <a:lnTo>
                <a:pt x="383273" y="399172"/>
              </a:lnTo>
              <a:lnTo>
                <a:pt x="383273" y="0"/>
              </a:lnTo>
              <a:lnTo>
                <a:pt x="720365" y="0"/>
              </a:lnTo>
            </a:path>
          </a:pathLst>
        </a:custGeom>
        <a:noFill/>
        <a:ln w="127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5001CB8-EDE6-427E-AC8F-6D8507832A59}">
      <dsp:nvSpPr>
        <dsp:cNvPr id="0" name=""/>
        <dsp:cNvSpPr/>
      </dsp:nvSpPr>
      <dsp:spPr>
        <a:xfrm>
          <a:off x="479530" y="891545"/>
          <a:ext cx="2973791" cy="52980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ko-KR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COCOMO </a:t>
          </a: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개발 유형</a:t>
          </a:r>
        </a:p>
      </dsp:txBody>
      <dsp:txXfrm>
        <a:off x="479530" y="891545"/>
        <a:ext cx="2973791" cy="529805"/>
      </dsp:txXfrm>
    </dsp:sp>
    <dsp:sp modelId="{F4B966DB-A176-4DD1-8DAA-A471754E9B4B}">
      <dsp:nvSpPr>
        <dsp:cNvPr id="0" name=""/>
        <dsp:cNvSpPr/>
      </dsp:nvSpPr>
      <dsp:spPr>
        <a:xfrm>
          <a:off x="4173687" y="510837"/>
          <a:ext cx="2039069" cy="492875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조직형</a:t>
          </a:r>
        </a:p>
      </dsp:txBody>
      <dsp:txXfrm>
        <a:off x="4173687" y="510837"/>
        <a:ext cx="2039069" cy="492875"/>
      </dsp:txXfrm>
    </dsp:sp>
    <dsp:sp modelId="{C8259410-67FD-4AD2-8C6C-657FB37076BC}">
      <dsp:nvSpPr>
        <dsp:cNvPr id="0" name=""/>
        <dsp:cNvSpPr/>
      </dsp:nvSpPr>
      <dsp:spPr>
        <a:xfrm>
          <a:off x="4176519" y="1129212"/>
          <a:ext cx="2039069" cy="492875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반분리형</a:t>
          </a:r>
        </a:p>
      </dsp:txBody>
      <dsp:txXfrm>
        <a:off x="4176519" y="1129212"/>
        <a:ext cx="2039069" cy="492875"/>
      </dsp:txXfrm>
    </dsp:sp>
    <dsp:sp modelId="{059A1C15-2194-493D-8B49-8C90B97D30D4}">
      <dsp:nvSpPr>
        <dsp:cNvPr id="0" name=""/>
        <dsp:cNvSpPr/>
      </dsp:nvSpPr>
      <dsp:spPr>
        <a:xfrm>
          <a:off x="4176519" y="1712590"/>
          <a:ext cx="2039069" cy="482645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내장형</a:t>
          </a:r>
          <a:endParaRPr lang="en-US" altLang="ko-KR" sz="1800" kern="12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sp:txBody>
      <dsp:txXfrm>
        <a:off x="4176519" y="1712590"/>
        <a:ext cx="2039069" cy="482645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BC7845F-C1A2-4ED5-9A3F-48411D07E472}">
      <dsp:nvSpPr>
        <dsp:cNvPr id="0" name=""/>
        <dsp:cNvSpPr/>
      </dsp:nvSpPr>
      <dsp:spPr>
        <a:xfrm>
          <a:off x="3682470" y="1156448"/>
          <a:ext cx="722844" cy="7970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385916" y="0"/>
              </a:lnTo>
              <a:lnTo>
                <a:pt x="385916" y="797076"/>
              </a:lnTo>
              <a:lnTo>
                <a:pt x="722844" y="797076"/>
              </a:lnTo>
            </a:path>
          </a:pathLst>
        </a:custGeom>
        <a:noFill/>
        <a:ln w="127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0812C83-F416-4E98-8290-858F65F42183}">
      <dsp:nvSpPr>
        <dsp:cNvPr id="0" name=""/>
        <dsp:cNvSpPr/>
      </dsp:nvSpPr>
      <dsp:spPr>
        <a:xfrm>
          <a:off x="3682470" y="1156448"/>
          <a:ext cx="722844" cy="21909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385916" y="0"/>
              </a:lnTo>
              <a:lnTo>
                <a:pt x="385916" y="219095"/>
              </a:lnTo>
              <a:lnTo>
                <a:pt x="722844" y="219095"/>
              </a:lnTo>
            </a:path>
          </a:pathLst>
        </a:custGeom>
        <a:noFill/>
        <a:ln w="127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8BFD15D-6573-430F-B400-DB87242EE55A}">
      <dsp:nvSpPr>
        <dsp:cNvPr id="0" name=""/>
        <dsp:cNvSpPr/>
      </dsp:nvSpPr>
      <dsp:spPr>
        <a:xfrm>
          <a:off x="3682470" y="757470"/>
          <a:ext cx="720013" cy="398977"/>
        </a:xfrm>
        <a:custGeom>
          <a:avLst/>
          <a:gdLst/>
          <a:ahLst/>
          <a:cxnLst/>
          <a:rect l="0" t="0" r="0" b="0"/>
          <a:pathLst>
            <a:path>
              <a:moveTo>
                <a:pt x="0" y="398977"/>
              </a:moveTo>
              <a:lnTo>
                <a:pt x="383086" y="398977"/>
              </a:lnTo>
              <a:lnTo>
                <a:pt x="383086" y="0"/>
              </a:lnTo>
              <a:lnTo>
                <a:pt x="720013" y="0"/>
              </a:lnTo>
            </a:path>
          </a:pathLst>
        </a:custGeom>
        <a:noFill/>
        <a:ln w="127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5001CB8-EDE6-427E-AC8F-6D8507832A59}">
      <dsp:nvSpPr>
        <dsp:cNvPr id="0" name=""/>
        <dsp:cNvSpPr/>
      </dsp:nvSpPr>
      <dsp:spPr>
        <a:xfrm>
          <a:off x="710130" y="891674"/>
          <a:ext cx="2972340" cy="52954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ko-KR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COCOMO </a:t>
          </a: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모형</a:t>
          </a:r>
        </a:p>
      </dsp:txBody>
      <dsp:txXfrm>
        <a:off x="710130" y="891674"/>
        <a:ext cx="2972340" cy="529547"/>
      </dsp:txXfrm>
    </dsp:sp>
    <dsp:sp modelId="{F4B966DB-A176-4DD1-8DAA-A471754E9B4B}">
      <dsp:nvSpPr>
        <dsp:cNvPr id="0" name=""/>
        <dsp:cNvSpPr/>
      </dsp:nvSpPr>
      <dsp:spPr>
        <a:xfrm>
          <a:off x="4402484" y="511152"/>
          <a:ext cx="2038074" cy="492634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기본형</a:t>
          </a:r>
        </a:p>
      </dsp:txBody>
      <dsp:txXfrm>
        <a:off x="4402484" y="511152"/>
        <a:ext cx="2038074" cy="492634"/>
      </dsp:txXfrm>
    </dsp:sp>
    <dsp:sp modelId="{C8259410-67FD-4AD2-8C6C-657FB37076BC}">
      <dsp:nvSpPr>
        <dsp:cNvPr id="0" name=""/>
        <dsp:cNvSpPr/>
      </dsp:nvSpPr>
      <dsp:spPr>
        <a:xfrm>
          <a:off x="4405314" y="1129226"/>
          <a:ext cx="2038074" cy="492634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중간형</a:t>
          </a:r>
        </a:p>
      </dsp:txBody>
      <dsp:txXfrm>
        <a:off x="4405314" y="1129226"/>
        <a:ext cx="2038074" cy="492634"/>
      </dsp:txXfrm>
    </dsp:sp>
    <dsp:sp modelId="{059A1C15-2194-493D-8B49-8C90B97D30D4}">
      <dsp:nvSpPr>
        <dsp:cNvPr id="0" name=""/>
        <dsp:cNvSpPr/>
      </dsp:nvSpPr>
      <dsp:spPr>
        <a:xfrm>
          <a:off x="4405314" y="1712319"/>
          <a:ext cx="2038074" cy="482410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발전형</a:t>
          </a:r>
          <a:endParaRPr lang="en-US" altLang="ko-KR" sz="1800" kern="1200">
            <a:latin typeface="210 네모진 020" panose="02020603020101020101" pitchFamily="18" charset="-127"/>
            <a:ea typeface="210 네모진 020" panose="02020603020101020101" pitchFamily="18" charset="-127"/>
          </a:endParaRPr>
        </a:p>
      </dsp:txBody>
      <dsp:txXfrm>
        <a:off x="4405314" y="1712319"/>
        <a:ext cx="2038074" cy="482410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0A28ADC-1A81-49CF-AB1E-1ABD55291F81}">
      <dsp:nvSpPr>
        <dsp:cNvPr id="0" name=""/>
        <dsp:cNvSpPr/>
      </dsp:nvSpPr>
      <dsp:spPr>
        <a:xfrm>
          <a:off x="743" y="22413"/>
          <a:ext cx="4441482" cy="787565"/>
        </a:xfrm>
        <a:prstGeom prst="chevron">
          <a:avLst/>
        </a:prstGeom>
        <a:solidFill>
          <a:schemeClr val="accent4">
            <a:lumMod val="20000"/>
            <a:lumOff val="8000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009" tIns="24003" rIns="24003" bIns="24003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ISO/IEC 12207</a:t>
          </a: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의 프로세스 단계</a:t>
          </a:r>
        </a:p>
      </dsp:txBody>
      <dsp:txXfrm>
        <a:off x="394526" y="22413"/>
        <a:ext cx="3653917" cy="787565"/>
      </dsp:txXfrm>
    </dsp:sp>
    <dsp:sp modelId="{47DB46B2-2E36-4E2C-B790-41ABF31BB5DA}">
      <dsp:nvSpPr>
        <dsp:cNvPr id="0" name=""/>
        <dsp:cNvSpPr/>
      </dsp:nvSpPr>
      <dsp:spPr>
        <a:xfrm>
          <a:off x="4299676" y="22413"/>
          <a:ext cx="2213143" cy="787565"/>
        </a:xfrm>
        <a:prstGeom prst="chevron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009" tIns="24003" rIns="24003" bIns="24003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기본 생명주기 프로세스</a:t>
          </a:r>
        </a:p>
      </dsp:txBody>
      <dsp:txXfrm>
        <a:off x="4693459" y="22413"/>
        <a:ext cx="1425578" cy="787565"/>
      </dsp:txXfrm>
    </dsp:sp>
    <dsp:sp modelId="{8E609709-6974-4C8A-8459-0183C47C880B}">
      <dsp:nvSpPr>
        <dsp:cNvPr id="0" name=""/>
        <dsp:cNvSpPr/>
      </dsp:nvSpPr>
      <dsp:spPr>
        <a:xfrm>
          <a:off x="6370270" y="22413"/>
          <a:ext cx="2213143" cy="787565"/>
        </a:xfrm>
        <a:prstGeom prst="chevron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009" tIns="24003" rIns="24003" bIns="24003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지원 생명주기 프로세스</a:t>
          </a:r>
        </a:p>
      </dsp:txBody>
      <dsp:txXfrm>
        <a:off x="6764053" y="22413"/>
        <a:ext cx="1425578" cy="787565"/>
      </dsp:txXfrm>
    </dsp:sp>
    <dsp:sp modelId="{DB936954-4016-4B53-9709-090CD9B935DC}">
      <dsp:nvSpPr>
        <dsp:cNvPr id="0" name=""/>
        <dsp:cNvSpPr/>
      </dsp:nvSpPr>
      <dsp:spPr>
        <a:xfrm>
          <a:off x="8440864" y="22413"/>
          <a:ext cx="2213143" cy="787565"/>
        </a:xfrm>
        <a:prstGeom prst="chevron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009" tIns="24003" rIns="24003" bIns="24003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조직 생명주기 프로세스</a:t>
          </a:r>
        </a:p>
      </dsp:txBody>
      <dsp:txXfrm>
        <a:off x="8834647" y="22413"/>
        <a:ext cx="1425578" cy="787565"/>
      </dsp:txXfrm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0A28ADC-1A81-49CF-AB1E-1ABD55291F81}">
      <dsp:nvSpPr>
        <dsp:cNvPr id="0" name=""/>
        <dsp:cNvSpPr/>
      </dsp:nvSpPr>
      <dsp:spPr>
        <a:xfrm>
          <a:off x="5815" y="113305"/>
          <a:ext cx="4807529" cy="617188"/>
        </a:xfrm>
        <a:prstGeom prst="chevron">
          <a:avLst/>
        </a:prstGeom>
        <a:solidFill>
          <a:schemeClr val="accent4">
            <a:lumMod val="20000"/>
            <a:lumOff val="8000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009" tIns="24003" rIns="24003" bIns="24003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CMMI</a:t>
          </a: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의 소프트웨어 프로세스 성숙도 단계</a:t>
          </a:r>
        </a:p>
      </dsp:txBody>
      <dsp:txXfrm>
        <a:off x="314409" y="113305"/>
        <a:ext cx="4190341" cy="617188"/>
      </dsp:txXfrm>
    </dsp:sp>
    <dsp:sp modelId="{47DB46B2-2E36-4E2C-B790-41ABF31BB5DA}">
      <dsp:nvSpPr>
        <dsp:cNvPr id="0" name=""/>
        <dsp:cNvSpPr/>
      </dsp:nvSpPr>
      <dsp:spPr>
        <a:xfrm>
          <a:off x="4659047" y="113305"/>
          <a:ext cx="1542971" cy="617188"/>
        </a:xfrm>
        <a:prstGeom prst="chevron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009" tIns="24003" rIns="24003" bIns="24003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초기</a:t>
          </a:r>
        </a:p>
      </dsp:txBody>
      <dsp:txXfrm>
        <a:off x="4967641" y="113305"/>
        <a:ext cx="925783" cy="617188"/>
      </dsp:txXfrm>
    </dsp:sp>
    <dsp:sp modelId="{8E609709-6974-4C8A-8459-0183C47C880B}">
      <dsp:nvSpPr>
        <dsp:cNvPr id="0" name=""/>
        <dsp:cNvSpPr/>
      </dsp:nvSpPr>
      <dsp:spPr>
        <a:xfrm>
          <a:off x="6047722" y="113305"/>
          <a:ext cx="1542971" cy="617188"/>
        </a:xfrm>
        <a:prstGeom prst="chevron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009" tIns="24003" rIns="24003" bIns="24003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관리</a:t>
          </a:r>
        </a:p>
      </dsp:txBody>
      <dsp:txXfrm>
        <a:off x="6356316" y="113305"/>
        <a:ext cx="925783" cy="617188"/>
      </dsp:txXfrm>
    </dsp:sp>
    <dsp:sp modelId="{DB936954-4016-4B53-9709-090CD9B935DC}">
      <dsp:nvSpPr>
        <dsp:cNvPr id="0" name=""/>
        <dsp:cNvSpPr/>
      </dsp:nvSpPr>
      <dsp:spPr>
        <a:xfrm>
          <a:off x="7436396" y="113305"/>
          <a:ext cx="1542971" cy="617188"/>
        </a:xfrm>
        <a:prstGeom prst="chevron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009" tIns="24003" rIns="24003" bIns="24003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정의</a:t>
          </a:r>
        </a:p>
      </dsp:txBody>
      <dsp:txXfrm>
        <a:off x="7744990" y="113305"/>
        <a:ext cx="925783" cy="617188"/>
      </dsp:txXfrm>
    </dsp:sp>
    <dsp:sp modelId="{26460EDD-0513-4BAA-9EF8-56EABA3481CB}">
      <dsp:nvSpPr>
        <dsp:cNvPr id="0" name=""/>
        <dsp:cNvSpPr/>
      </dsp:nvSpPr>
      <dsp:spPr>
        <a:xfrm>
          <a:off x="8825071" y="113305"/>
          <a:ext cx="2052306" cy="617188"/>
        </a:xfrm>
        <a:prstGeom prst="chevron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009" tIns="24003" rIns="24003" bIns="24003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정량적 관리</a:t>
          </a:r>
        </a:p>
      </dsp:txBody>
      <dsp:txXfrm>
        <a:off x="9133665" y="113305"/>
        <a:ext cx="1435118" cy="617188"/>
      </dsp:txXfrm>
    </dsp:sp>
    <dsp:sp modelId="{6B262BC6-F3FA-41E1-A8BE-2E27C4104944}">
      <dsp:nvSpPr>
        <dsp:cNvPr id="0" name=""/>
        <dsp:cNvSpPr/>
      </dsp:nvSpPr>
      <dsp:spPr>
        <a:xfrm>
          <a:off x="10723080" y="113305"/>
          <a:ext cx="1542971" cy="617188"/>
        </a:xfrm>
        <a:prstGeom prst="chevron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009" tIns="24003" rIns="24003" bIns="24003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최적화</a:t>
          </a:r>
        </a:p>
      </dsp:txBody>
      <dsp:txXfrm>
        <a:off x="11031674" y="113305"/>
        <a:ext cx="925783" cy="617188"/>
      </dsp:txXfrm>
    </dsp:sp>
  </dsp:spTree>
</dsp:drawing>
</file>

<file path=xl/diagrams/drawing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0A28ADC-1A81-49CF-AB1E-1ABD55291F81}">
      <dsp:nvSpPr>
        <dsp:cNvPr id="0" name=""/>
        <dsp:cNvSpPr/>
      </dsp:nvSpPr>
      <dsp:spPr>
        <a:xfrm>
          <a:off x="6656" y="148822"/>
          <a:ext cx="4771585" cy="612574"/>
        </a:xfrm>
        <a:prstGeom prst="chevron">
          <a:avLst/>
        </a:prstGeom>
        <a:solidFill>
          <a:schemeClr val="accent4">
            <a:lumMod val="20000"/>
            <a:lumOff val="8000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009" tIns="24003" rIns="24003" bIns="24003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SPICE</a:t>
          </a: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의 프로세스 수행 능력 단계</a:t>
          </a:r>
        </a:p>
      </dsp:txBody>
      <dsp:txXfrm>
        <a:off x="312943" y="148822"/>
        <a:ext cx="4159011" cy="612574"/>
      </dsp:txXfrm>
    </dsp:sp>
    <dsp:sp modelId="{47DB46B2-2E36-4E2C-B790-41ABF31BB5DA}">
      <dsp:nvSpPr>
        <dsp:cNvPr id="0" name=""/>
        <dsp:cNvSpPr/>
      </dsp:nvSpPr>
      <dsp:spPr>
        <a:xfrm>
          <a:off x="4625098" y="148822"/>
          <a:ext cx="1531435" cy="612574"/>
        </a:xfrm>
        <a:prstGeom prst="chevron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009" tIns="24003" rIns="24003" bIns="24003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불완전</a:t>
          </a:r>
        </a:p>
      </dsp:txBody>
      <dsp:txXfrm>
        <a:off x="4931385" y="148822"/>
        <a:ext cx="918861" cy="612574"/>
      </dsp:txXfrm>
    </dsp:sp>
    <dsp:sp modelId="{8E609709-6974-4C8A-8459-0183C47C880B}">
      <dsp:nvSpPr>
        <dsp:cNvPr id="0" name=""/>
        <dsp:cNvSpPr/>
      </dsp:nvSpPr>
      <dsp:spPr>
        <a:xfrm>
          <a:off x="6003390" y="148822"/>
          <a:ext cx="1531435" cy="612574"/>
        </a:xfrm>
        <a:prstGeom prst="chevron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009" tIns="24003" rIns="24003" bIns="24003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수행</a:t>
          </a:r>
        </a:p>
      </dsp:txBody>
      <dsp:txXfrm>
        <a:off x="6309677" y="148822"/>
        <a:ext cx="918861" cy="612574"/>
      </dsp:txXfrm>
    </dsp:sp>
    <dsp:sp modelId="{DB936954-4016-4B53-9709-090CD9B935DC}">
      <dsp:nvSpPr>
        <dsp:cNvPr id="0" name=""/>
        <dsp:cNvSpPr/>
      </dsp:nvSpPr>
      <dsp:spPr>
        <a:xfrm>
          <a:off x="7381682" y="148822"/>
          <a:ext cx="1531435" cy="612574"/>
        </a:xfrm>
        <a:prstGeom prst="chevron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009" tIns="24003" rIns="24003" bIns="24003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관리</a:t>
          </a:r>
        </a:p>
      </dsp:txBody>
      <dsp:txXfrm>
        <a:off x="7687969" y="148822"/>
        <a:ext cx="918861" cy="612574"/>
      </dsp:txXfrm>
    </dsp:sp>
    <dsp:sp modelId="{488AB96C-7A88-4822-ACBC-1A61033E99DB}">
      <dsp:nvSpPr>
        <dsp:cNvPr id="0" name=""/>
        <dsp:cNvSpPr/>
      </dsp:nvSpPr>
      <dsp:spPr>
        <a:xfrm>
          <a:off x="8759974" y="148822"/>
          <a:ext cx="1531435" cy="612574"/>
        </a:xfrm>
        <a:prstGeom prst="chevron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009" tIns="24003" rIns="24003" bIns="24003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확립</a:t>
          </a:r>
        </a:p>
      </dsp:txBody>
      <dsp:txXfrm>
        <a:off x="9066261" y="148822"/>
        <a:ext cx="918861" cy="612574"/>
      </dsp:txXfrm>
    </dsp:sp>
    <dsp:sp modelId="{E3C61602-6EF6-47AD-8F06-D0151C2067F4}">
      <dsp:nvSpPr>
        <dsp:cNvPr id="0" name=""/>
        <dsp:cNvSpPr/>
      </dsp:nvSpPr>
      <dsp:spPr>
        <a:xfrm>
          <a:off x="10138266" y="148822"/>
          <a:ext cx="1531435" cy="612574"/>
        </a:xfrm>
        <a:prstGeom prst="chevron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009" tIns="24003" rIns="24003" bIns="24003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예측</a:t>
          </a:r>
        </a:p>
      </dsp:txBody>
      <dsp:txXfrm>
        <a:off x="10444553" y="148822"/>
        <a:ext cx="918861" cy="612574"/>
      </dsp:txXfrm>
    </dsp:sp>
    <dsp:sp modelId="{6B262BC6-F3FA-41E1-A8BE-2E27C4104944}">
      <dsp:nvSpPr>
        <dsp:cNvPr id="0" name=""/>
        <dsp:cNvSpPr/>
      </dsp:nvSpPr>
      <dsp:spPr>
        <a:xfrm>
          <a:off x="11516558" y="148822"/>
          <a:ext cx="1531435" cy="612574"/>
        </a:xfrm>
        <a:prstGeom prst="chevron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009" tIns="24003" rIns="24003" bIns="24003" numCol="1" spcCol="1270" anchor="ctr" anchorCtr="0">
          <a:noAutofit/>
        </a:bodyPr>
        <a:lstStyle/>
        <a:p>
          <a:pPr marL="0" lvl="0" indent="0" algn="ctr" defTabSz="8001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800" kern="1200">
              <a:latin typeface="210 네모진 020" panose="02020603020101020101" pitchFamily="18" charset="-127"/>
              <a:ea typeface="210 네모진 020" panose="02020603020101020101" pitchFamily="18" charset="-127"/>
            </a:rPr>
            <a:t>최적화</a:t>
          </a:r>
        </a:p>
      </dsp:txBody>
      <dsp:txXfrm>
        <a:off x="11822845" y="148822"/>
        <a:ext cx="918861" cy="61257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3/layout/HorizontalOrganizationChart">
  <dgm:title val=""/>
  <dgm:desc val=""/>
  <dgm:catLst>
    <dgm:cat type="hierarchy" pri="43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305"/>
      <dgm:constr type="w" for="des" forName="rootComposite" refType="w" fact="10"/>
      <dgm:constr type="h" for="des" forName="rootComposite" refType="w" refFor="des" refForName="rootComposite1" fact="0.305"/>
      <dgm:constr type="w" for="des" forName="rootComposite3" refType="w" fact="10"/>
      <dgm:constr type="h" for="des" forName="rootComposite3" refType="w" refFor="des" refForName="rootComposite1" fact="0.305"/>
      <dgm:constr type="primFontSz" for="des" ptType="node" op="equ"/>
      <dgm:constr type="sp" for="des" op="equ"/>
      <dgm:constr type="sp" for="des" forName="hierRoot1" refType="w" refFor="des" refForName="rootComposite1" fact="0.2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125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125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func="var" arg="dir" op="equ" val="norm">
                  <dgm:alg type="hierRoot">
                    <dgm:param type="hierAlign" val="lT"/>
                  </dgm:alg>
                  <dgm:constrLst>
                    <dgm:constr type="alignOff" val="0.75"/>
                  </dgm:constrLst>
                </dgm:if>
                <dgm:else name="Name9">
                  <dgm:alg type="hierRoot">
                    <dgm:param type="hierAlign" val="rT"/>
                  </dgm:alg>
                  <dgm:constrLst>
                    <dgm:constr type="alignOff" val="0.75"/>
                  </dgm:constrLst>
                </dgm:else>
              </dgm:choose>
            </dgm:if>
            <dgm:if name="Name10" func="var" arg="hierBranch" op="equ" val="r">
              <dgm:choose name="Name11">
                <dgm:if name="Name12" func="var" arg="dir" op="equ" val="norm">
                  <dgm:alg type="hierRoot">
                    <dgm:param type="hierAlign" val="lB"/>
                  </dgm:alg>
                  <dgm:constrLst>
                    <dgm:constr type="alignOff" val="0.75"/>
                  </dgm:constrLst>
                </dgm:if>
                <dgm:else name="Name13">
                  <dgm:alg type="hierRoot">
                    <dgm:param type="hierAlign" val="rB"/>
                  </dgm:alg>
                  <dgm:constrLst>
                    <dgm:constr type="alignOff" val="0.75"/>
                  </dgm:constrLst>
                </dgm:else>
              </dgm:choose>
            </dgm:if>
            <dgm:if name="Name14" func="var" arg="hierBranch" op="equ" val="hang">
              <dgm:choose name="Name15">
                <dgm:if name="Name16" func="var" arg="dir" op="equ" val="norm">
                  <dgm:alg type="hierRoot">
                    <dgm:param type="hierAlign" val="lCtrCh"/>
                  </dgm:alg>
                  <dgm:constrLst>
                    <dgm:constr type="alignOff" val="0.65"/>
                  </dgm:constrLst>
                </dgm:if>
                <dgm:else name="Name17">
                  <dgm:alg type="hierRoot">
                    <dgm:param type="hierAlign" val="rCtrCh"/>
                  </dgm:alg>
                  <dgm:constrLst>
                    <dgm:constr type="alignOff" val="0.65"/>
                  </dgm:constrLst>
                </dgm:else>
              </dgm:choose>
            </dgm:if>
            <dgm:else name="Name18">
              <dgm:choose name="Name19">
                <dgm:if name="Name20" func="var" arg="dir" op="equ" val="norm">
                  <dgm:alg type="hierRoot">
                    <dgm:param type="hierAlign" val="l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if>
                <dgm:else name="Name21">
                  <dgm:alg type="hierRoot">
                    <dgm:param type="hierAlign" val="r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else>
              </dgm:choose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22">
              <dgm:if name="Name23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4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5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6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7">
              <dgm:if name="Name28" func="var" arg="hierBranch" op="equ" val="l">
                <dgm:choose name="Name29">
                  <dgm:if name="Name30" func="var" arg="dir" op="equ" val="norm">
                    <dgm:alg type="hierChild">
                      <dgm:param type="chAlign" val="t"/>
                      <dgm:param type="linDir" val="fromL"/>
                    </dgm:alg>
                  </dgm:if>
                  <dgm:else name="Name31">
                    <dgm:alg type="hierChild">
                      <dgm:param type="chAlign" val="t"/>
                      <dgm:param type="linDir" val="fromR"/>
                    </dgm:alg>
                  </dgm:else>
                </dgm:choose>
              </dgm:if>
              <dgm:if name="Name32" func="var" arg="hierBranch" op="equ" val="r">
                <dgm:choose name="Name33">
                  <dgm:if name="Name34" func="var" arg="dir" op="equ" val="norm">
                    <dgm:alg type="hierChild">
                      <dgm:param type="chAlign" val="b"/>
                      <dgm:param type="linDir" val="fromL"/>
                    </dgm:alg>
                  </dgm:if>
                  <dgm:else name="Name35">
                    <dgm:alg type="hierChild">
                      <dgm:param type="chAlign" val="b"/>
                      <dgm:param type="linDir" val="fromR"/>
                    </dgm:alg>
                  </dgm:else>
                </dgm:choose>
              </dgm:if>
              <dgm:if name="Name36" func="var" arg="hierBranch" op="equ" val="hang">
                <dgm:choose name="Name37">
                  <dgm:if name="Name38" func="var" arg="dir" op="equ" val="norm">
                    <dgm:alg type="hierChild">
                      <dgm:param type="chAlign" val="l"/>
                      <dgm:param type="linDir" val="fromT"/>
                      <dgm:param type="secChAlign" val="t"/>
                      <dgm:param type="secLinDir" val="fromL"/>
                    </dgm:alg>
                  </dgm:if>
                  <dgm:else name="Name39">
                    <dgm:alg type="hierChild">
                      <dgm:param type="chAlign" val="r"/>
                      <dgm:param type="linDir" val="fromT"/>
                      <dgm:param type="secChAlign" val="t"/>
                      <dgm:param type="secLinDir" val="fromR"/>
                    </dgm:alg>
                  </dgm:else>
                </dgm:choose>
              </dgm:if>
              <dgm:else name="Name40">
                <dgm:choose name="Name41">
                  <dgm:if name="Name4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43">
                    <dgm:alg type="hierChild">
                      <dgm:param type="linDir" val="fromT"/>
                      <dgm:param type="chAlign" val="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44" axis="precedSib" ptType="parTrans" st="-1" cnt="1">
                <dgm:choose name="Name45">
                  <dgm:if name="Name46" func="var" arg="hierBranch" op="equ" val="hang">
                    <dgm:layoutNode name="Name47">
                      <dgm:choose name="Name48">
                        <dgm:if name="Name4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 tCtr"/>
                          </dgm:alg>
                        </dgm:if>
                        <dgm:else name="Name5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 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1" func="var" arg="hierBranch" op="equ" val="l">
                    <dgm:layoutNode name="Name52">
                      <dgm:choose name="Name53">
                        <dgm:if name="Name54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tCtr"/>
                          </dgm:alg>
                        </dgm:if>
                        <dgm:else name="Name55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6" func="var" arg="hierBranch" op="equ" val="r">
                    <dgm:layoutNode name="Name57">
                      <dgm:choose name="Name58">
                        <dgm:if name="Name5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"/>
                          </dgm:alg>
                        </dgm:if>
                        <dgm:else name="Name6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61">
                    <dgm:choose name="Name62">
                      <dgm:if name="Name63" func="var" arg="dir" op="equ" val="norm">
                        <dgm:layoutNode name="Name64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midL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if>
                      <dgm:else name="Name65">
                        <dgm:layoutNode name="Name66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midR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else>
                    </dgm:choos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7">
                  <dgm:if name="Name68" func="var" arg="hierBranch" op="equ" val="l">
                    <dgm:choose name="Name69">
                      <dgm:if name="Name70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71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2" func="var" arg="hierBranch" op="equ" val="r">
                    <dgm:choose name="Name73">
                      <dgm:if name="Name74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75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6" func="var" arg="hierBranch" op="equ" val="hang">
                    <dgm:choose name="Name77">
                      <dgm:if name="Name78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79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80">
                    <dgm:choose name="Name81">
                      <dgm:if name="Name82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83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84">
                    <dgm:if name="Name85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6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7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8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9">
                    <dgm:if name="Name90" func="var" arg="hierBranch" op="equ" val="l">
                      <dgm:choose name="Name91">
                        <dgm:if name="Name92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93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r">
                      <dgm:choose name="Name95">
                        <dgm:if name="Name96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97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98" func="var" arg="hierBranch" op="equ" val="hang">
                      <dgm:choose name="Name99">
                        <dgm:if name="Name100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01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02">
                      <dgm:choose name="Name103">
                        <dgm:if name="Name104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05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a"/>
                </dgm:layoutNode>
                <dgm:layoutNode name="hierChild5">
                  <dgm:choose name="Name107">
                    <dgm:if name="Name108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09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10" ref="rep2b"/>
                </dgm:layoutNode>
              </dgm:layoutNode>
            </dgm:forEach>
          </dgm:layoutNode>
          <dgm:layoutNode name="hierChild3">
            <dgm:choose name="Name111">
              <dgm:if name="Name112" func="var" arg="dir" op="equ" val="norm">
                <dgm:alg type="hierChild">
                  <dgm:param type="chAlign" val="l"/>
                  <dgm:param type="linDir" val="fromT"/>
                  <dgm:param type="secChAlign" val="t"/>
                  <dgm:param type="secLinDir" val="fromL"/>
                </dgm:alg>
              </dgm:if>
              <dgm:else name="Name113">
                <dgm:alg type="hierChild">
                  <dgm:param type="chAlign" val="r"/>
                  <dgm:param type="linDir" val="fromT"/>
                  <dgm:param type="secChAlign" val="t"/>
                  <dgm:param type="sec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4" axis="precedSib" ptType="parTrans" st="-1" cnt="1">
                <dgm:layoutNode name="Name115">
                  <dgm:choose name="Name116">
                    <dgm:if name="Name117" func="var" arg="dir" op="equ" val="norm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R"/>
                        <dgm:param type="endPts" val="bCtr tCtr"/>
                      </dgm:alg>
                    </dgm:if>
                    <dgm:else name="Name11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L"/>
                        <dgm:param type="endPts" val="bCtr tCtr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9">
                  <dgm:if name="Name120" func="var" arg="hierBranch" op="equ" val="l">
                    <dgm:choose name="Name121">
                      <dgm:if name="Name122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123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4" func="var" arg="hierBranch" op="equ" val="r">
                    <dgm:choose name="Name125">
                      <dgm:if name="Name126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127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8" func="var" arg="hierBranch" op="equ" val="hang">
                    <dgm:choose name="Name129">
                      <dgm:if name="Name130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131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132">
                    <dgm:choose name="Name133">
                      <dgm:if name="Name134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135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36">
                    <dgm:if name="Name137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8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9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40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41">
                    <dgm:if name="Name142" func="var" arg="hierBranch" op="equ" val="l">
                      <dgm:choose name="Name143">
                        <dgm:if name="Name144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145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146" func="var" arg="hierBranch" op="equ" val="r">
                      <dgm:choose name="Name147">
                        <dgm:if name="Name148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149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150" func="var" arg="hierBranch" op="equ" val="hang">
                      <dgm:choose name="Name151">
                        <dgm:if name="Name152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53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54">
                      <dgm:choose name="Name155">
                        <dgm:if name="Name156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57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58" ref="rep2a"/>
                </dgm:layoutNode>
                <dgm:layoutNode name="hierChild7">
                  <dgm:choose name="Name159">
                    <dgm:if name="Name160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61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62" ref="rep2b"/>
                </dgm:layoutNode>
              </dgm:layoutNode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9/3/layout/HorizontalOrganizationChart">
  <dgm:title val=""/>
  <dgm:desc val=""/>
  <dgm:catLst>
    <dgm:cat type="hierarchy" pri="43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305"/>
      <dgm:constr type="w" for="des" forName="rootComposite" refType="w" fact="10"/>
      <dgm:constr type="h" for="des" forName="rootComposite" refType="w" refFor="des" refForName="rootComposite1" fact="0.305"/>
      <dgm:constr type="w" for="des" forName="rootComposite3" refType="w" fact="10"/>
      <dgm:constr type="h" for="des" forName="rootComposite3" refType="w" refFor="des" refForName="rootComposite1" fact="0.305"/>
      <dgm:constr type="primFontSz" for="des" ptType="node" op="equ"/>
      <dgm:constr type="sp" for="des" op="equ"/>
      <dgm:constr type="sp" for="des" forName="hierRoot1" refType="w" refFor="des" refForName="rootComposite1" fact="0.2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125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125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func="var" arg="dir" op="equ" val="norm">
                  <dgm:alg type="hierRoot">
                    <dgm:param type="hierAlign" val="lT"/>
                  </dgm:alg>
                  <dgm:constrLst>
                    <dgm:constr type="alignOff" val="0.75"/>
                  </dgm:constrLst>
                </dgm:if>
                <dgm:else name="Name9">
                  <dgm:alg type="hierRoot">
                    <dgm:param type="hierAlign" val="rT"/>
                  </dgm:alg>
                  <dgm:constrLst>
                    <dgm:constr type="alignOff" val="0.75"/>
                  </dgm:constrLst>
                </dgm:else>
              </dgm:choose>
            </dgm:if>
            <dgm:if name="Name10" func="var" arg="hierBranch" op="equ" val="r">
              <dgm:choose name="Name11">
                <dgm:if name="Name12" func="var" arg="dir" op="equ" val="norm">
                  <dgm:alg type="hierRoot">
                    <dgm:param type="hierAlign" val="lB"/>
                  </dgm:alg>
                  <dgm:constrLst>
                    <dgm:constr type="alignOff" val="0.75"/>
                  </dgm:constrLst>
                </dgm:if>
                <dgm:else name="Name13">
                  <dgm:alg type="hierRoot">
                    <dgm:param type="hierAlign" val="rB"/>
                  </dgm:alg>
                  <dgm:constrLst>
                    <dgm:constr type="alignOff" val="0.75"/>
                  </dgm:constrLst>
                </dgm:else>
              </dgm:choose>
            </dgm:if>
            <dgm:if name="Name14" func="var" arg="hierBranch" op="equ" val="hang">
              <dgm:choose name="Name15">
                <dgm:if name="Name16" func="var" arg="dir" op="equ" val="norm">
                  <dgm:alg type="hierRoot">
                    <dgm:param type="hierAlign" val="lCtrCh"/>
                  </dgm:alg>
                  <dgm:constrLst>
                    <dgm:constr type="alignOff" val="0.65"/>
                  </dgm:constrLst>
                </dgm:if>
                <dgm:else name="Name17">
                  <dgm:alg type="hierRoot">
                    <dgm:param type="hierAlign" val="rCtrCh"/>
                  </dgm:alg>
                  <dgm:constrLst>
                    <dgm:constr type="alignOff" val="0.65"/>
                  </dgm:constrLst>
                </dgm:else>
              </dgm:choose>
            </dgm:if>
            <dgm:else name="Name18">
              <dgm:choose name="Name19">
                <dgm:if name="Name20" func="var" arg="dir" op="equ" val="norm">
                  <dgm:alg type="hierRoot">
                    <dgm:param type="hierAlign" val="l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if>
                <dgm:else name="Name21">
                  <dgm:alg type="hierRoot">
                    <dgm:param type="hierAlign" val="r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else>
              </dgm:choose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22">
              <dgm:if name="Name23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4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5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6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7">
              <dgm:if name="Name28" func="var" arg="hierBranch" op="equ" val="l">
                <dgm:choose name="Name29">
                  <dgm:if name="Name30" func="var" arg="dir" op="equ" val="norm">
                    <dgm:alg type="hierChild">
                      <dgm:param type="chAlign" val="t"/>
                      <dgm:param type="linDir" val="fromL"/>
                    </dgm:alg>
                  </dgm:if>
                  <dgm:else name="Name31">
                    <dgm:alg type="hierChild">
                      <dgm:param type="chAlign" val="t"/>
                      <dgm:param type="linDir" val="fromR"/>
                    </dgm:alg>
                  </dgm:else>
                </dgm:choose>
              </dgm:if>
              <dgm:if name="Name32" func="var" arg="hierBranch" op="equ" val="r">
                <dgm:choose name="Name33">
                  <dgm:if name="Name34" func="var" arg="dir" op="equ" val="norm">
                    <dgm:alg type="hierChild">
                      <dgm:param type="chAlign" val="b"/>
                      <dgm:param type="linDir" val="fromL"/>
                    </dgm:alg>
                  </dgm:if>
                  <dgm:else name="Name35">
                    <dgm:alg type="hierChild">
                      <dgm:param type="chAlign" val="b"/>
                      <dgm:param type="linDir" val="fromR"/>
                    </dgm:alg>
                  </dgm:else>
                </dgm:choose>
              </dgm:if>
              <dgm:if name="Name36" func="var" arg="hierBranch" op="equ" val="hang">
                <dgm:choose name="Name37">
                  <dgm:if name="Name38" func="var" arg="dir" op="equ" val="norm">
                    <dgm:alg type="hierChild">
                      <dgm:param type="chAlign" val="l"/>
                      <dgm:param type="linDir" val="fromT"/>
                      <dgm:param type="secChAlign" val="t"/>
                      <dgm:param type="secLinDir" val="fromL"/>
                    </dgm:alg>
                  </dgm:if>
                  <dgm:else name="Name39">
                    <dgm:alg type="hierChild">
                      <dgm:param type="chAlign" val="r"/>
                      <dgm:param type="linDir" val="fromT"/>
                      <dgm:param type="secChAlign" val="t"/>
                      <dgm:param type="secLinDir" val="fromR"/>
                    </dgm:alg>
                  </dgm:else>
                </dgm:choose>
              </dgm:if>
              <dgm:else name="Name40">
                <dgm:choose name="Name41">
                  <dgm:if name="Name4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43">
                    <dgm:alg type="hierChild">
                      <dgm:param type="linDir" val="fromT"/>
                      <dgm:param type="chAlign" val="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44" axis="precedSib" ptType="parTrans" st="-1" cnt="1">
                <dgm:choose name="Name45">
                  <dgm:if name="Name46" func="var" arg="hierBranch" op="equ" val="hang">
                    <dgm:layoutNode name="Name47">
                      <dgm:choose name="Name48">
                        <dgm:if name="Name4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 tCtr"/>
                          </dgm:alg>
                        </dgm:if>
                        <dgm:else name="Name5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 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1" func="var" arg="hierBranch" op="equ" val="l">
                    <dgm:layoutNode name="Name52">
                      <dgm:choose name="Name53">
                        <dgm:if name="Name54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tCtr"/>
                          </dgm:alg>
                        </dgm:if>
                        <dgm:else name="Name55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6" func="var" arg="hierBranch" op="equ" val="r">
                    <dgm:layoutNode name="Name57">
                      <dgm:choose name="Name58">
                        <dgm:if name="Name5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"/>
                          </dgm:alg>
                        </dgm:if>
                        <dgm:else name="Name6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61">
                    <dgm:choose name="Name62">
                      <dgm:if name="Name63" func="var" arg="dir" op="equ" val="norm">
                        <dgm:layoutNode name="Name64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midL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if>
                      <dgm:else name="Name65">
                        <dgm:layoutNode name="Name66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midR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else>
                    </dgm:choos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7">
                  <dgm:if name="Name68" func="var" arg="hierBranch" op="equ" val="l">
                    <dgm:choose name="Name69">
                      <dgm:if name="Name70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71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2" func="var" arg="hierBranch" op="equ" val="r">
                    <dgm:choose name="Name73">
                      <dgm:if name="Name74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75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6" func="var" arg="hierBranch" op="equ" val="hang">
                    <dgm:choose name="Name77">
                      <dgm:if name="Name78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79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80">
                    <dgm:choose name="Name81">
                      <dgm:if name="Name82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83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84">
                    <dgm:if name="Name85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6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7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8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9">
                    <dgm:if name="Name90" func="var" arg="hierBranch" op="equ" val="l">
                      <dgm:choose name="Name91">
                        <dgm:if name="Name92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93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r">
                      <dgm:choose name="Name95">
                        <dgm:if name="Name96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97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98" func="var" arg="hierBranch" op="equ" val="hang">
                      <dgm:choose name="Name99">
                        <dgm:if name="Name100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01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02">
                      <dgm:choose name="Name103">
                        <dgm:if name="Name104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05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a"/>
                </dgm:layoutNode>
                <dgm:layoutNode name="hierChild5">
                  <dgm:choose name="Name107">
                    <dgm:if name="Name108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09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10" ref="rep2b"/>
                </dgm:layoutNode>
              </dgm:layoutNode>
            </dgm:forEach>
          </dgm:layoutNode>
          <dgm:layoutNode name="hierChild3">
            <dgm:choose name="Name111">
              <dgm:if name="Name112" func="var" arg="dir" op="equ" val="norm">
                <dgm:alg type="hierChild">
                  <dgm:param type="chAlign" val="l"/>
                  <dgm:param type="linDir" val="fromT"/>
                  <dgm:param type="secChAlign" val="t"/>
                  <dgm:param type="secLinDir" val="fromL"/>
                </dgm:alg>
              </dgm:if>
              <dgm:else name="Name113">
                <dgm:alg type="hierChild">
                  <dgm:param type="chAlign" val="r"/>
                  <dgm:param type="linDir" val="fromT"/>
                  <dgm:param type="secChAlign" val="t"/>
                  <dgm:param type="sec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4" axis="precedSib" ptType="parTrans" st="-1" cnt="1">
                <dgm:layoutNode name="Name115">
                  <dgm:choose name="Name116">
                    <dgm:if name="Name117" func="var" arg="dir" op="equ" val="norm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R"/>
                        <dgm:param type="endPts" val="bCtr tCtr"/>
                      </dgm:alg>
                    </dgm:if>
                    <dgm:else name="Name11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L"/>
                        <dgm:param type="endPts" val="bCtr tCtr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9">
                  <dgm:if name="Name120" func="var" arg="hierBranch" op="equ" val="l">
                    <dgm:choose name="Name121">
                      <dgm:if name="Name122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123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4" func="var" arg="hierBranch" op="equ" val="r">
                    <dgm:choose name="Name125">
                      <dgm:if name="Name126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127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8" func="var" arg="hierBranch" op="equ" val="hang">
                    <dgm:choose name="Name129">
                      <dgm:if name="Name130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131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132">
                    <dgm:choose name="Name133">
                      <dgm:if name="Name134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135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36">
                    <dgm:if name="Name137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8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9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40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41">
                    <dgm:if name="Name142" func="var" arg="hierBranch" op="equ" val="l">
                      <dgm:choose name="Name143">
                        <dgm:if name="Name144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145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146" func="var" arg="hierBranch" op="equ" val="r">
                      <dgm:choose name="Name147">
                        <dgm:if name="Name148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149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150" func="var" arg="hierBranch" op="equ" val="hang">
                      <dgm:choose name="Name151">
                        <dgm:if name="Name152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53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54">
                      <dgm:choose name="Name155">
                        <dgm:if name="Name156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57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58" ref="rep2a"/>
                </dgm:layoutNode>
                <dgm:layoutNode name="hierChild7">
                  <dgm:choose name="Name159">
                    <dgm:if name="Name160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61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62" ref="rep2b"/>
                </dgm:layoutNode>
              </dgm:layoutNode>
            </dgm:forEach>
          </dgm:layoutNode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9/3/layout/HorizontalOrganizationChart">
  <dgm:title val=""/>
  <dgm:desc val=""/>
  <dgm:catLst>
    <dgm:cat type="hierarchy" pri="43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305"/>
      <dgm:constr type="w" for="des" forName="rootComposite" refType="w" fact="10"/>
      <dgm:constr type="h" for="des" forName="rootComposite" refType="w" refFor="des" refForName="rootComposite1" fact="0.305"/>
      <dgm:constr type="w" for="des" forName="rootComposite3" refType="w" fact="10"/>
      <dgm:constr type="h" for="des" forName="rootComposite3" refType="w" refFor="des" refForName="rootComposite1" fact="0.305"/>
      <dgm:constr type="primFontSz" for="des" ptType="node" op="equ"/>
      <dgm:constr type="sp" for="des" op="equ"/>
      <dgm:constr type="sp" for="des" forName="hierRoot1" refType="w" refFor="des" refForName="rootComposite1" fact="0.2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125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125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func="var" arg="dir" op="equ" val="norm">
                  <dgm:alg type="hierRoot">
                    <dgm:param type="hierAlign" val="lT"/>
                  </dgm:alg>
                  <dgm:constrLst>
                    <dgm:constr type="alignOff" val="0.75"/>
                  </dgm:constrLst>
                </dgm:if>
                <dgm:else name="Name9">
                  <dgm:alg type="hierRoot">
                    <dgm:param type="hierAlign" val="rT"/>
                  </dgm:alg>
                  <dgm:constrLst>
                    <dgm:constr type="alignOff" val="0.75"/>
                  </dgm:constrLst>
                </dgm:else>
              </dgm:choose>
            </dgm:if>
            <dgm:if name="Name10" func="var" arg="hierBranch" op="equ" val="r">
              <dgm:choose name="Name11">
                <dgm:if name="Name12" func="var" arg="dir" op="equ" val="norm">
                  <dgm:alg type="hierRoot">
                    <dgm:param type="hierAlign" val="lB"/>
                  </dgm:alg>
                  <dgm:constrLst>
                    <dgm:constr type="alignOff" val="0.75"/>
                  </dgm:constrLst>
                </dgm:if>
                <dgm:else name="Name13">
                  <dgm:alg type="hierRoot">
                    <dgm:param type="hierAlign" val="rB"/>
                  </dgm:alg>
                  <dgm:constrLst>
                    <dgm:constr type="alignOff" val="0.75"/>
                  </dgm:constrLst>
                </dgm:else>
              </dgm:choose>
            </dgm:if>
            <dgm:if name="Name14" func="var" arg="hierBranch" op="equ" val="hang">
              <dgm:choose name="Name15">
                <dgm:if name="Name16" func="var" arg="dir" op="equ" val="norm">
                  <dgm:alg type="hierRoot">
                    <dgm:param type="hierAlign" val="lCtrCh"/>
                  </dgm:alg>
                  <dgm:constrLst>
                    <dgm:constr type="alignOff" val="0.65"/>
                  </dgm:constrLst>
                </dgm:if>
                <dgm:else name="Name17">
                  <dgm:alg type="hierRoot">
                    <dgm:param type="hierAlign" val="rCtrCh"/>
                  </dgm:alg>
                  <dgm:constrLst>
                    <dgm:constr type="alignOff" val="0.65"/>
                  </dgm:constrLst>
                </dgm:else>
              </dgm:choose>
            </dgm:if>
            <dgm:else name="Name18">
              <dgm:choose name="Name19">
                <dgm:if name="Name20" func="var" arg="dir" op="equ" val="norm">
                  <dgm:alg type="hierRoot">
                    <dgm:param type="hierAlign" val="l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if>
                <dgm:else name="Name21">
                  <dgm:alg type="hierRoot">
                    <dgm:param type="hierAlign" val="r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else>
              </dgm:choose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22">
              <dgm:if name="Name23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4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5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6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7">
              <dgm:if name="Name28" func="var" arg="hierBranch" op="equ" val="l">
                <dgm:choose name="Name29">
                  <dgm:if name="Name30" func="var" arg="dir" op="equ" val="norm">
                    <dgm:alg type="hierChild">
                      <dgm:param type="chAlign" val="t"/>
                      <dgm:param type="linDir" val="fromL"/>
                    </dgm:alg>
                  </dgm:if>
                  <dgm:else name="Name31">
                    <dgm:alg type="hierChild">
                      <dgm:param type="chAlign" val="t"/>
                      <dgm:param type="linDir" val="fromR"/>
                    </dgm:alg>
                  </dgm:else>
                </dgm:choose>
              </dgm:if>
              <dgm:if name="Name32" func="var" arg="hierBranch" op="equ" val="r">
                <dgm:choose name="Name33">
                  <dgm:if name="Name34" func="var" arg="dir" op="equ" val="norm">
                    <dgm:alg type="hierChild">
                      <dgm:param type="chAlign" val="b"/>
                      <dgm:param type="linDir" val="fromL"/>
                    </dgm:alg>
                  </dgm:if>
                  <dgm:else name="Name35">
                    <dgm:alg type="hierChild">
                      <dgm:param type="chAlign" val="b"/>
                      <dgm:param type="linDir" val="fromR"/>
                    </dgm:alg>
                  </dgm:else>
                </dgm:choose>
              </dgm:if>
              <dgm:if name="Name36" func="var" arg="hierBranch" op="equ" val="hang">
                <dgm:choose name="Name37">
                  <dgm:if name="Name38" func="var" arg="dir" op="equ" val="norm">
                    <dgm:alg type="hierChild">
                      <dgm:param type="chAlign" val="l"/>
                      <dgm:param type="linDir" val="fromT"/>
                      <dgm:param type="secChAlign" val="t"/>
                      <dgm:param type="secLinDir" val="fromL"/>
                    </dgm:alg>
                  </dgm:if>
                  <dgm:else name="Name39">
                    <dgm:alg type="hierChild">
                      <dgm:param type="chAlign" val="r"/>
                      <dgm:param type="linDir" val="fromT"/>
                      <dgm:param type="secChAlign" val="t"/>
                      <dgm:param type="secLinDir" val="fromR"/>
                    </dgm:alg>
                  </dgm:else>
                </dgm:choose>
              </dgm:if>
              <dgm:else name="Name40">
                <dgm:choose name="Name41">
                  <dgm:if name="Name4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43">
                    <dgm:alg type="hierChild">
                      <dgm:param type="linDir" val="fromT"/>
                      <dgm:param type="chAlign" val="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44" axis="precedSib" ptType="parTrans" st="-1" cnt="1">
                <dgm:choose name="Name45">
                  <dgm:if name="Name46" func="var" arg="hierBranch" op="equ" val="hang">
                    <dgm:layoutNode name="Name47">
                      <dgm:choose name="Name48">
                        <dgm:if name="Name4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 tCtr"/>
                          </dgm:alg>
                        </dgm:if>
                        <dgm:else name="Name5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 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1" func="var" arg="hierBranch" op="equ" val="l">
                    <dgm:layoutNode name="Name52">
                      <dgm:choose name="Name53">
                        <dgm:if name="Name54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tCtr"/>
                          </dgm:alg>
                        </dgm:if>
                        <dgm:else name="Name55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6" func="var" arg="hierBranch" op="equ" val="r">
                    <dgm:layoutNode name="Name57">
                      <dgm:choose name="Name58">
                        <dgm:if name="Name5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"/>
                          </dgm:alg>
                        </dgm:if>
                        <dgm:else name="Name6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61">
                    <dgm:choose name="Name62">
                      <dgm:if name="Name63" func="var" arg="dir" op="equ" val="norm">
                        <dgm:layoutNode name="Name64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midL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if>
                      <dgm:else name="Name65">
                        <dgm:layoutNode name="Name66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midR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else>
                    </dgm:choos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7">
                  <dgm:if name="Name68" func="var" arg="hierBranch" op="equ" val="l">
                    <dgm:choose name="Name69">
                      <dgm:if name="Name70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71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2" func="var" arg="hierBranch" op="equ" val="r">
                    <dgm:choose name="Name73">
                      <dgm:if name="Name74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75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6" func="var" arg="hierBranch" op="equ" val="hang">
                    <dgm:choose name="Name77">
                      <dgm:if name="Name78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79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80">
                    <dgm:choose name="Name81">
                      <dgm:if name="Name82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83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84">
                    <dgm:if name="Name85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6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7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8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9">
                    <dgm:if name="Name90" func="var" arg="hierBranch" op="equ" val="l">
                      <dgm:choose name="Name91">
                        <dgm:if name="Name92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93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r">
                      <dgm:choose name="Name95">
                        <dgm:if name="Name96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97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98" func="var" arg="hierBranch" op="equ" val="hang">
                      <dgm:choose name="Name99">
                        <dgm:if name="Name100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01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02">
                      <dgm:choose name="Name103">
                        <dgm:if name="Name104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05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a"/>
                </dgm:layoutNode>
                <dgm:layoutNode name="hierChild5">
                  <dgm:choose name="Name107">
                    <dgm:if name="Name108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09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10" ref="rep2b"/>
                </dgm:layoutNode>
              </dgm:layoutNode>
            </dgm:forEach>
          </dgm:layoutNode>
          <dgm:layoutNode name="hierChild3">
            <dgm:choose name="Name111">
              <dgm:if name="Name112" func="var" arg="dir" op="equ" val="norm">
                <dgm:alg type="hierChild">
                  <dgm:param type="chAlign" val="l"/>
                  <dgm:param type="linDir" val="fromT"/>
                  <dgm:param type="secChAlign" val="t"/>
                  <dgm:param type="secLinDir" val="fromL"/>
                </dgm:alg>
              </dgm:if>
              <dgm:else name="Name113">
                <dgm:alg type="hierChild">
                  <dgm:param type="chAlign" val="r"/>
                  <dgm:param type="linDir" val="fromT"/>
                  <dgm:param type="secChAlign" val="t"/>
                  <dgm:param type="sec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4" axis="precedSib" ptType="parTrans" st="-1" cnt="1">
                <dgm:layoutNode name="Name115">
                  <dgm:choose name="Name116">
                    <dgm:if name="Name117" func="var" arg="dir" op="equ" val="norm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R"/>
                        <dgm:param type="endPts" val="bCtr tCtr"/>
                      </dgm:alg>
                    </dgm:if>
                    <dgm:else name="Name11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L"/>
                        <dgm:param type="endPts" val="bCtr tCtr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9">
                  <dgm:if name="Name120" func="var" arg="hierBranch" op="equ" val="l">
                    <dgm:choose name="Name121">
                      <dgm:if name="Name122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123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4" func="var" arg="hierBranch" op="equ" val="r">
                    <dgm:choose name="Name125">
                      <dgm:if name="Name126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127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8" func="var" arg="hierBranch" op="equ" val="hang">
                    <dgm:choose name="Name129">
                      <dgm:if name="Name130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131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132">
                    <dgm:choose name="Name133">
                      <dgm:if name="Name134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135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36">
                    <dgm:if name="Name137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8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9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40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41">
                    <dgm:if name="Name142" func="var" arg="hierBranch" op="equ" val="l">
                      <dgm:choose name="Name143">
                        <dgm:if name="Name144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145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146" func="var" arg="hierBranch" op="equ" val="r">
                      <dgm:choose name="Name147">
                        <dgm:if name="Name148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149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150" func="var" arg="hierBranch" op="equ" val="hang">
                      <dgm:choose name="Name151">
                        <dgm:if name="Name152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53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54">
                      <dgm:choose name="Name155">
                        <dgm:if name="Name156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57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58" ref="rep2a"/>
                </dgm:layoutNode>
                <dgm:layoutNode name="hierChild7">
                  <dgm:choose name="Name159">
                    <dgm:if name="Name160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61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62" ref="rep2b"/>
                </dgm:layoutNode>
              </dgm:layoutNode>
            </dgm:forEach>
          </dgm:layoutNod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9/3/layout/HorizontalOrganizationChart">
  <dgm:title val=""/>
  <dgm:desc val=""/>
  <dgm:catLst>
    <dgm:cat type="hierarchy" pri="43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305"/>
      <dgm:constr type="w" for="des" forName="rootComposite" refType="w" fact="10"/>
      <dgm:constr type="h" for="des" forName="rootComposite" refType="w" refFor="des" refForName="rootComposite1" fact="0.305"/>
      <dgm:constr type="w" for="des" forName="rootComposite3" refType="w" fact="10"/>
      <dgm:constr type="h" for="des" forName="rootComposite3" refType="w" refFor="des" refForName="rootComposite1" fact="0.305"/>
      <dgm:constr type="primFontSz" for="des" ptType="node" op="equ"/>
      <dgm:constr type="sp" for="des" op="equ"/>
      <dgm:constr type="sp" for="des" forName="hierRoot1" refType="w" refFor="des" refForName="rootComposite1" fact="0.2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125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125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func="var" arg="dir" op="equ" val="norm">
                  <dgm:alg type="hierRoot">
                    <dgm:param type="hierAlign" val="lT"/>
                  </dgm:alg>
                  <dgm:constrLst>
                    <dgm:constr type="alignOff" val="0.75"/>
                  </dgm:constrLst>
                </dgm:if>
                <dgm:else name="Name9">
                  <dgm:alg type="hierRoot">
                    <dgm:param type="hierAlign" val="rT"/>
                  </dgm:alg>
                  <dgm:constrLst>
                    <dgm:constr type="alignOff" val="0.75"/>
                  </dgm:constrLst>
                </dgm:else>
              </dgm:choose>
            </dgm:if>
            <dgm:if name="Name10" func="var" arg="hierBranch" op="equ" val="r">
              <dgm:choose name="Name11">
                <dgm:if name="Name12" func="var" arg="dir" op="equ" val="norm">
                  <dgm:alg type="hierRoot">
                    <dgm:param type="hierAlign" val="lB"/>
                  </dgm:alg>
                  <dgm:constrLst>
                    <dgm:constr type="alignOff" val="0.75"/>
                  </dgm:constrLst>
                </dgm:if>
                <dgm:else name="Name13">
                  <dgm:alg type="hierRoot">
                    <dgm:param type="hierAlign" val="rB"/>
                  </dgm:alg>
                  <dgm:constrLst>
                    <dgm:constr type="alignOff" val="0.75"/>
                  </dgm:constrLst>
                </dgm:else>
              </dgm:choose>
            </dgm:if>
            <dgm:if name="Name14" func="var" arg="hierBranch" op="equ" val="hang">
              <dgm:choose name="Name15">
                <dgm:if name="Name16" func="var" arg="dir" op="equ" val="norm">
                  <dgm:alg type="hierRoot">
                    <dgm:param type="hierAlign" val="lCtrCh"/>
                  </dgm:alg>
                  <dgm:constrLst>
                    <dgm:constr type="alignOff" val="0.65"/>
                  </dgm:constrLst>
                </dgm:if>
                <dgm:else name="Name17">
                  <dgm:alg type="hierRoot">
                    <dgm:param type="hierAlign" val="rCtrCh"/>
                  </dgm:alg>
                  <dgm:constrLst>
                    <dgm:constr type="alignOff" val="0.65"/>
                  </dgm:constrLst>
                </dgm:else>
              </dgm:choose>
            </dgm:if>
            <dgm:else name="Name18">
              <dgm:choose name="Name19">
                <dgm:if name="Name20" func="var" arg="dir" op="equ" val="norm">
                  <dgm:alg type="hierRoot">
                    <dgm:param type="hierAlign" val="l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if>
                <dgm:else name="Name21">
                  <dgm:alg type="hierRoot">
                    <dgm:param type="hierAlign" val="r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else>
              </dgm:choose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22">
              <dgm:if name="Name23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4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5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6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7">
              <dgm:if name="Name28" func="var" arg="hierBranch" op="equ" val="l">
                <dgm:choose name="Name29">
                  <dgm:if name="Name30" func="var" arg="dir" op="equ" val="norm">
                    <dgm:alg type="hierChild">
                      <dgm:param type="chAlign" val="t"/>
                      <dgm:param type="linDir" val="fromL"/>
                    </dgm:alg>
                  </dgm:if>
                  <dgm:else name="Name31">
                    <dgm:alg type="hierChild">
                      <dgm:param type="chAlign" val="t"/>
                      <dgm:param type="linDir" val="fromR"/>
                    </dgm:alg>
                  </dgm:else>
                </dgm:choose>
              </dgm:if>
              <dgm:if name="Name32" func="var" arg="hierBranch" op="equ" val="r">
                <dgm:choose name="Name33">
                  <dgm:if name="Name34" func="var" arg="dir" op="equ" val="norm">
                    <dgm:alg type="hierChild">
                      <dgm:param type="chAlign" val="b"/>
                      <dgm:param type="linDir" val="fromL"/>
                    </dgm:alg>
                  </dgm:if>
                  <dgm:else name="Name35">
                    <dgm:alg type="hierChild">
                      <dgm:param type="chAlign" val="b"/>
                      <dgm:param type="linDir" val="fromR"/>
                    </dgm:alg>
                  </dgm:else>
                </dgm:choose>
              </dgm:if>
              <dgm:if name="Name36" func="var" arg="hierBranch" op="equ" val="hang">
                <dgm:choose name="Name37">
                  <dgm:if name="Name38" func="var" arg="dir" op="equ" val="norm">
                    <dgm:alg type="hierChild">
                      <dgm:param type="chAlign" val="l"/>
                      <dgm:param type="linDir" val="fromT"/>
                      <dgm:param type="secChAlign" val="t"/>
                      <dgm:param type="secLinDir" val="fromL"/>
                    </dgm:alg>
                  </dgm:if>
                  <dgm:else name="Name39">
                    <dgm:alg type="hierChild">
                      <dgm:param type="chAlign" val="r"/>
                      <dgm:param type="linDir" val="fromT"/>
                      <dgm:param type="secChAlign" val="t"/>
                      <dgm:param type="secLinDir" val="fromR"/>
                    </dgm:alg>
                  </dgm:else>
                </dgm:choose>
              </dgm:if>
              <dgm:else name="Name40">
                <dgm:choose name="Name41">
                  <dgm:if name="Name4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43">
                    <dgm:alg type="hierChild">
                      <dgm:param type="linDir" val="fromT"/>
                      <dgm:param type="chAlign" val="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44" axis="precedSib" ptType="parTrans" st="-1" cnt="1">
                <dgm:choose name="Name45">
                  <dgm:if name="Name46" func="var" arg="hierBranch" op="equ" val="hang">
                    <dgm:layoutNode name="Name47">
                      <dgm:choose name="Name48">
                        <dgm:if name="Name4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 tCtr"/>
                          </dgm:alg>
                        </dgm:if>
                        <dgm:else name="Name5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 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1" func="var" arg="hierBranch" op="equ" val="l">
                    <dgm:layoutNode name="Name52">
                      <dgm:choose name="Name53">
                        <dgm:if name="Name54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tCtr"/>
                          </dgm:alg>
                        </dgm:if>
                        <dgm:else name="Name55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6" func="var" arg="hierBranch" op="equ" val="r">
                    <dgm:layoutNode name="Name57">
                      <dgm:choose name="Name58">
                        <dgm:if name="Name5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"/>
                          </dgm:alg>
                        </dgm:if>
                        <dgm:else name="Name6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61">
                    <dgm:choose name="Name62">
                      <dgm:if name="Name63" func="var" arg="dir" op="equ" val="norm">
                        <dgm:layoutNode name="Name64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midL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if>
                      <dgm:else name="Name65">
                        <dgm:layoutNode name="Name66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midR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else>
                    </dgm:choos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7">
                  <dgm:if name="Name68" func="var" arg="hierBranch" op="equ" val="l">
                    <dgm:choose name="Name69">
                      <dgm:if name="Name70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71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2" func="var" arg="hierBranch" op="equ" val="r">
                    <dgm:choose name="Name73">
                      <dgm:if name="Name74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75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6" func="var" arg="hierBranch" op="equ" val="hang">
                    <dgm:choose name="Name77">
                      <dgm:if name="Name78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79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80">
                    <dgm:choose name="Name81">
                      <dgm:if name="Name82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83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84">
                    <dgm:if name="Name85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6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7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8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9">
                    <dgm:if name="Name90" func="var" arg="hierBranch" op="equ" val="l">
                      <dgm:choose name="Name91">
                        <dgm:if name="Name92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93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r">
                      <dgm:choose name="Name95">
                        <dgm:if name="Name96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97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98" func="var" arg="hierBranch" op="equ" val="hang">
                      <dgm:choose name="Name99">
                        <dgm:if name="Name100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01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02">
                      <dgm:choose name="Name103">
                        <dgm:if name="Name104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05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a"/>
                </dgm:layoutNode>
                <dgm:layoutNode name="hierChild5">
                  <dgm:choose name="Name107">
                    <dgm:if name="Name108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09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10" ref="rep2b"/>
                </dgm:layoutNode>
              </dgm:layoutNode>
            </dgm:forEach>
          </dgm:layoutNode>
          <dgm:layoutNode name="hierChild3">
            <dgm:choose name="Name111">
              <dgm:if name="Name112" func="var" arg="dir" op="equ" val="norm">
                <dgm:alg type="hierChild">
                  <dgm:param type="chAlign" val="l"/>
                  <dgm:param type="linDir" val="fromT"/>
                  <dgm:param type="secChAlign" val="t"/>
                  <dgm:param type="secLinDir" val="fromL"/>
                </dgm:alg>
              </dgm:if>
              <dgm:else name="Name113">
                <dgm:alg type="hierChild">
                  <dgm:param type="chAlign" val="r"/>
                  <dgm:param type="linDir" val="fromT"/>
                  <dgm:param type="secChAlign" val="t"/>
                  <dgm:param type="sec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4" axis="precedSib" ptType="parTrans" st="-1" cnt="1">
                <dgm:layoutNode name="Name115">
                  <dgm:choose name="Name116">
                    <dgm:if name="Name117" func="var" arg="dir" op="equ" val="norm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R"/>
                        <dgm:param type="endPts" val="bCtr tCtr"/>
                      </dgm:alg>
                    </dgm:if>
                    <dgm:else name="Name11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L"/>
                        <dgm:param type="endPts" val="bCtr tCtr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9">
                  <dgm:if name="Name120" func="var" arg="hierBranch" op="equ" val="l">
                    <dgm:choose name="Name121">
                      <dgm:if name="Name122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123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4" func="var" arg="hierBranch" op="equ" val="r">
                    <dgm:choose name="Name125">
                      <dgm:if name="Name126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127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8" func="var" arg="hierBranch" op="equ" val="hang">
                    <dgm:choose name="Name129">
                      <dgm:if name="Name130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131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132">
                    <dgm:choose name="Name133">
                      <dgm:if name="Name134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135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36">
                    <dgm:if name="Name137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8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9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40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41">
                    <dgm:if name="Name142" func="var" arg="hierBranch" op="equ" val="l">
                      <dgm:choose name="Name143">
                        <dgm:if name="Name144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145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146" func="var" arg="hierBranch" op="equ" val="r">
                      <dgm:choose name="Name147">
                        <dgm:if name="Name148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149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150" func="var" arg="hierBranch" op="equ" val="hang">
                      <dgm:choose name="Name151">
                        <dgm:if name="Name152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53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54">
                      <dgm:choose name="Name155">
                        <dgm:if name="Name156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57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58" ref="rep2a"/>
                </dgm:layoutNode>
                <dgm:layoutNode name="hierChild7">
                  <dgm:choose name="Name159">
                    <dgm:if name="Name160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61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62" ref="rep2b"/>
                </dgm:layoutNode>
              </dgm:layoutNode>
            </dgm:forEach>
          </dgm:layoutNode>
        </dgm:layoutNode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7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4.xml"/><Relationship Id="rId13" Type="http://schemas.openxmlformats.org/officeDocument/2006/relationships/diagramQuickStyle" Target="../diagrams/quickStyle5.xml"/><Relationship Id="rId18" Type="http://schemas.openxmlformats.org/officeDocument/2006/relationships/diagramQuickStyle" Target="../diagrams/quickStyle6.xml"/><Relationship Id="rId3" Type="http://schemas.openxmlformats.org/officeDocument/2006/relationships/diagramQuickStyle" Target="../diagrams/quickStyle3.xml"/><Relationship Id="rId21" Type="http://schemas.openxmlformats.org/officeDocument/2006/relationships/diagramData" Target="../diagrams/data7.xml"/><Relationship Id="rId7" Type="http://schemas.openxmlformats.org/officeDocument/2006/relationships/diagramLayout" Target="../diagrams/layout4.xml"/><Relationship Id="rId12" Type="http://schemas.openxmlformats.org/officeDocument/2006/relationships/diagramLayout" Target="../diagrams/layout5.xml"/><Relationship Id="rId17" Type="http://schemas.openxmlformats.org/officeDocument/2006/relationships/diagramLayout" Target="../diagrams/layout6.xml"/><Relationship Id="rId25" Type="http://schemas.microsoft.com/office/2007/relationships/diagramDrawing" Target="../diagrams/drawing7.xml"/><Relationship Id="rId2" Type="http://schemas.openxmlformats.org/officeDocument/2006/relationships/diagramLayout" Target="../diagrams/layout3.xml"/><Relationship Id="rId16" Type="http://schemas.openxmlformats.org/officeDocument/2006/relationships/diagramData" Target="../diagrams/data6.xml"/><Relationship Id="rId20" Type="http://schemas.microsoft.com/office/2007/relationships/diagramDrawing" Target="../diagrams/drawing6.xml"/><Relationship Id="rId1" Type="http://schemas.openxmlformats.org/officeDocument/2006/relationships/diagramData" Target="../diagrams/data3.xml"/><Relationship Id="rId6" Type="http://schemas.openxmlformats.org/officeDocument/2006/relationships/diagramData" Target="../diagrams/data4.xml"/><Relationship Id="rId11" Type="http://schemas.openxmlformats.org/officeDocument/2006/relationships/diagramData" Target="../diagrams/data5.xml"/><Relationship Id="rId24" Type="http://schemas.openxmlformats.org/officeDocument/2006/relationships/diagramColors" Target="../diagrams/colors7.xml"/><Relationship Id="rId5" Type="http://schemas.microsoft.com/office/2007/relationships/diagramDrawing" Target="../diagrams/drawing3.xml"/><Relationship Id="rId15" Type="http://schemas.microsoft.com/office/2007/relationships/diagramDrawing" Target="../diagrams/drawing5.xml"/><Relationship Id="rId23" Type="http://schemas.openxmlformats.org/officeDocument/2006/relationships/diagramQuickStyle" Target="../diagrams/quickStyle7.xml"/><Relationship Id="rId10" Type="http://schemas.microsoft.com/office/2007/relationships/diagramDrawing" Target="../diagrams/drawing4.xml"/><Relationship Id="rId19" Type="http://schemas.openxmlformats.org/officeDocument/2006/relationships/diagramColors" Target="../diagrams/colors6.xml"/><Relationship Id="rId4" Type="http://schemas.openxmlformats.org/officeDocument/2006/relationships/diagramColors" Target="../diagrams/colors3.xml"/><Relationship Id="rId9" Type="http://schemas.openxmlformats.org/officeDocument/2006/relationships/diagramColors" Target="../diagrams/colors4.xml"/><Relationship Id="rId14" Type="http://schemas.openxmlformats.org/officeDocument/2006/relationships/diagramColors" Target="../diagrams/colors5.xml"/><Relationship Id="rId22" Type="http://schemas.openxmlformats.org/officeDocument/2006/relationships/diagramLayout" Target="../diagrams/layou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470647</xdr:colOff>
      <xdr:row>54</xdr:row>
      <xdr:rowOff>85164</xdr:rowOff>
    </xdr:from>
    <xdr:to>
      <xdr:col>4</xdr:col>
      <xdr:colOff>4022911</xdr:colOff>
      <xdr:row>60</xdr:row>
      <xdr:rowOff>179295</xdr:rowOff>
    </xdr:to>
    <xdr:graphicFrame macro="">
      <xdr:nvGraphicFramePr>
        <xdr:cNvPr id="2" name="다이어그램 1">
          <a:extLst>
            <a:ext uri="{FF2B5EF4-FFF2-40B4-BE49-F238E27FC236}">
              <a16:creationId xmlns:a16="http://schemas.microsoft.com/office/drawing/2014/main" id="{A4992BB9-2197-D667-6547-815E476CB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2</xdr:col>
      <xdr:colOff>3222810</xdr:colOff>
      <xdr:row>60</xdr:row>
      <xdr:rowOff>203946</xdr:rowOff>
    </xdr:from>
    <xdr:to>
      <xdr:col>4</xdr:col>
      <xdr:colOff>3222810</xdr:colOff>
      <xdr:row>66</xdr:row>
      <xdr:rowOff>298077</xdr:rowOff>
    </xdr:to>
    <xdr:graphicFrame macro="">
      <xdr:nvGraphicFramePr>
        <xdr:cNvPr id="3" name="다이어그램 2">
          <a:extLst>
            <a:ext uri="{FF2B5EF4-FFF2-40B4-BE49-F238E27FC236}">
              <a16:creationId xmlns:a16="http://schemas.microsoft.com/office/drawing/2014/main" id="{F4AB7BCF-6569-4214-96B8-14750A773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4425304</xdr:colOff>
      <xdr:row>73</xdr:row>
      <xdr:rowOff>320896</xdr:rowOff>
    </xdr:from>
    <xdr:to>
      <xdr:col>4</xdr:col>
      <xdr:colOff>2107724</xdr:colOff>
      <xdr:row>79</xdr:row>
      <xdr:rowOff>347792</xdr:rowOff>
    </xdr:to>
    <xdr:graphicFrame macro="">
      <xdr:nvGraphicFramePr>
        <xdr:cNvPr id="2" name="다이어그램 1">
          <a:extLst>
            <a:ext uri="{FF2B5EF4-FFF2-40B4-BE49-F238E27FC236}">
              <a16:creationId xmlns:a16="http://schemas.microsoft.com/office/drawing/2014/main" id="{C59E8057-CA56-45F6-9F41-1967A844A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4</xdr:col>
      <xdr:colOff>1275027</xdr:colOff>
      <xdr:row>73</xdr:row>
      <xdr:rowOff>266495</xdr:rowOff>
    </xdr:from>
    <xdr:to>
      <xdr:col>4</xdr:col>
      <xdr:colOff>8379556</xdr:colOff>
      <xdr:row>79</xdr:row>
      <xdr:rowOff>293391</xdr:rowOff>
    </xdr:to>
    <xdr:graphicFrame macro="">
      <xdr:nvGraphicFramePr>
        <xdr:cNvPr id="3" name="다이어그램 2">
          <a:extLst>
            <a:ext uri="{FF2B5EF4-FFF2-40B4-BE49-F238E27FC236}">
              <a16:creationId xmlns:a16="http://schemas.microsoft.com/office/drawing/2014/main" id="{818AE874-C042-4423-8065-745579573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3</xdr:col>
      <xdr:colOff>270984</xdr:colOff>
      <xdr:row>81</xdr:row>
      <xdr:rowOff>123266</xdr:rowOff>
    </xdr:from>
    <xdr:to>
      <xdr:col>4</xdr:col>
      <xdr:colOff>6387353</xdr:colOff>
      <xdr:row>83</xdr:row>
      <xdr:rowOff>193658</xdr:rowOff>
    </xdr:to>
    <xdr:graphicFrame macro="">
      <xdr:nvGraphicFramePr>
        <xdr:cNvPr id="6" name="다이어그램 5">
          <a:extLst>
            <a:ext uri="{FF2B5EF4-FFF2-40B4-BE49-F238E27FC236}">
              <a16:creationId xmlns:a16="http://schemas.microsoft.com/office/drawing/2014/main" id="{61E46B2E-6F82-7773-FEDD-382CF2A0B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3</xdr:col>
      <xdr:colOff>232885</xdr:colOff>
      <xdr:row>83</xdr:row>
      <xdr:rowOff>235325</xdr:rowOff>
    </xdr:from>
    <xdr:to>
      <xdr:col>4</xdr:col>
      <xdr:colOff>7966371</xdr:colOff>
      <xdr:row>85</xdr:row>
      <xdr:rowOff>317125</xdr:rowOff>
    </xdr:to>
    <xdr:graphicFrame macro="">
      <xdr:nvGraphicFramePr>
        <xdr:cNvPr id="7" name="다이어그램 6">
          <a:extLst>
            <a:ext uri="{FF2B5EF4-FFF2-40B4-BE49-F238E27FC236}">
              <a16:creationId xmlns:a16="http://schemas.microsoft.com/office/drawing/2014/main" id="{8790933F-3CDF-4C73-933A-B9A345066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3</xdr:col>
      <xdr:colOff>229420</xdr:colOff>
      <xdr:row>85</xdr:row>
      <xdr:rowOff>347384</xdr:rowOff>
    </xdr:from>
    <xdr:to>
      <xdr:col>4</xdr:col>
      <xdr:colOff>8745689</xdr:colOff>
      <xdr:row>88</xdr:row>
      <xdr:rowOff>114604</xdr:rowOff>
    </xdr:to>
    <xdr:graphicFrame macro="">
      <xdr:nvGraphicFramePr>
        <xdr:cNvPr id="8" name="다이어그램 7">
          <a:extLst>
            <a:ext uri="{FF2B5EF4-FFF2-40B4-BE49-F238E27FC236}">
              <a16:creationId xmlns:a16="http://schemas.microsoft.com/office/drawing/2014/main" id="{061F6443-6536-4FE6-A2A7-D5A2967BC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" r:lo="rId22" r:qs="rId23" r:cs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324971</xdr:colOff>
      <xdr:row>212</xdr:row>
      <xdr:rowOff>257737</xdr:rowOff>
    </xdr:from>
    <xdr:to>
      <xdr:col>4</xdr:col>
      <xdr:colOff>5109883</xdr:colOff>
      <xdr:row>220</xdr:row>
      <xdr:rowOff>89649</xdr:rowOff>
    </xdr:to>
    <xdr:pic>
      <xdr:nvPicPr>
        <xdr:cNvPr id="4" name="그림 3" descr="운영체제] 프로세스의 개요">
          <a:extLst>
            <a:ext uri="{FF2B5EF4-FFF2-40B4-BE49-F238E27FC236}">
              <a16:creationId xmlns:a16="http://schemas.microsoft.com/office/drawing/2014/main" id="{36AF067A-EA53-2B3C-D3AB-26066DDCEE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6" t="3559" r="1312" b="4982"/>
        <a:stretch/>
      </xdr:blipFill>
      <xdr:spPr bwMode="auto">
        <a:xfrm>
          <a:off x="6028765" y="107038590"/>
          <a:ext cx="9121588" cy="2879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62E6-923E-47CD-A633-5C1A92025550}">
  <dimension ref="A1:E101"/>
  <sheetViews>
    <sheetView topLeftCell="A46" zoomScale="85" zoomScaleNormal="85" workbookViewId="0">
      <selection activeCell="A62" sqref="A62"/>
    </sheetView>
  </sheetViews>
  <sheetFormatPr defaultRowHeight="29.25" x14ac:dyDescent="0.3"/>
  <cols>
    <col min="1" max="1" width="9" style="1"/>
    <col min="2" max="2" width="9" style="1" customWidth="1"/>
    <col min="3" max="4" width="46.625" style="1" customWidth="1"/>
    <col min="5" max="5" width="197.625" style="1" customWidth="1"/>
    <col min="6" max="16384" width="9" style="1"/>
  </cols>
  <sheetData>
    <row r="1" spans="1:5" ht="33" thickBot="1" x14ac:dyDescent="0.35">
      <c r="B1" s="48" t="s">
        <v>1167</v>
      </c>
    </row>
    <row r="2" spans="1:5" ht="35.1" customHeight="1" thickBot="1" x14ac:dyDescent="0.35">
      <c r="B2" s="26" t="str">
        <f>IF(EXACT(SUBSTITUTE(C2," ",""),SUBSTITUTE(D2," ","")),"O","X")</f>
        <v>O</v>
      </c>
      <c r="C2" s="2" t="s">
        <v>275</v>
      </c>
      <c r="D2" s="2" t="s">
        <v>1081</v>
      </c>
      <c r="E2" s="2" t="s">
        <v>276</v>
      </c>
    </row>
    <row r="3" spans="1:5" ht="35.1" customHeight="1" thickBot="1" x14ac:dyDescent="0.35">
      <c r="B3" s="26" t="str">
        <f>IF(AND(ISNUMBER(SEARCH("클래스",SUBSTITUTE(D3," ",""))),ISNUMBER(SEARCH("객체",SUBSTITUTE(D3," ",""))),ISNUMBER(SEARCH("메시지",SUBSTITUTE(D3," ","")))),"O","X")</f>
        <v>O</v>
      </c>
      <c r="C3" s="2" t="s">
        <v>277</v>
      </c>
      <c r="D3" s="2" t="s">
        <v>1082</v>
      </c>
      <c r="E3" s="2" t="s">
        <v>278</v>
      </c>
    </row>
    <row r="4" spans="1:5" ht="35.1" customHeight="1" thickBot="1" x14ac:dyDescent="0.35">
      <c r="A4" s="52"/>
      <c r="B4" s="26" t="str">
        <f>IF(AND(ISNUMBER(SEARCH("캡슐화",SUBSTITUTE(D4," ",""))),ISNUMBER(SEARCH("상속",SUBSTITUTE(D4," ",""))),ISNUMBER(SEARCH("연관성",SUBSTITUTE(D4," ",""))),ISNUMBER(SEARCH("다형성",SUBSTITUTE(D4," ","")))),"O","X")</f>
        <v>X</v>
      </c>
      <c r="C4" s="2" t="s">
        <v>279</v>
      </c>
      <c r="D4" s="2"/>
      <c r="E4" s="2" t="s">
        <v>280</v>
      </c>
    </row>
    <row r="5" spans="1:5" ht="35.1" customHeight="1" thickBot="1" x14ac:dyDescent="0.35">
      <c r="B5" s="26" t="str">
        <f t="shared" ref="B4:B15" si="0">IF(EXACT(SUBSTITUTE(C5," ",""),SUBSTITUTE(D5," ","")),"O","X")</f>
        <v>O</v>
      </c>
      <c r="C5" s="2" t="s">
        <v>281</v>
      </c>
      <c r="D5" s="2" t="s">
        <v>1083</v>
      </c>
      <c r="E5" s="2" t="s">
        <v>282</v>
      </c>
    </row>
    <row r="6" spans="1:5" ht="35.1" customHeight="1" thickBot="1" x14ac:dyDescent="0.35">
      <c r="B6" s="26" t="str">
        <f t="shared" si="0"/>
        <v>O</v>
      </c>
      <c r="C6" s="2" t="s">
        <v>283</v>
      </c>
      <c r="D6" s="2" t="s">
        <v>1084</v>
      </c>
      <c r="E6" s="2" t="s">
        <v>284</v>
      </c>
    </row>
    <row r="7" spans="1:5" ht="35.1" customHeight="1" thickBot="1" x14ac:dyDescent="0.35">
      <c r="B7" s="26" t="str">
        <f t="shared" si="0"/>
        <v>O</v>
      </c>
      <c r="C7" s="2" t="s">
        <v>285</v>
      </c>
      <c r="D7" s="2" t="s">
        <v>1085</v>
      </c>
      <c r="E7" s="2" t="s">
        <v>286</v>
      </c>
    </row>
    <row r="8" spans="1:5" ht="35.1" customHeight="1" thickBot="1" x14ac:dyDescent="0.35">
      <c r="B8" s="26" t="str">
        <f t="shared" si="0"/>
        <v>O</v>
      </c>
      <c r="C8" s="2" t="s">
        <v>287</v>
      </c>
      <c r="D8" s="2" t="s">
        <v>1086</v>
      </c>
      <c r="E8" s="2" t="s">
        <v>288</v>
      </c>
    </row>
    <row r="9" spans="1:5" ht="35.1" customHeight="1" thickBot="1" x14ac:dyDescent="0.35">
      <c r="B9" s="26" t="str">
        <f t="shared" si="0"/>
        <v>O</v>
      </c>
      <c r="C9" s="2" t="s">
        <v>289</v>
      </c>
      <c r="D9" s="2" t="s">
        <v>1087</v>
      </c>
      <c r="E9" s="2" t="s">
        <v>290</v>
      </c>
    </row>
    <row r="10" spans="1:5" ht="35.1" customHeight="1" thickBot="1" x14ac:dyDescent="0.35">
      <c r="B10" s="26" t="str">
        <f t="shared" si="0"/>
        <v>O</v>
      </c>
      <c r="C10" s="2" t="s">
        <v>291</v>
      </c>
      <c r="D10" s="2" t="s">
        <v>1088</v>
      </c>
      <c r="E10" s="2" t="s">
        <v>292</v>
      </c>
    </row>
    <row r="11" spans="1:5" ht="35.1" customHeight="1" thickBot="1" x14ac:dyDescent="0.35">
      <c r="B11" s="26" t="str">
        <f t="shared" si="0"/>
        <v>O</v>
      </c>
      <c r="C11" s="2" t="s">
        <v>293</v>
      </c>
      <c r="D11" s="2" t="s">
        <v>1090</v>
      </c>
      <c r="E11" s="2" t="s">
        <v>294</v>
      </c>
    </row>
    <row r="12" spans="1:5" ht="35.1" customHeight="1" thickBot="1" x14ac:dyDescent="0.35">
      <c r="B12" s="26" t="str">
        <f t="shared" si="0"/>
        <v>O</v>
      </c>
      <c r="C12" s="2" t="s">
        <v>295</v>
      </c>
      <c r="D12" s="2" t="s">
        <v>1089</v>
      </c>
      <c r="E12" s="2" t="s">
        <v>296</v>
      </c>
    </row>
    <row r="13" spans="1:5" ht="35.1" customHeight="1" thickBot="1" x14ac:dyDescent="0.35">
      <c r="B13" s="26" t="str">
        <f t="shared" si="0"/>
        <v>O</v>
      </c>
      <c r="C13" s="2" t="s">
        <v>297</v>
      </c>
      <c r="D13" s="2" t="s">
        <v>1091</v>
      </c>
      <c r="E13" s="2" t="s">
        <v>298</v>
      </c>
    </row>
    <row r="14" spans="1:5" ht="35.1" customHeight="1" thickBot="1" x14ac:dyDescent="0.35">
      <c r="B14" s="26" t="str">
        <f t="shared" si="0"/>
        <v>O</v>
      </c>
      <c r="C14" s="2" t="s">
        <v>299</v>
      </c>
      <c r="D14" s="2" t="s">
        <v>1092</v>
      </c>
      <c r="E14" s="2" t="s">
        <v>300</v>
      </c>
    </row>
    <row r="15" spans="1:5" ht="35.1" customHeight="1" thickBot="1" x14ac:dyDescent="0.35">
      <c r="B15" s="26" t="str">
        <f t="shared" si="0"/>
        <v>O</v>
      </c>
      <c r="C15" s="2" t="s">
        <v>301</v>
      </c>
      <c r="D15" s="2" t="s">
        <v>1093</v>
      </c>
      <c r="E15" s="2" t="s">
        <v>302</v>
      </c>
    </row>
    <row r="16" spans="1:5" ht="35.1" customHeight="1" thickBot="1" x14ac:dyDescent="0.35">
      <c r="B16" s="26" t="str">
        <f>IF(OR(EXACT(SUBSTITUTE("특수화"," ",""),SUBSTITUTE(D16," ","")),EXACT(SUBSTITUTE("상세화"," ",""),SUBSTITUTE(D16," ",""))),"O","X")</f>
        <v>O</v>
      </c>
      <c r="C16" s="2" t="s">
        <v>303</v>
      </c>
      <c r="D16" s="2" t="s">
        <v>1094</v>
      </c>
      <c r="E16" s="2" t="s">
        <v>304</v>
      </c>
    </row>
    <row r="17" spans="1:5" ht="35.1" customHeight="1" thickBot="1" x14ac:dyDescent="0.35">
      <c r="A17" s="52"/>
      <c r="B17" s="26" t="str">
        <f t="shared" ref="B17:B48" si="1">IF(EXACT(SUBSTITUTE(C17," ",""),SUBSTITUTE(D17," ","")),"O","X")</f>
        <v>X</v>
      </c>
      <c r="C17" s="2" t="s">
        <v>305</v>
      </c>
      <c r="D17" s="2"/>
      <c r="E17" s="2" t="s">
        <v>306</v>
      </c>
    </row>
    <row r="18" spans="1:5" ht="35.1" customHeight="1" thickBot="1" x14ac:dyDescent="0.35">
      <c r="B18" s="26" t="str">
        <f t="shared" si="1"/>
        <v>O</v>
      </c>
      <c r="C18" s="2" t="s">
        <v>307</v>
      </c>
      <c r="D18" s="2" t="s">
        <v>1095</v>
      </c>
      <c r="E18" s="2" t="s">
        <v>308</v>
      </c>
    </row>
    <row r="19" spans="1:5" ht="35.1" customHeight="1" thickBot="1" x14ac:dyDescent="0.35">
      <c r="B19" s="26" t="str">
        <f t="shared" si="1"/>
        <v>O</v>
      </c>
      <c r="C19" s="2" t="s">
        <v>309</v>
      </c>
      <c r="D19" s="2" t="s">
        <v>1096</v>
      </c>
      <c r="E19" s="2" t="s">
        <v>310</v>
      </c>
    </row>
    <row r="20" spans="1:5" ht="35.1" customHeight="1" thickBot="1" x14ac:dyDescent="0.35">
      <c r="B20" s="26" t="str">
        <f t="shared" si="1"/>
        <v>O</v>
      </c>
      <c r="C20" s="2" t="s">
        <v>311</v>
      </c>
      <c r="D20" s="2" t="s">
        <v>1097</v>
      </c>
      <c r="E20" s="2" t="s">
        <v>312</v>
      </c>
    </row>
    <row r="21" spans="1:5" ht="35.1" customHeight="1" thickBot="1" x14ac:dyDescent="0.35">
      <c r="B21" s="26" t="str">
        <f t="shared" si="1"/>
        <v>O</v>
      </c>
      <c r="C21" s="2" t="s">
        <v>313</v>
      </c>
      <c r="D21" s="2" t="s">
        <v>1098</v>
      </c>
      <c r="E21" s="2" t="s">
        <v>314</v>
      </c>
    </row>
    <row r="22" spans="1:5" ht="35.1" customHeight="1" thickBot="1" x14ac:dyDescent="0.35">
      <c r="B22" s="26" t="str">
        <f t="shared" si="1"/>
        <v>O</v>
      </c>
      <c r="C22" s="2" t="s">
        <v>315</v>
      </c>
      <c r="D22" s="2" t="s">
        <v>1099</v>
      </c>
      <c r="E22" s="2" t="s">
        <v>316</v>
      </c>
    </row>
    <row r="23" spans="1:5" ht="35.1" customHeight="1" thickBot="1" x14ac:dyDescent="0.35">
      <c r="A23" s="52"/>
      <c r="B23" s="26" t="str">
        <f t="shared" si="1"/>
        <v>X</v>
      </c>
      <c r="C23" s="2" t="s">
        <v>317</v>
      </c>
      <c r="D23" s="2"/>
      <c r="E23" s="2" t="s">
        <v>318</v>
      </c>
    </row>
    <row r="24" spans="1:5" ht="35.1" customHeight="1" thickBot="1" x14ac:dyDescent="0.35">
      <c r="A24" s="52"/>
      <c r="B24" s="26" t="str">
        <f t="shared" si="1"/>
        <v>X</v>
      </c>
      <c r="C24" s="2" t="s">
        <v>319</v>
      </c>
      <c r="D24" s="2"/>
      <c r="E24" s="2" t="s">
        <v>320</v>
      </c>
    </row>
    <row r="25" spans="1:5" ht="35.1" customHeight="1" thickBot="1" x14ac:dyDescent="0.35">
      <c r="B25" s="26" t="str">
        <f t="shared" si="1"/>
        <v>O</v>
      </c>
      <c r="C25" s="2" t="s">
        <v>321</v>
      </c>
      <c r="D25" s="2" t="s">
        <v>1100</v>
      </c>
      <c r="E25" s="2" t="s">
        <v>322</v>
      </c>
    </row>
    <row r="26" spans="1:5" ht="35.1" customHeight="1" thickBot="1" x14ac:dyDescent="0.35">
      <c r="A26" s="52"/>
      <c r="B26" s="26" t="str">
        <f t="shared" si="1"/>
        <v>X</v>
      </c>
      <c r="C26" s="2" t="s">
        <v>323</v>
      </c>
      <c r="D26" s="2"/>
      <c r="E26" s="2" t="s">
        <v>324</v>
      </c>
    </row>
    <row r="27" spans="1:5" ht="35.1" customHeight="1" thickBot="1" x14ac:dyDescent="0.35">
      <c r="B27" s="26" t="str">
        <f t="shared" si="1"/>
        <v>O</v>
      </c>
      <c r="C27" s="2" t="s">
        <v>325</v>
      </c>
      <c r="D27" s="2" t="s">
        <v>1101</v>
      </c>
      <c r="E27" s="2" t="s">
        <v>326</v>
      </c>
    </row>
    <row r="28" spans="1:5" ht="35.1" customHeight="1" thickBot="1" x14ac:dyDescent="0.35">
      <c r="B28" s="26" t="str">
        <f t="shared" si="1"/>
        <v>O</v>
      </c>
      <c r="C28" s="2" t="s">
        <v>327</v>
      </c>
      <c r="D28" s="2" t="s">
        <v>1102</v>
      </c>
      <c r="E28" s="2" t="s">
        <v>328</v>
      </c>
    </row>
    <row r="29" spans="1:5" ht="35.1" customHeight="1" thickBot="1" x14ac:dyDescent="0.35">
      <c r="B29" s="26" t="str">
        <f t="shared" si="1"/>
        <v>O</v>
      </c>
      <c r="C29" s="2" t="s">
        <v>329</v>
      </c>
      <c r="D29" s="2" t="s">
        <v>1103</v>
      </c>
      <c r="E29" s="2" t="s">
        <v>330</v>
      </c>
    </row>
    <row r="30" spans="1:5" ht="35.1" customHeight="1" thickBot="1" x14ac:dyDescent="0.35">
      <c r="B30" s="26" t="str">
        <f t="shared" si="1"/>
        <v>O</v>
      </c>
      <c r="C30" s="2" t="s">
        <v>331</v>
      </c>
      <c r="D30" s="2" t="s">
        <v>1104</v>
      </c>
      <c r="E30" s="2" t="s">
        <v>332</v>
      </c>
    </row>
    <row r="31" spans="1:5" ht="35.1" customHeight="1" thickBot="1" x14ac:dyDescent="0.35">
      <c r="B31" s="26" t="str">
        <f t="shared" si="1"/>
        <v>O</v>
      </c>
      <c r="C31" s="2" t="s">
        <v>333</v>
      </c>
      <c r="D31" s="2" t="s">
        <v>1105</v>
      </c>
      <c r="E31" s="2" t="s">
        <v>334</v>
      </c>
    </row>
    <row r="32" spans="1:5" ht="35.1" customHeight="1" thickBot="1" x14ac:dyDescent="0.35">
      <c r="A32" s="52"/>
      <c r="B32" s="26" t="str">
        <f t="shared" si="1"/>
        <v>X</v>
      </c>
      <c r="C32" s="2" t="s">
        <v>335</v>
      </c>
      <c r="D32" s="2"/>
      <c r="E32" s="2" t="s">
        <v>336</v>
      </c>
    </row>
    <row r="33" spans="2:5" ht="35.1" customHeight="1" thickBot="1" x14ac:dyDescent="0.35">
      <c r="B33" s="26" t="str">
        <f t="shared" si="1"/>
        <v>O</v>
      </c>
      <c r="C33" s="2" t="s">
        <v>337</v>
      </c>
      <c r="D33" s="2" t="s">
        <v>1106</v>
      </c>
      <c r="E33" s="2" t="s">
        <v>338</v>
      </c>
    </row>
    <row r="34" spans="2:5" ht="35.1" customHeight="1" thickBot="1" x14ac:dyDescent="0.35">
      <c r="B34" s="26" t="str">
        <f t="shared" si="1"/>
        <v>O</v>
      </c>
      <c r="C34" s="2" t="s">
        <v>339</v>
      </c>
      <c r="D34" s="2" t="s">
        <v>1107</v>
      </c>
      <c r="E34" s="2" t="s">
        <v>340</v>
      </c>
    </row>
    <row r="35" spans="2:5" ht="35.1" customHeight="1" thickBot="1" x14ac:dyDescent="0.35">
      <c r="B35" s="26" t="str">
        <f t="shared" si="1"/>
        <v>O</v>
      </c>
      <c r="C35" s="2" t="s">
        <v>341</v>
      </c>
      <c r="D35" s="2" t="s">
        <v>1108</v>
      </c>
      <c r="E35" s="2" t="s">
        <v>342</v>
      </c>
    </row>
    <row r="36" spans="2:5" ht="35.1" customHeight="1" thickBot="1" x14ac:dyDescent="0.35">
      <c r="B36" s="26" t="str">
        <f t="shared" si="1"/>
        <v>O</v>
      </c>
      <c r="C36" s="2" t="s">
        <v>343</v>
      </c>
      <c r="D36" s="2" t="s">
        <v>1109</v>
      </c>
      <c r="E36" s="2" t="s">
        <v>344</v>
      </c>
    </row>
    <row r="37" spans="2:5" ht="35.1" customHeight="1" thickBot="1" x14ac:dyDescent="0.35">
      <c r="B37" s="26" t="str">
        <f t="shared" si="1"/>
        <v>O</v>
      </c>
      <c r="C37" s="2" t="s">
        <v>345</v>
      </c>
      <c r="D37" s="2" t="s">
        <v>1110</v>
      </c>
      <c r="E37" s="2" t="s">
        <v>346</v>
      </c>
    </row>
    <row r="38" spans="2:5" ht="35.1" customHeight="1" thickBot="1" x14ac:dyDescent="0.35">
      <c r="B38" s="26" t="str">
        <f t="shared" si="1"/>
        <v>O</v>
      </c>
      <c r="C38" s="2" t="s">
        <v>347</v>
      </c>
      <c r="D38" s="2" t="s">
        <v>1111</v>
      </c>
      <c r="E38" s="2" t="s">
        <v>348</v>
      </c>
    </row>
    <row r="39" spans="2:5" ht="35.1" customHeight="1" thickBot="1" x14ac:dyDescent="0.35">
      <c r="B39" s="26" t="str">
        <f t="shared" si="1"/>
        <v>O</v>
      </c>
      <c r="C39" s="2" t="s">
        <v>349</v>
      </c>
      <c r="D39" s="2" t="s">
        <v>1112</v>
      </c>
      <c r="E39" s="2" t="s">
        <v>350</v>
      </c>
    </row>
    <row r="40" spans="2:5" ht="35.1" customHeight="1" thickBot="1" x14ac:dyDescent="0.35">
      <c r="B40" s="26" t="str">
        <f t="shared" si="1"/>
        <v>O</v>
      </c>
      <c r="C40" s="2" t="s">
        <v>351</v>
      </c>
      <c r="D40" s="2" t="s">
        <v>1113</v>
      </c>
      <c r="E40" s="2" t="s">
        <v>352</v>
      </c>
    </row>
    <row r="41" spans="2:5" ht="35.1" customHeight="1" thickBot="1" x14ac:dyDescent="0.35">
      <c r="B41" s="26" t="str">
        <f t="shared" si="1"/>
        <v>O</v>
      </c>
      <c r="C41" s="2" t="s">
        <v>353</v>
      </c>
      <c r="D41" s="2" t="s">
        <v>1114</v>
      </c>
      <c r="E41" s="2" t="s">
        <v>354</v>
      </c>
    </row>
    <row r="42" spans="2:5" ht="35.1" customHeight="1" thickBot="1" x14ac:dyDescent="0.35">
      <c r="B42" s="26" t="str">
        <f t="shared" si="1"/>
        <v>O</v>
      </c>
      <c r="C42" s="2" t="s">
        <v>355</v>
      </c>
      <c r="D42" s="2" t="s">
        <v>1116</v>
      </c>
      <c r="E42" s="2" t="s">
        <v>356</v>
      </c>
    </row>
    <row r="43" spans="2:5" ht="35.1" customHeight="1" thickBot="1" x14ac:dyDescent="0.35">
      <c r="B43" s="26" t="str">
        <f t="shared" si="1"/>
        <v>O</v>
      </c>
      <c r="C43" s="2" t="s">
        <v>357</v>
      </c>
      <c r="D43" s="2" t="s">
        <v>1115</v>
      </c>
      <c r="E43" s="2" t="s">
        <v>358</v>
      </c>
    </row>
    <row r="44" spans="2:5" ht="35.1" customHeight="1" thickBot="1" x14ac:dyDescent="0.35">
      <c r="B44" s="26" t="str">
        <f t="shared" si="1"/>
        <v>O</v>
      </c>
      <c r="C44" s="2" t="s">
        <v>359</v>
      </c>
      <c r="D44" s="2" t="s">
        <v>1117</v>
      </c>
      <c r="E44" s="2" t="s">
        <v>360</v>
      </c>
    </row>
    <row r="45" spans="2:5" ht="35.1" customHeight="1" thickBot="1" x14ac:dyDescent="0.35">
      <c r="B45" s="26" t="str">
        <f t="shared" si="1"/>
        <v>O</v>
      </c>
      <c r="C45" s="2" t="s">
        <v>361</v>
      </c>
      <c r="D45" s="2" t="s">
        <v>1118</v>
      </c>
      <c r="E45" s="2" t="s">
        <v>362</v>
      </c>
    </row>
    <row r="46" spans="2:5" ht="35.1" customHeight="1" thickBot="1" x14ac:dyDescent="0.35">
      <c r="B46" s="26" t="str">
        <f t="shared" si="1"/>
        <v>O</v>
      </c>
      <c r="C46" s="2" t="s">
        <v>363</v>
      </c>
      <c r="D46" s="2" t="s">
        <v>1119</v>
      </c>
      <c r="E46" s="2" t="s">
        <v>364</v>
      </c>
    </row>
    <row r="47" spans="2:5" ht="35.1" customHeight="1" thickBot="1" x14ac:dyDescent="0.35">
      <c r="B47" s="26" t="str">
        <f t="shared" si="1"/>
        <v>O</v>
      </c>
      <c r="C47" s="2" t="s">
        <v>365</v>
      </c>
      <c r="D47" s="2" t="s">
        <v>1120</v>
      </c>
      <c r="E47" s="2" t="s">
        <v>366</v>
      </c>
    </row>
    <row r="48" spans="2:5" ht="35.1" customHeight="1" thickBot="1" x14ac:dyDescent="0.35">
      <c r="B48" s="26" t="str">
        <f t="shared" si="1"/>
        <v>O</v>
      </c>
      <c r="C48" s="2" t="s">
        <v>367</v>
      </c>
      <c r="D48" s="2" t="s">
        <v>1121</v>
      </c>
      <c r="E48" s="2" t="s">
        <v>368</v>
      </c>
    </row>
    <row r="49" spans="1:5" ht="35.1" customHeight="1" thickBot="1" x14ac:dyDescent="0.35">
      <c r="B49" s="26" t="str">
        <f t="shared" ref="B49:B80" si="2">IF(EXACT(SUBSTITUTE(C49," ",""),SUBSTITUTE(D49," ","")),"O","X")</f>
        <v>O</v>
      </c>
      <c r="C49" s="2" t="s">
        <v>369</v>
      </c>
      <c r="D49" s="2" t="s">
        <v>1122</v>
      </c>
      <c r="E49" s="2" t="s">
        <v>370</v>
      </c>
    </row>
    <row r="50" spans="1:5" ht="35.1" customHeight="1" thickBot="1" x14ac:dyDescent="0.35">
      <c r="B50" s="26" t="str">
        <f t="shared" si="2"/>
        <v>O</v>
      </c>
      <c r="C50" s="2" t="s">
        <v>371</v>
      </c>
      <c r="D50" s="2" t="s">
        <v>1123</v>
      </c>
      <c r="E50" s="2" t="s">
        <v>372</v>
      </c>
    </row>
    <row r="51" spans="1:5" ht="35.1" customHeight="1" thickBot="1" x14ac:dyDescent="0.35">
      <c r="B51" s="26" t="str">
        <f t="shared" si="2"/>
        <v>O</v>
      </c>
      <c r="C51" s="2" t="s">
        <v>373</v>
      </c>
      <c r="D51" s="2" t="s">
        <v>1124</v>
      </c>
      <c r="E51" s="2" t="s">
        <v>374</v>
      </c>
    </row>
    <row r="52" spans="1:5" ht="35.1" customHeight="1" thickBot="1" x14ac:dyDescent="0.35">
      <c r="B52" s="26" t="str">
        <f t="shared" si="2"/>
        <v>O</v>
      </c>
      <c r="C52" s="2" t="s">
        <v>375</v>
      </c>
      <c r="D52" s="2" t="s">
        <v>1125</v>
      </c>
      <c r="E52" s="2" t="s">
        <v>376</v>
      </c>
    </row>
    <row r="53" spans="1:5" ht="35.1" customHeight="1" thickBot="1" x14ac:dyDescent="0.35">
      <c r="B53" s="26" t="str">
        <f t="shared" si="2"/>
        <v>O</v>
      </c>
      <c r="C53" s="2" t="s">
        <v>377</v>
      </c>
      <c r="D53" s="2" t="s">
        <v>1126</v>
      </c>
      <c r="E53" s="2" t="s">
        <v>378</v>
      </c>
    </row>
    <row r="54" spans="1:5" ht="35.1" customHeight="1" thickBot="1" x14ac:dyDescent="0.35">
      <c r="A54" s="52"/>
      <c r="B54" s="26" t="str">
        <f>IF(AND(ISNUMBER(SEARCH("sharedmemory",SUBSTITUTE(LOWER(D54)," ",""))),ISNUMBER(SEARCH("socket",SUBSTITUTE(LOWER(D54)," ",""))),ISNUMBER(SEARCH("messagequeueing",SUBSTITUTE(LOWER(D54)," ",""))),ISNUMBER(SEARCH("semaphores",SUBSTITUTE(LOWER(D54)," ",""))),ISNUMBER(SEARCH("pipes&amp;namedpipes",SUBSTITUTE(LOWER(D54)," ","")))),"O","X")</f>
        <v>X</v>
      </c>
      <c r="C54" s="2" t="s">
        <v>379</v>
      </c>
      <c r="D54" s="2"/>
      <c r="E54" s="2" t="s">
        <v>380</v>
      </c>
    </row>
    <row r="55" spans="1:5" ht="35.1" customHeight="1" thickBot="1" x14ac:dyDescent="0.35">
      <c r="A55" s="52"/>
      <c r="B55" s="26" t="str">
        <f t="shared" si="2"/>
        <v>X</v>
      </c>
      <c r="C55" s="2" t="s">
        <v>381</v>
      </c>
      <c r="D55" s="2"/>
      <c r="E55" s="2" t="s">
        <v>382</v>
      </c>
    </row>
    <row r="56" spans="1:5" ht="35.1" customHeight="1" thickBot="1" x14ac:dyDescent="0.35">
      <c r="B56" s="26" t="str">
        <f t="shared" si="2"/>
        <v>O</v>
      </c>
      <c r="C56" s="2" t="s">
        <v>383</v>
      </c>
      <c r="D56" s="2" t="s">
        <v>1127</v>
      </c>
      <c r="E56" s="2" t="s">
        <v>384</v>
      </c>
    </row>
    <row r="57" spans="1:5" ht="35.1" customHeight="1" thickBot="1" x14ac:dyDescent="0.35">
      <c r="B57" s="26" t="str">
        <f t="shared" si="2"/>
        <v>O</v>
      </c>
      <c r="C57" s="2" t="s">
        <v>385</v>
      </c>
      <c r="D57" s="2" t="s">
        <v>1128</v>
      </c>
      <c r="E57" s="2" t="s">
        <v>386</v>
      </c>
    </row>
    <row r="58" spans="1:5" ht="35.1" customHeight="1" thickBot="1" x14ac:dyDescent="0.35">
      <c r="B58" s="26" t="str">
        <f t="shared" si="2"/>
        <v>O</v>
      </c>
      <c r="C58" s="2" t="s">
        <v>387</v>
      </c>
      <c r="D58" s="2" t="s">
        <v>1129</v>
      </c>
      <c r="E58" s="2" t="s">
        <v>388</v>
      </c>
    </row>
    <row r="59" spans="1:5" ht="35.1" customHeight="1" thickBot="1" x14ac:dyDescent="0.35">
      <c r="B59" s="26" t="str">
        <f t="shared" si="2"/>
        <v>O</v>
      </c>
      <c r="C59" s="2" t="s">
        <v>389</v>
      </c>
      <c r="D59" s="2" t="s">
        <v>1130</v>
      </c>
      <c r="E59" s="2" t="s">
        <v>390</v>
      </c>
    </row>
    <row r="60" spans="1:5" ht="35.1" customHeight="1" thickBot="1" x14ac:dyDescent="0.35">
      <c r="B60" s="26" t="str">
        <f t="shared" si="2"/>
        <v>O</v>
      </c>
      <c r="C60" s="2" t="s">
        <v>391</v>
      </c>
      <c r="D60" s="2" t="s">
        <v>1131</v>
      </c>
      <c r="E60" s="2" t="s">
        <v>392</v>
      </c>
    </row>
    <row r="61" spans="1:5" ht="35.1" customHeight="1" thickBot="1" x14ac:dyDescent="0.35">
      <c r="B61" s="26" t="str">
        <f t="shared" si="2"/>
        <v>O</v>
      </c>
      <c r="C61" s="2" t="s">
        <v>393</v>
      </c>
      <c r="D61" s="2" t="s">
        <v>1132</v>
      </c>
      <c r="E61" s="2" t="s">
        <v>394</v>
      </c>
    </row>
    <row r="62" spans="1:5" ht="35.1" customHeight="1" thickBot="1" x14ac:dyDescent="0.35">
      <c r="B62" s="26" t="str">
        <f t="shared" si="2"/>
        <v>O</v>
      </c>
      <c r="C62" s="2" t="s">
        <v>395</v>
      </c>
      <c r="D62" s="2" t="s">
        <v>1133</v>
      </c>
      <c r="E62" s="2" t="s">
        <v>396</v>
      </c>
    </row>
    <row r="63" spans="1:5" ht="35.1" customHeight="1" thickBot="1" x14ac:dyDescent="0.35">
      <c r="B63" s="26" t="str">
        <f t="shared" si="2"/>
        <v>O</v>
      </c>
      <c r="C63" s="2" t="s">
        <v>397</v>
      </c>
      <c r="D63" s="2" t="s">
        <v>1134</v>
      </c>
      <c r="E63" s="2" t="s">
        <v>398</v>
      </c>
    </row>
    <row r="64" spans="1:5" ht="35.1" customHeight="1" thickBot="1" x14ac:dyDescent="0.35">
      <c r="B64" s="26" t="str">
        <f t="shared" si="2"/>
        <v>O</v>
      </c>
      <c r="C64" s="2" t="s">
        <v>399</v>
      </c>
      <c r="D64" s="2" t="s">
        <v>1135</v>
      </c>
      <c r="E64" s="2" t="s">
        <v>400</v>
      </c>
    </row>
    <row r="65" spans="1:5" ht="35.1" customHeight="1" thickBot="1" x14ac:dyDescent="0.35">
      <c r="B65" s="26" t="str">
        <f t="shared" si="2"/>
        <v>O</v>
      </c>
      <c r="C65" s="2" t="s">
        <v>401</v>
      </c>
      <c r="D65" s="2" t="s">
        <v>1136</v>
      </c>
      <c r="E65" s="2" t="s">
        <v>402</v>
      </c>
    </row>
    <row r="66" spans="1:5" ht="35.1" customHeight="1" thickBot="1" x14ac:dyDescent="0.35">
      <c r="B66" s="26" t="str">
        <f t="shared" si="2"/>
        <v>O</v>
      </c>
      <c r="C66" s="2" t="s">
        <v>403</v>
      </c>
      <c r="D66" s="2" t="s">
        <v>1137</v>
      </c>
      <c r="E66" s="2" t="s">
        <v>404</v>
      </c>
    </row>
    <row r="67" spans="1:5" ht="35.1" customHeight="1" thickBot="1" x14ac:dyDescent="0.35">
      <c r="B67" s="26" t="str">
        <f t="shared" si="2"/>
        <v>O</v>
      </c>
      <c r="C67" s="2" t="s">
        <v>405</v>
      </c>
      <c r="D67" s="2" t="s">
        <v>1138</v>
      </c>
      <c r="E67" s="2" t="s">
        <v>406</v>
      </c>
    </row>
    <row r="68" spans="1:5" ht="35.1" customHeight="1" thickBot="1" x14ac:dyDescent="0.35">
      <c r="B68" s="26" t="str">
        <f t="shared" si="2"/>
        <v>O</v>
      </c>
      <c r="C68" s="2" t="s">
        <v>407</v>
      </c>
      <c r="D68" s="2" t="s">
        <v>1139</v>
      </c>
      <c r="E68" s="2" t="s">
        <v>408</v>
      </c>
    </row>
    <row r="69" spans="1:5" ht="35.1" customHeight="1" thickBot="1" x14ac:dyDescent="0.35">
      <c r="B69" s="26" t="str">
        <f t="shared" si="2"/>
        <v>O</v>
      </c>
      <c r="C69" s="2" t="s">
        <v>409</v>
      </c>
      <c r="D69" s="2" t="s">
        <v>1140</v>
      </c>
      <c r="E69" s="2" t="s">
        <v>410</v>
      </c>
    </row>
    <row r="70" spans="1:5" ht="35.1" customHeight="1" thickBot="1" x14ac:dyDescent="0.35">
      <c r="B70" s="26" t="str">
        <f t="shared" si="2"/>
        <v>O</v>
      </c>
      <c r="C70" s="2" t="s">
        <v>411</v>
      </c>
      <c r="D70" s="2" t="s">
        <v>1141</v>
      </c>
      <c r="E70" s="2" t="s">
        <v>412</v>
      </c>
    </row>
    <row r="71" spans="1:5" ht="35.1" customHeight="1" thickBot="1" x14ac:dyDescent="0.35">
      <c r="B71" s="26" t="str">
        <f t="shared" si="2"/>
        <v>O</v>
      </c>
      <c r="C71" s="2" t="s">
        <v>413</v>
      </c>
      <c r="D71" s="2" t="s">
        <v>1142</v>
      </c>
      <c r="E71" s="2" t="s">
        <v>414</v>
      </c>
    </row>
    <row r="72" spans="1:5" ht="35.1" customHeight="1" thickBot="1" x14ac:dyDescent="0.35">
      <c r="B72" s="26" t="str">
        <f t="shared" si="2"/>
        <v>O</v>
      </c>
      <c r="C72" s="2" t="s">
        <v>415</v>
      </c>
      <c r="D72" s="2" t="s">
        <v>1143</v>
      </c>
      <c r="E72" s="2" t="s">
        <v>416</v>
      </c>
    </row>
    <row r="73" spans="1:5" ht="35.1" customHeight="1" thickBot="1" x14ac:dyDescent="0.35">
      <c r="A73" s="52"/>
      <c r="B73" s="26" t="str">
        <f t="shared" si="2"/>
        <v>X</v>
      </c>
      <c r="C73" s="2" t="s">
        <v>417</v>
      </c>
      <c r="D73" s="2"/>
      <c r="E73" s="2" t="s">
        <v>418</v>
      </c>
    </row>
    <row r="74" spans="1:5" ht="35.1" customHeight="1" thickBot="1" x14ac:dyDescent="0.35">
      <c r="B74" s="26" t="str">
        <f t="shared" si="2"/>
        <v>O</v>
      </c>
      <c r="C74" s="2" t="s">
        <v>419</v>
      </c>
      <c r="D74" s="2" t="s">
        <v>1144</v>
      </c>
      <c r="E74" s="2" t="s">
        <v>420</v>
      </c>
    </row>
    <row r="75" spans="1:5" ht="35.1" customHeight="1" thickBot="1" x14ac:dyDescent="0.35">
      <c r="B75" s="26" t="str">
        <f t="shared" si="2"/>
        <v>O</v>
      </c>
      <c r="C75" s="2" t="s">
        <v>421</v>
      </c>
      <c r="D75" s="2" t="s">
        <v>1147</v>
      </c>
      <c r="E75" s="2" t="s">
        <v>422</v>
      </c>
    </row>
    <row r="76" spans="1:5" ht="35.1" customHeight="1" thickBot="1" x14ac:dyDescent="0.35">
      <c r="B76" s="26" t="str">
        <f t="shared" si="2"/>
        <v>O</v>
      </c>
      <c r="C76" s="2" t="s">
        <v>423</v>
      </c>
      <c r="D76" s="2" t="s">
        <v>1145</v>
      </c>
      <c r="E76" s="2" t="s">
        <v>424</v>
      </c>
    </row>
    <row r="77" spans="1:5" ht="35.1" customHeight="1" thickBot="1" x14ac:dyDescent="0.35">
      <c r="B77" s="26" t="str">
        <f t="shared" si="2"/>
        <v>O</v>
      </c>
      <c r="C77" s="2" t="s">
        <v>425</v>
      </c>
      <c r="D77" s="2" t="s">
        <v>1146</v>
      </c>
      <c r="E77" s="2" t="s">
        <v>426</v>
      </c>
    </row>
    <row r="78" spans="1:5" ht="35.1" customHeight="1" thickBot="1" x14ac:dyDescent="0.35">
      <c r="B78" s="26" t="str">
        <f t="shared" si="2"/>
        <v>O</v>
      </c>
      <c r="C78" s="2" t="s">
        <v>427</v>
      </c>
      <c r="D78" s="2" t="s">
        <v>1148</v>
      </c>
      <c r="E78" s="2" t="s">
        <v>428</v>
      </c>
    </row>
    <row r="79" spans="1:5" ht="35.1" customHeight="1" thickBot="1" x14ac:dyDescent="0.35">
      <c r="B79" s="26" t="str">
        <f t="shared" si="2"/>
        <v>O</v>
      </c>
      <c r="C79" s="2" t="s">
        <v>429</v>
      </c>
      <c r="D79" s="2" t="s">
        <v>1149</v>
      </c>
      <c r="E79" s="2" t="s">
        <v>430</v>
      </c>
    </row>
    <row r="80" spans="1:5" ht="35.1" customHeight="1" thickBot="1" x14ac:dyDescent="0.35">
      <c r="B80" s="26" t="str">
        <f t="shared" si="2"/>
        <v>O</v>
      </c>
      <c r="C80" s="2" t="s">
        <v>431</v>
      </c>
      <c r="D80" s="2" t="s">
        <v>1150</v>
      </c>
      <c r="E80" s="2" t="s">
        <v>432</v>
      </c>
    </row>
    <row r="81" spans="1:5" ht="35.1" customHeight="1" thickBot="1" x14ac:dyDescent="0.35">
      <c r="B81" s="26" t="str">
        <f t="shared" ref="B81:B112" si="3">IF(EXACT(SUBSTITUTE(C81," ",""),SUBSTITUTE(D81," ","")),"O","X")</f>
        <v>O</v>
      </c>
      <c r="C81" s="2" t="s">
        <v>433</v>
      </c>
      <c r="D81" s="2" t="s">
        <v>1151</v>
      </c>
      <c r="E81" s="2" t="s">
        <v>434</v>
      </c>
    </row>
    <row r="82" spans="1:5" ht="35.1" customHeight="1" thickBot="1" x14ac:dyDescent="0.35">
      <c r="B82" s="26" t="str">
        <f t="shared" si="3"/>
        <v>O</v>
      </c>
      <c r="C82" s="2" t="s">
        <v>435</v>
      </c>
      <c r="D82" s="2" t="s">
        <v>1152</v>
      </c>
      <c r="E82" s="2" t="s">
        <v>436</v>
      </c>
    </row>
    <row r="83" spans="1:5" ht="35.1" customHeight="1" thickBot="1" x14ac:dyDescent="0.35">
      <c r="B83" s="26" t="str">
        <f t="shared" si="3"/>
        <v>O</v>
      </c>
      <c r="C83" s="2" t="s">
        <v>437</v>
      </c>
      <c r="D83" s="2" t="s">
        <v>1153</v>
      </c>
      <c r="E83" s="2" t="s">
        <v>438</v>
      </c>
    </row>
    <row r="84" spans="1:5" ht="35.1" customHeight="1" thickBot="1" x14ac:dyDescent="0.35">
      <c r="B84" s="26" t="str">
        <f t="shared" si="3"/>
        <v>O</v>
      </c>
      <c r="C84" s="2" t="s">
        <v>439</v>
      </c>
      <c r="D84" s="2" t="s">
        <v>1154</v>
      </c>
      <c r="E84" s="2" t="s">
        <v>440</v>
      </c>
    </row>
    <row r="85" spans="1:5" ht="35.1" customHeight="1" thickBot="1" x14ac:dyDescent="0.35">
      <c r="B85" s="26" t="str">
        <f t="shared" si="3"/>
        <v>O</v>
      </c>
      <c r="C85" s="2" t="s">
        <v>441</v>
      </c>
      <c r="D85" s="2" t="s">
        <v>1155</v>
      </c>
      <c r="E85" s="2" t="s">
        <v>442</v>
      </c>
    </row>
    <row r="86" spans="1:5" ht="35.1" customHeight="1" thickBot="1" x14ac:dyDescent="0.35">
      <c r="B86" s="26" t="str">
        <f t="shared" si="3"/>
        <v>O</v>
      </c>
      <c r="C86" s="2" t="s">
        <v>443</v>
      </c>
      <c r="D86" s="2" t="s">
        <v>1156</v>
      </c>
      <c r="E86" s="2" t="s">
        <v>444</v>
      </c>
    </row>
    <row r="87" spans="1:5" ht="35.1" customHeight="1" thickBot="1" x14ac:dyDescent="0.35">
      <c r="B87" s="26" t="str">
        <f t="shared" si="3"/>
        <v>O</v>
      </c>
      <c r="C87" s="2" t="s">
        <v>445</v>
      </c>
      <c r="D87" s="2" t="s">
        <v>1157</v>
      </c>
      <c r="E87" s="2" t="s">
        <v>446</v>
      </c>
    </row>
    <row r="88" spans="1:5" ht="35.1" customHeight="1" thickBot="1" x14ac:dyDescent="0.35">
      <c r="B88" s="26" t="str">
        <f t="shared" si="3"/>
        <v>O</v>
      </c>
      <c r="C88" s="2" t="s">
        <v>447</v>
      </c>
      <c r="D88" s="2" t="s">
        <v>1158</v>
      </c>
      <c r="E88" s="2" t="s">
        <v>448</v>
      </c>
    </row>
    <row r="89" spans="1:5" ht="35.1" customHeight="1" thickBot="1" x14ac:dyDescent="0.35">
      <c r="B89" s="26" t="str">
        <f t="shared" si="3"/>
        <v>O</v>
      </c>
      <c r="C89" s="2" t="s">
        <v>449</v>
      </c>
      <c r="D89" s="2" t="s">
        <v>1159</v>
      </c>
      <c r="E89" s="2" t="s">
        <v>450</v>
      </c>
    </row>
    <row r="90" spans="1:5" ht="35.1" customHeight="1" thickBot="1" x14ac:dyDescent="0.35">
      <c r="B90" s="26" t="str">
        <f t="shared" si="3"/>
        <v>O</v>
      </c>
      <c r="C90" s="2" t="s">
        <v>451</v>
      </c>
      <c r="D90" s="2" t="s">
        <v>1160</v>
      </c>
      <c r="E90" s="2" t="s">
        <v>452</v>
      </c>
    </row>
    <row r="91" spans="1:5" ht="35.1" customHeight="1" thickBot="1" x14ac:dyDescent="0.35">
      <c r="A91" s="52"/>
      <c r="B91" s="26" t="str">
        <f t="shared" si="3"/>
        <v>X</v>
      </c>
      <c r="C91" s="2" t="s">
        <v>453</v>
      </c>
      <c r="D91" s="2"/>
      <c r="E91" s="2" t="s">
        <v>454</v>
      </c>
    </row>
    <row r="92" spans="1:5" ht="35.1" customHeight="1" thickBot="1" x14ac:dyDescent="0.35">
      <c r="B92" s="26" t="str">
        <f t="shared" si="3"/>
        <v>O</v>
      </c>
      <c r="C92" s="2" t="s">
        <v>455</v>
      </c>
      <c r="D92" s="2" t="s">
        <v>1161</v>
      </c>
      <c r="E92" s="2" t="s">
        <v>456</v>
      </c>
    </row>
    <row r="93" spans="1:5" ht="35.1" customHeight="1" thickBot="1" x14ac:dyDescent="0.35">
      <c r="B93" s="26" t="str">
        <f t="shared" si="3"/>
        <v>O</v>
      </c>
      <c r="C93" s="2" t="s">
        <v>457</v>
      </c>
      <c r="D93" s="2" t="s">
        <v>1162</v>
      </c>
      <c r="E93" s="2" t="s">
        <v>458</v>
      </c>
    </row>
    <row r="94" spans="1:5" ht="35.1" customHeight="1" thickBot="1" x14ac:dyDescent="0.35">
      <c r="A94" s="52"/>
      <c r="B94" s="26" t="str">
        <f t="shared" si="3"/>
        <v>X</v>
      </c>
      <c r="C94" s="2" t="s">
        <v>459</v>
      </c>
      <c r="D94" s="2"/>
      <c r="E94" s="2" t="s">
        <v>460</v>
      </c>
    </row>
    <row r="95" spans="1:5" ht="35.1" customHeight="1" thickBot="1" x14ac:dyDescent="0.35">
      <c r="A95" s="52"/>
      <c r="B95" s="26" t="str">
        <f t="shared" si="3"/>
        <v>X</v>
      </c>
      <c r="C95" s="2" t="s">
        <v>461</v>
      </c>
      <c r="D95" s="2"/>
      <c r="E95" s="2" t="s">
        <v>462</v>
      </c>
    </row>
    <row r="96" spans="1:5" ht="35.1" customHeight="1" thickBot="1" x14ac:dyDescent="0.35">
      <c r="B96" s="26" t="str">
        <f t="shared" si="3"/>
        <v>O</v>
      </c>
      <c r="C96" s="2" t="s">
        <v>463</v>
      </c>
      <c r="D96" s="2" t="s">
        <v>1163</v>
      </c>
      <c r="E96" s="2" t="s">
        <v>464</v>
      </c>
    </row>
    <row r="97" spans="1:5" ht="35.1" customHeight="1" thickBot="1" x14ac:dyDescent="0.35">
      <c r="B97" s="26" t="str">
        <f t="shared" si="3"/>
        <v>O</v>
      </c>
      <c r="C97" s="2" t="s">
        <v>465</v>
      </c>
      <c r="D97" s="2" t="s">
        <v>1164</v>
      </c>
      <c r="E97" s="2" t="s">
        <v>466</v>
      </c>
    </row>
    <row r="98" spans="1:5" ht="35.1" customHeight="1" thickBot="1" x14ac:dyDescent="0.35">
      <c r="A98" s="52"/>
      <c r="B98" s="26" t="str">
        <f t="shared" si="3"/>
        <v>X</v>
      </c>
      <c r="C98" s="2" t="s">
        <v>467</v>
      </c>
      <c r="D98" s="2"/>
      <c r="E98" s="2" t="s">
        <v>468</v>
      </c>
    </row>
    <row r="99" spans="1:5" ht="35.1" customHeight="1" thickBot="1" x14ac:dyDescent="0.35">
      <c r="A99" s="52"/>
      <c r="B99" s="26" t="str">
        <f t="shared" si="3"/>
        <v>X</v>
      </c>
      <c r="C99" s="2" t="s">
        <v>469</v>
      </c>
      <c r="D99" s="2"/>
      <c r="E99" s="2" t="s">
        <v>470</v>
      </c>
    </row>
    <row r="100" spans="1:5" ht="35.1" customHeight="1" thickBot="1" x14ac:dyDescent="0.35">
      <c r="B100" s="26" t="str">
        <f t="shared" si="3"/>
        <v>O</v>
      </c>
      <c r="C100" s="2" t="s">
        <v>471</v>
      </c>
      <c r="D100" s="2" t="s">
        <v>1165</v>
      </c>
      <c r="E100" s="2" t="s">
        <v>472</v>
      </c>
    </row>
    <row r="101" spans="1:5" ht="35.1" customHeight="1" thickBot="1" x14ac:dyDescent="0.35">
      <c r="B101" s="26" t="str">
        <f t="shared" si="3"/>
        <v>O</v>
      </c>
      <c r="C101" s="2" t="s">
        <v>1166</v>
      </c>
      <c r="D101" s="2" t="s">
        <v>1166</v>
      </c>
      <c r="E101" s="2" t="s">
        <v>473</v>
      </c>
    </row>
  </sheetData>
  <autoFilter ref="B1:B101" xr:uid="{140362E6-923E-47CD-A633-5C1A92025550}"/>
  <phoneticPr fontId="3" type="noConversion"/>
  <conditionalFormatting sqref="B1:B1048576">
    <cfRule type="containsText" dxfId="165" priority="1" operator="containsText" text="X">
      <formula>NOT(ISERROR(SEARCH("X",B1)))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B2FB-E3B0-4A48-93B1-991BFEB5FA9D}">
  <dimension ref="A1:E25"/>
  <sheetViews>
    <sheetView topLeftCell="A10" zoomScale="85" zoomScaleNormal="85" workbookViewId="0">
      <selection activeCell="E27" sqref="E27"/>
    </sheetView>
  </sheetViews>
  <sheetFormatPr defaultRowHeight="29.25" x14ac:dyDescent="0.3"/>
  <cols>
    <col min="1" max="1" width="9" style="1"/>
    <col min="2" max="2" width="9" style="1" customWidth="1"/>
    <col min="3" max="3" width="56.875" style="1" hidden="1" customWidth="1"/>
    <col min="4" max="4" width="56.875" style="1" customWidth="1"/>
    <col min="5" max="5" width="197.625" style="1" customWidth="1"/>
    <col min="6" max="16384" width="9" style="1"/>
  </cols>
  <sheetData>
    <row r="1" spans="1:5" ht="30.75" thickBot="1" x14ac:dyDescent="0.35">
      <c r="B1" s="19" t="s">
        <v>1167</v>
      </c>
    </row>
    <row r="2" spans="1:5" ht="35.1" customHeight="1" thickBot="1" x14ac:dyDescent="0.35">
      <c r="B2" s="26" t="str">
        <f t="shared" ref="B2:B25" si="0">IF(EXACT(SUBSTITUTE(C2," ",""),SUBSTITUTE(D2," ","")),"O","X")</f>
        <v>O</v>
      </c>
      <c r="C2" s="11" t="s">
        <v>823</v>
      </c>
      <c r="D2" s="11" t="s">
        <v>1740</v>
      </c>
      <c r="E2" s="11" t="s">
        <v>1725</v>
      </c>
    </row>
    <row r="3" spans="1:5" ht="61.5" customHeight="1" thickBot="1" x14ac:dyDescent="0.35">
      <c r="A3" s="52"/>
      <c r="B3" s="26" t="str">
        <f t="shared" si="0"/>
        <v>X</v>
      </c>
      <c r="C3" s="40" t="s">
        <v>824</v>
      </c>
      <c r="D3" s="40"/>
      <c r="E3" s="11" t="s">
        <v>1726</v>
      </c>
    </row>
    <row r="4" spans="1:5" ht="35.1" customHeight="1" thickBot="1" x14ac:dyDescent="0.35">
      <c r="B4" s="26" t="str">
        <f t="shared" si="0"/>
        <v>O</v>
      </c>
      <c r="C4" s="11" t="s">
        <v>825</v>
      </c>
      <c r="D4" s="11" t="s">
        <v>1741</v>
      </c>
      <c r="E4" s="11" t="s">
        <v>1727</v>
      </c>
    </row>
    <row r="5" spans="1:5" ht="35.1" customHeight="1" thickBot="1" x14ac:dyDescent="0.35">
      <c r="B5" s="26" t="str">
        <f>IF(OR(ISNUMBER(SEARCH(LOWER("디지털저작권관리"),SUBSTITUTE(LOWER(D5)," ",""))),ISNUMBER(SEARCH(LOWER("DRM"),SUBSTITUTE(LOWER(D5)," ","")))),"O","X")</f>
        <v>O</v>
      </c>
      <c r="C5" s="11" t="s">
        <v>826</v>
      </c>
      <c r="D5" s="11" t="s">
        <v>1742</v>
      </c>
      <c r="E5" s="39" t="s">
        <v>1728</v>
      </c>
    </row>
    <row r="6" spans="1:5" ht="35.1" customHeight="1" thickBot="1" x14ac:dyDescent="0.35">
      <c r="B6" s="26" t="str">
        <f t="shared" si="0"/>
        <v>O</v>
      </c>
      <c r="C6" s="2" t="s">
        <v>827</v>
      </c>
      <c r="D6" s="2" t="s">
        <v>827</v>
      </c>
      <c r="E6" s="11" t="s">
        <v>834</v>
      </c>
    </row>
    <row r="7" spans="1:5" ht="35.1" customHeight="1" thickBot="1" x14ac:dyDescent="0.35">
      <c r="B7" s="26" t="str">
        <f t="shared" si="0"/>
        <v>O</v>
      </c>
      <c r="C7" s="2" t="s">
        <v>828</v>
      </c>
      <c r="D7" s="2" t="s">
        <v>828</v>
      </c>
      <c r="E7" s="11" t="s">
        <v>835</v>
      </c>
    </row>
    <row r="8" spans="1:5" ht="35.1" customHeight="1" thickBot="1" x14ac:dyDescent="0.35">
      <c r="B8" s="26" t="str">
        <f t="shared" si="0"/>
        <v>O</v>
      </c>
      <c r="C8" s="2" t="s">
        <v>829</v>
      </c>
      <c r="D8" s="2" t="s">
        <v>829</v>
      </c>
      <c r="E8" s="11" t="s">
        <v>836</v>
      </c>
    </row>
    <row r="9" spans="1:5" ht="35.1" customHeight="1" thickBot="1" x14ac:dyDescent="0.35">
      <c r="B9" s="26" t="str">
        <f t="shared" si="0"/>
        <v>O</v>
      </c>
      <c r="C9" s="2" t="s">
        <v>830</v>
      </c>
      <c r="D9" s="2" t="s">
        <v>830</v>
      </c>
      <c r="E9" s="39" t="s">
        <v>837</v>
      </c>
    </row>
    <row r="10" spans="1:5" ht="35.1" customHeight="1" thickBot="1" x14ac:dyDescent="0.35">
      <c r="B10" s="26" t="str">
        <f t="shared" si="0"/>
        <v>O</v>
      </c>
      <c r="C10" s="2" t="s">
        <v>831</v>
      </c>
      <c r="D10" s="2" t="s">
        <v>831</v>
      </c>
      <c r="E10" s="11" t="s">
        <v>838</v>
      </c>
    </row>
    <row r="11" spans="1:5" ht="35.1" customHeight="1" thickBot="1" x14ac:dyDescent="0.35">
      <c r="B11" s="26" t="str">
        <f t="shared" si="0"/>
        <v>O</v>
      </c>
      <c r="C11" s="2" t="s">
        <v>832</v>
      </c>
      <c r="D11" s="2" t="s">
        <v>832</v>
      </c>
      <c r="E11" s="39" t="s">
        <v>839</v>
      </c>
    </row>
    <row r="12" spans="1:5" ht="35.1" customHeight="1" thickBot="1" x14ac:dyDescent="0.35">
      <c r="B12" s="26" t="str">
        <f t="shared" si="0"/>
        <v>O</v>
      </c>
      <c r="C12" s="2" t="s">
        <v>833</v>
      </c>
      <c r="D12" s="2" t="s">
        <v>833</v>
      </c>
      <c r="E12" s="39" t="s">
        <v>840</v>
      </c>
    </row>
    <row r="13" spans="1:5" ht="35.1" customHeight="1" thickBot="1" x14ac:dyDescent="0.35">
      <c r="B13" s="26" t="str">
        <f>IF(OR(ISNUMBER(SEARCH(LOWER("형상관리"),SUBSTITUTE(LOWER(D13)," ",""))),ISNUMBER(SEARCH(LOWER("SCM"),SUBSTITUTE(LOWER(D13)," ","")))),"O","X")</f>
        <v>O</v>
      </c>
      <c r="C13" s="11" t="s">
        <v>841</v>
      </c>
      <c r="D13" s="11" t="s">
        <v>1743</v>
      </c>
      <c r="E13" s="11" t="s">
        <v>842</v>
      </c>
    </row>
    <row r="14" spans="1:5" ht="35.1" customHeight="1" thickBot="1" x14ac:dyDescent="0.35">
      <c r="A14" s="52"/>
      <c r="B14" s="26" t="str">
        <f>IF(EXACT(SUBSTITUTE(C14," ",""),SUBSTITUTE(D14," ","")),"O","X")</f>
        <v>X</v>
      </c>
      <c r="C14" s="45" t="s">
        <v>1730</v>
      </c>
      <c r="D14" s="45"/>
      <c r="E14" s="11" t="s">
        <v>1735</v>
      </c>
    </row>
    <row r="15" spans="1:5" ht="35.1" customHeight="1" thickBot="1" x14ac:dyDescent="0.35">
      <c r="A15" s="52"/>
      <c r="B15" s="26" t="str">
        <f>IF(EXACT(SUBSTITUTE(C15," ",""),SUBSTITUTE(D15," ","")),"O","X")</f>
        <v>X</v>
      </c>
      <c r="C15" s="45" t="s">
        <v>1731</v>
      </c>
      <c r="D15" s="45"/>
      <c r="E15" s="11" t="s">
        <v>1736</v>
      </c>
    </row>
    <row r="16" spans="1:5" ht="35.1" customHeight="1" thickBot="1" x14ac:dyDescent="0.35">
      <c r="B16" s="26" t="str">
        <f>IF(EXACT(SUBSTITUTE(C16," ",""),SUBSTITUTE(D16," ","")),"O","X")</f>
        <v>O</v>
      </c>
      <c r="C16" s="45" t="s">
        <v>1732</v>
      </c>
      <c r="D16" s="45" t="s">
        <v>1732</v>
      </c>
      <c r="E16" s="39" t="s">
        <v>1737</v>
      </c>
    </row>
    <row r="17" spans="1:5" ht="35.1" customHeight="1" thickBot="1" x14ac:dyDescent="0.35">
      <c r="B17" s="26" t="str">
        <f>IF(EXACT(SUBSTITUTE(C17," ",""),SUBSTITUTE(D17," ","")),"O","X")</f>
        <v>O</v>
      </c>
      <c r="C17" s="12" t="s">
        <v>1733</v>
      </c>
      <c r="D17" s="12" t="s">
        <v>1733</v>
      </c>
      <c r="E17" s="11" t="s">
        <v>1738</v>
      </c>
    </row>
    <row r="18" spans="1:5" ht="35.1" customHeight="1" thickBot="1" x14ac:dyDescent="0.35">
      <c r="B18" s="26" t="str">
        <f>IF(EXACT(SUBSTITUTE(C18," ",""),SUBSTITUTE(D18," ","")),"O","X")</f>
        <v>O</v>
      </c>
      <c r="C18" s="12" t="s">
        <v>1734</v>
      </c>
      <c r="D18" s="12" t="s">
        <v>1734</v>
      </c>
      <c r="E18" s="39" t="s">
        <v>1739</v>
      </c>
    </row>
    <row r="19" spans="1:5" ht="35.1" customHeight="1" thickBot="1" x14ac:dyDescent="0.35">
      <c r="B19" s="26" t="str">
        <f>IF(OR(ISNUMBER(SEARCH(LOWER("저장소"),SUBSTITUTE(LOWER(D19)," ",""))),ISNUMBER(SEARCH(LOWER("Repository"),SUBSTITUTE(LOWER(D19)," ","")))),"O","X")</f>
        <v>O</v>
      </c>
      <c r="C19" s="11" t="s">
        <v>843</v>
      </c>
      <c r="D19" s="11" t="s">
        <v>1744</v>
      </c>
      <c r="E19" s="11" t="s">
        <v>853</v>
      </c>
    </row>
    <row r="20" spans="1:5" ht="35.1" customHeight="1" thickBot="1" x14ac:dyDescent="0.35">
      <c r="B20" s="26" t="str">
        <f>IF(OR(ISNUMBER(SEARCH(LOWER("가져오기"),SUBSTITUTE(LOWER(D20)," ",""))),ISNUMBER(SEARCH(LOWER("import"),SUBSTITUTE(LOWER(D20)," ","")))),"O","X")</f>
        <v>O</v>
      </c>
      <c r="C20" s="11" t="s">
        <v>844</v>
      </c>
      <c r="D20" s="11" t="s">
        <v>1745</v>
      </c>
      <c r="E20" s="39" t="s">
        <v>852</v>
      </c>
    </row>
    <row r="21" spans="1:5" ht="35.1" customHeight="1" thickBot="1" x14ac:dyDescent="0.35">
      <c r="A21" s="52"/>
      <c r="B21" s="26" t="str">
        <f>IF(OR(ISNUMBER(SEARCH(LOWER("체크아웃"),SUBSTITUTE(LOWER(D21)," ",""))),ISNUMBER(SEARCH(LOWER("check-out"),SUBSTITUTE(LOWER(D21)," ","")))),"O","X")</f>
        <v>X</v>
      </c>
      <c r="C21" s="11" t="s">
        <v>845</v>
      </c>
      <c r="D21" s="11"/>
      <c r="E21" s="11" t="s">
        <v>851</v>
      </c>
    </row>
    <row r="22" spans="1:5" ht="35.1" customHeight="1" thickBot="1" x14ac:dyDescent="0.35">
      <c r="A22" s="52"/>
      <c r="B22" s="26" t="str">
        <f>IF(OR(ISNUMBER(SEARCH(LOWER("체크인"),SUBSTITUTE(LOWER(D22)," ",""))),ISNUMBER(SEARCH(LOWER("check-in"),SUBSTITUTE(LOWER(D22)," ","")))),"O","X")</f>
        <v>X</v>
      </c>
      <c r="C22" s="11" t="s">
        <v>846</v>
      </c>
      <c r="D22" s="11"/>
      <c r="E22" s="39" t="s">
        <v>850</v>
      </c>
    </row>
    <row r="23" spans="1:5" ht="35.1" customHeight="1" thickBot="1" x14ac:dyDescent="0.35">
      <c r="B23" s="26" t="str">
        <f>IF(OR(ISNUMBER(SEARCH(LOWER("커밋"),SUBSTITUTE(LOWER(D23)," ",""))),ISNUMBER(SEARCH(LOWER("commit"),SUBSTITUTE(LOWER(D23)," ","")))),"O","X")</f>
        <v>O</v>
      </c>
      <c r="C23" s="11" t="s">
        <v>847</v>
      </c>
      <c r="D23" s="11" t="s">
        <v>1746</v>
      </c>
      <c r="E23" s="11" t="s">
        <v>849</v>
      </c>
    </row>
    <row r="24" spans="1:5" ht="35.1" customHeight="1" thickBot="1" x14ac:dyDescent="0.35">
      <c r="A24" s="52"/>
      <c r="B24" s="26" t="str">
        <f>IF(OR(ISNUMBER(SEARCH(LOWER("동기화"),SUBSTITUTE(LOWER(D24)," ",""))),ISNUMBER(SEARCH(LOWER("update"),SUBSTITUTE(LOWER(D24)," ","")))),"O","X")</f>
        <v>X</v>
      </c>
      <c r="C24" s="11" t="s">
        <v>848</v>
      </c>
      <c r="D24" s="11"/>
      <c r="E24" s="39" t="s">
        <v>1729</v>
      </c>
    </row>
    <row r="25" spans="1:5" ht="30.75" thickBot="1" x14ac:dyDescent="0.35">
      <c r="A25" s="52"/>
      <c r="B25" s="26" t="str">
        <f t="shared" si="0"/>
        <v>X</v>
      </c>
      <c r="C25" s="2" t="s">
        <v>855</v>
      </c>
      <c r="D25" s="2"/>
      <c r="E25" s="11" t="s">
        <v>854</v>
      </c>
    </row>
  </sheetData>
  <autoFilter ref="B1:B25" xr:uid="{0A23B2FB-E3B0-4A48-93B1-991BFEB5FA9D}"/>
  <phoneticPr fontId="3" type="noConversion"/>
  <conditionalFormatting sqref="B2:B4 B25:B1048576 B6:B12 B14:B18">
    <cfRule type="containsText" dxfId="88" priority="9" operator="containsText" text="X">
      <formula>NOT(ISERROR(SEARCH("X",B2)))</formula>
    </cfRule>
  </conditionalFormatting>
  <conditionalFormatting sqref="B1">
    <cfRule type="containsText" dxfId="87" priority="4" operator="containsText" text="X">
      <formula>NOT(ISERROR(SEARCH("X",B1)))</formula>
    </cfRule>
  </conditionalFormatting>
  <conditionalFormatting sqref="B19:B24">
    <cfRule type="containsText" dxfId="86" priority="3" operator="containsText" text="X">
      <formula>NOT(ISERROR(SEARCH("X",B19)))</formula>
    </cfRule>
  </conditionalFormatting>
  <conditionalFormatting sqref="B5">
    <cfRule type="containsText" dxfId="85" priority="2" operator="containsText" text="X">
      <formula>NOT(ISERROR(SEARCH("X",B5)))</formula>
    </cfRule>
  </conditionalFormatting>
  <conditionalFormatting sqref="B13">
    <cfRule type="containsText" dxfId="84" priority="1" operator="containsText" text="X">
      <formula>NOT(ISERROR(SEARCH("X",B13)))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52EE-1974-4926-A40A-0A73EF9429AE}">
  <sheetPr filterMode="1"/>
  <dimension ref="A1:F647"/>
  <sheetViews>
    <sheetView tabSelected="1" zoomScale="85" zoomScaleNormal="85" workbookViewId="0">
      <selection activeCell="D37" sqref="D37"/>
    </sheetView>
  </sheetViews>
  <sheetFormatPr defaultRowHeight="29.25" x14ac:dyDescent="0.3"/>
  <cols>
    <col min="1" max="1" width="9" style="1"/>
    <col min="2" max="2" width="9" style="60" customWidth="1"/>
    <col min="3" max="3" width="9" style="1" customWidth="1"/>
    <col min="4" max="4" width="59.625" style="1" customWidth="1"/>
    <col min="5" max="5" width="52.875" style="1" customWidth="1"/>
    <col min="6" max="6" width="197.625" style="1" customWidth="1"/>
    <col min="7" max="16384" width="9" style="1"/>
  </cols>
  <sheetData>
    <row r="1" spans="2:6" ht="33" thickBot="1" x14ac:dyDescent="0.35">
      <c r="C1" s="48" t="s">
        <v>1167</v>
      </c>
    </row>
    <row r="2" spans="2:6" ht="35.1" hidden="1" customHeight="1" thickBot="1" x14ac:dyDescent="0.35">
      <c r="B2" s="61"/>
      <c r="C2" s="26" t="str">
        <f>IF(EXACT(SUBSTITUTE(D2," ",""),SUBSTITUTE(E2," ","")),"O","X")</f>
        <v>O</v>
      </c>
      <c r="D2" s="32" t="s">
        <v>387</v>
      </c>
      <c r="E2" s="32" t="s">
        <v>1129</v>
      </c>
      <c r="F2" s="32" t="s">
        <v>388</v>
      </c>
    </row>
    <row r="3" spans="2:6" ht="35.1" hidden="1" customHeight="1" thickBot="1" x14ac:dyDescent="0.35">
      <c r="B3" s="65"/>
      <c r="C3" s="26" t="str">
        <f>IF(EXACT(SUBSTITUTE(LOWER(D3)," ",""),SUBSTITUTE(LOWER(E3)," ","")),"O","X")</f>
        <v>O</v>
      </c>
      <c r="D3" s="12" t="s">
        <v>856</v>
      </c>
      <c r="E3" s="12" t="s">
        <v>1845</v>
      </c>
      <c r="F3" s="39" t="s">
        <v>857</v>
      </c>
    </row>
    <row r="4" spans="2:6" ht="35.1" hidden="1" customHeight="1" thickBot="1" x14ac:dyDescent="0.35">
      <c r="B4" s="75"/>
      <c r="C4" s="26" t="str">
        <f>IF(EXACT(SUBSTITUTE(LOWER(D4)," ",""),SUBSTITUTE(LOWER(E4)," ","")),"O","X")</f>
        <v>O</v>
      </c>
      <c r="D4" s="12" t="s">
        <v>972</v>
      </c>
      <c r="E4" s="12" t="s">
        <v>1595</v>
      </c>
      <c r="F4" s="39" t="s">
        <v>1507</v>
      </c>
    </row>
    <row r="5" spans="2:6" ht="35.1" hidden="1" customHeight="1" thickBot="1" x14ac:dyDescent="0.35">
      <c r="B5" s="65"/>
      <c r="C5" s="26" t="str">
        <f>IF(EXACT(SUBSTITUTE(LOWER(D5)," ",""),SUBSTITUTE(LOWER(E5)," ","")),"O","X")</f>
        <v>O</v>
      </c>
      <c r="D5" s="12" t="s">
        <v>1600</v>
      </c>
      <c r="E5" s="12" t="s">
        <v>1600</v>
      </c>
      <c r="F5" s="39" t="s">
        <v>1512</v>
      </c>
    </row>
    <row r="6" spans="2:6" ht="35.1" hidden="1" customHeight="1" thickBot="1" x14ac:dyDescent="0.35">
      <c r="B6" s="65"/>
      <c r="C6" s="26" t="str">
        <f>IF(EXACT(SUBSTITUTE(LOWER(D6)," ",""),SUBSTITUTE(LOWER(E6)," ","")),"O","X")</f>
        <v>O</v>
      </c>
      <c r="D6" s="12" t="s">
        <v>1599</v>
      </c>
      <c r="E6" s="12" t="s">
        <v>1599</v>
      </c>
      <c r="F6" s="11" t="s">
        <v>1511</v>
      </c>
    </row>
    <row r="7" spans="2:6" ht="35.1" hidden="1" customHeight="1" thickBot="1" x14ac:dyDescent="0.35">
      <c r="B7" s="61"/>
      <c r="C7" s="26" t="str">
        <f>IF(EXACT(SUBSTITUTE(D7," ",""),SUBSTITUTE(E7," ","")),"O","X")</f>
        <v>O</v>
      </c>
      <c r="D7" s="32" t="s">
        <v>295</v>
      </c>
      <c r="E7" s="32" t="s">
        <v>1089</v>
      </c>
      <c r="F7" s="32" t="s">
        <v>296</v>
      </c>
    </row>
    <row r="8" spans="2:6" ht="35.1" hidden="1" customHeight="1" thickBot="1" x14ac:dyDescent="0.35">
      <c r="B8" s="26"/>
      <c r="C8" s="26" t="str">
        <f>IF(OR(ISNUMBER(SEARCH("연관",SUBSTITUTE(E8," ",""))),ISNUMBER(SEARCH("Association",SUBSTITUTE(E8," ","")))),"O","X")</f>
        <v>O</v>
      </c>
      <c r="D8" s="11" t="s">
        <v>620</v>
      </c>
      <c r="E8" s="11" t="s">
        <v>1800</v>
      </c>
      <c r="F8" s="11" t="s">
        <v>631</v>
      </c>
    </row>
    <row r="9" spans="2:6" ht="35.1" hidden="1" customHeight="1" thickBot="1" x14ac:dyDescent="0.35">
      <c r="B9" s="61"/>
      <c r="C9" s="26" t="str">
        <f>IF(EXACT(SUBSTITUTE(D9," ",""),SUBSTITUTE(E9," ","")),"O","X")</f>
        <v>O</v>
      </c>
      <c r="D9" s="28" t="s">
        <v>166</v>
      </c>
      <c r="E9" s="66" t="s">
        <v>1787</v>
      </c>
      <c r="F9" s="66" t="s">
        <v>167</v>
      </c>
    </row>
    <row r="10" spans="2:6" ht="35.1" hidden="1" customHeight="1" thickBot="1" x14ac:dyDescent="0.35">
      <c r="B10" s="61"/>
      <c r="C10" s="26" t="str">
        <f>IF(EXACT(SUBSTITUTE(D10," ",""),SUBSTITUTE(E10," ","")),"O","X")</f>
        <v>O</v>
      </c>
      <c r="D10" s="32" t="s">
        <v>158</v>
      </c>
      <c r="E10" s="32" t="s">
        <v>1223</v>
      </c>
      <c r="F10" s="32" t="s">
        <v>159</v>
      </c>
    </row>
    <row r="11" spans="2:6" ht="35.1" customHeight="1" thickBot="1" x14ac:dyDescent="0.35">
      <c r="B11" s="89"/>
      <c r="C11" s="26" t="str">
        <f>IF(ISNUMBER(SEARCH(LOWER("SYNFLOODING"),SUBSTITUTE(LOWER(E11)," ",""))),"O","X")</f>
        <v>X</v>
      </c>
      <c r="D11" s="32" t="s">
        <v>1278</v>
      </c>
      <c r="E11" s="32" t="s">
        <v>1846</v>
      </c>
      <c r="F11" s="32" t="s">
        <v>511</v>
      </c>
    </row>
    <row r="12" spans="2:6" ht="35.1" hidden="1" customHeight="1" thickBot="1" x14ac:dyDescent="0.35">
      <c r="B12" s="65"/>
      <c r="C12" s="26" t="str">
        <f>IF(EXACT(SUBSTITUTE(LOWER(D12)," ",""),SUBSTITUTE(LOWER(E12)," ","")),"O","X")</f>
        <v>O</v>
      </c>
      <c r="D12" s="12" t="s">
        <v>1601</v>
      </c>
      <c r="E12" s="12" t="s">
        <v>1596</v>
      </c>
      <c r="F12" s="11" t="s">
        <v>1508</v>
      </c>
    </row>
    <row r="13" spans="2:6" ht="35.1" hidden="1" customHeight="1" thickBot="1" x14ac:dyDescent="0.35">
      <c r="B13" s="65"/>
      <c r="C13" s="26" t="str">
        <f>IF(EXACT(SUBSTITUTE(LOWER(D13)," ",""),SUBSTITUTE(LOWER(E13)," ","")),"O","X")</f>
        <v>O</v>
      </c>
      <c r="D13" s="12" t="s">
        <v>1597</v>
      </c>
      <c r="E13" s="12" t="s">
        <v>1597</v>
      </c>
      <c r="F13" s="39" t="s">
        <v>1509</v>
      </c>
    </row>
    <row r="14" spans="2:6" ht="35.1" hidden="1" customHeight="1" thickBot="1" x14ac:dyDescent="0.35">
      <c r="B14" s="65"/>
      <c r="C14" s="26" t="str">
        <f>IF(EXACT(SUBSTITUTE(LOWER(D14)," ",""),SUBSTITUTE(LOWER(E14)," ","")),"O","X")</f>
        <v>O</v>
      </c>
      <c r="D14" s="12" t="s">
        <v>1598</v>
      </c>
      <c r="E14" s="12" t="s">
        <v>1598</v>
      </c>
      <c r="F14" s="11" t="s">
        <v>1510</v>
      </c>
    </row>
    <row r="15" spans="2:6" ht="35.1" hidden="1" customHeight="1" thickBot="1" x14ac:dyDescent="0.35">
      <c r="B15" s="68"/>
      <c r="C15" s="26" t="str">
        <f>IF(AND(ISNUMBER(SEARCH("리소스",SUBSTITUTE(E15," ",""))),ISNUMBER(SEARCH("엔드투엔드",SUBSTITUTE(E15," ","")))),"O","X")</f>
        <v>O</v>
      </c>
      <c r="D15" s="27" t="s">
        <v>798</v>
      </c>
      <c r="E15" s="27" t="s">
        <v>798</v>
      </c>
      <c r="F15" s="27" t="s">
        <v>797</v>
      </c>
    </row>
    <row r="16" spans="2:6" ht="35.1" hidden="1" customHeight="1" thickBot="1" x14ac:dyDescent="0.35">
      <c r="B16" s="65"/>
      <c r="C16" s="26" t="str">
        <f>IF(EXACT(SUBSTITUTE(LOWER(D16)," ",""),SUBSTITUTE(LOWER(E16)," ","")),"O","X")</f>
        <v>O</v>
      </c>
      <c r="D16" s="12" t="s">
        <v>954</v>
      </c>
      <c r="E16" s="12" t="s">
        <v>954</v>
      </c>
      <c r="F16" s="11" t="s">
        <v>1366</v>
      </c>
    </row>
    <row r="17" spans="2:6" ht="35.1" hidden="1" customHeight="1" thickBot="1" x14ac:dyDescent="0.35">
      <c r="B17" s="65"/>
      <c r="C17" s="26" t="str">
        <f>IF(EXACT(SUBSTITUTE(LOWER(D17)," ",""),SUBSTITUTE(LOWER(E17)," ","")),"O","X")</f>
        <v>O</v>
      </c>
      <c r="D17" s="12" t="s">
        <v>859</v>
      </c>
      <c r="E17" s="12" t="s">
        <v>1418</v>
      </c>
      <c r="F17" s="11" t="s">
        <v>1338</v>
      </c>
    </row>
    <row r="18" spans="2:6" ht="35.1" customHeight="1" thickBot="1" x14ac:dyDescent="0.35">
      <c r="B18" s="89"/>
      <c r="C18" s="26" t="str">
        <f>IF(EXACT(SUBSTITUTE(D18," ",""),SUBSTITUTE(E18," ","")),"O","X")</f>
        <v>X</v>
      </c>
      <c r="D18" s="5" t="s">
        <v>42</v>
      </c>
      <c r="E18" s="27" t="s">
        <v>117</v>
      </c>
      <c r="F18" s="27" t="s">
        <v>70</v>
      </c>
    </row>
    <row r="19" spans="2:6" ht="35.1" hidden="1" customHeight="1" thickBot="1" x14ac:dyDescent="0.35">
      <c r="B19" s="75"/>
      <c r="C19" s="26" t="str">
        <f>IF(EXACT(SUBSTITUTE(D19," ",""),SUBSTITUTE(E19," ","")),"O","X")</f>
        <v>O</v>
      </c>
      <c r="D19" s="5" t="s">
        <v>670</v>
      </c>
      <c r="E19" s="5" t="s">
        <v>670</v>
      </c>
      <c r="F19" s="11" t="s">
        <v>669</v>
      </c>
    </row>
    <row r="20" spans="2:6" ht="35.1" customHeight="1" thickBot="1" x14ac:dyDescent="0.35">
      <c r="B20" s="90"/>
      <c r="C20" s="26" t="str">
        <f>IF(AND(ISNUMBER(SEARCH("기본형",SUBSTITUTE(E20," ",""))),ISNUMBER(SEARCH("중간형",SUBSTITUTE(E20," ",""))),ISNUMBER(SEARCH("발전형",SUBSTITUTE(E20," ","")))),"O","X")</f>
        <v>X</v>
      </c>
      <c r="D20" s="5" t="s">
        <v>652</v>
      </c>
      <c r="E20" s="5" t="s">
        <v>690</v>
      </c>
      <c r="F20" s="11" t="s">
        <v>651</v>
      </c>
    </row>
    <row r="21" spans="2:6" ht="35.1" hidden="1" customHeight="1" thickBot="1" x14ac:dyDescent="0.35">
      <c r="B21" s="64"/>
      <c r="C21" s="26" t="str">
        <f>IF(EXACT(SUBSTITUTE(D21," ",""),SUBSTITUTE(E21," ","")),"O","X")</f>
        <v>O</v>
      </c>
      <c r="D21" s="5" t="s">
        <v>690</v>
      </c>
      <c r="E21" s="5" t="s">
        <v>690</v>
      </c>
      <c r="F21" s="11" t="s">
        <v>644</v>
      </c>
    </row>
    <row r="22" spans="2:6" ht="35.1" hidden="1" customHeight="1" thickBot="1" x14ac:dyDescent="0.35">
      <c r="B22" s="76"/>
      <c r="C22" s="26" t="str">
        <f>IF(EXACT(SUBSTITUTE(D22," ",""),SUBSTITUTE(E22," ","")),"O","X")</f>
        <v>O</v>
      </c>
      <c r="D22" s="32" t="s">
        <v>213</v>
      </c>
      <c r="E22" s="32" t="s">
        <v>1198</v>
      </c>
      <c r="F22" s="32" t="s">
        <v>214</v>
      </c>
    </row>
    <row r="23" spans="2:6" ht="35.1" hidden="1" customHeight="1" thickBot="1" x14ac:dyDescent="0.35">
      <c r="B23" s="65"/>
      <c r="C23" s="26" t="str">
        <f>IF(EXACT(SUBSTITUTE(LOWER(D23)," ",""),SUBSTITUTE(LOWER(E23)," ","")),"O","X")</f>
        <v>O</v>
      </c>
      <c r="D23" s="12" t="s">
        <v>955</v>
      </c>
      <c r="E23" s="12" t="s">
        <v>955</v>
      </c>
      <c r="F23" s="11" t="s">
        <v>1367</v>
      </c>
    </row>
    <row r="24" spans="2:6" ht="35.1" hidden="1" customHeight="1" thickBot="1" x14ac:dyDescent="0.35">
      <c r="B24" s="65"/>
      <c r="C24" s="26" t="str">
        <f>IF(EXACT(SUBSTITUTE(LOWER(D24)," ",""),SUBSTITUTE(LOWER(E24)," ","")),"O","X")</f>
        <v>O</v>
      </c>
      <c r="D24" s="12">
        <v>802.3</v>
      </c>
      <c r="E24" s="12">
        <v>802.3</v>
      </c>
      <c r="F24" s="11" t="s">
        <v>1501</v>
      </c>
    </row>
    <row r="25" spans="2:6" ht="35.1" hidden="1" customHeight="1" thickBot="1" x14ac:dyDescent="0.35">
      <c r="B25" s="61"/>
      <c r="C25" s="26" t="str">
        <f>IF(EXACT(SUBSTITUTE(D25," ",""),SUBSTITUTE(E25," ","")),"O","X")</f>
        <v>O</v>
      </c>
      <c r="D25" s="32" t="s">
        <v>124</v>
      </c>
      <c r="E25" s="32" t="s">
        <v>1218</v>
      </c>
      <c r="F25" s="32" t="s">
        <v>125</v>
      </c>
    </row>
    <row r="26" spans="2:6" ht="35.1" hidden="1" customHeight="1" thickBot="1" x14ac:dyDescent="0.35">
      <c r="B26" s="68"/>
      <c r="C26" s="26" t="str">
        <f>IF(AND(ISNUMBER(SEARCH("point-to-point",SUBSTITUTE(LOWER(E26)," ",""))),ISNUMBER(SEARCH("hub&amp;spoke",SUBSTITUTE(LOWER(E26)," ",""))),ISNUMBER(SEARCH("messagebus",SUBSTITUTE(LOWER(E26)," ",""))),ISNUMBER(SEARCH("hybrid",SUBSTITUTE(LOWER(E26)," ","")))),"O","X")</f>
        <v>O</v>
      </c>
      <c r="D26" s="58" t="s">
        <v>1706</v>
      </c>
      <c r="E26" s="58" t="s">
        <v>1847</v>
      </c>
      <c r="F26" s="11" t="s">
        <v>778</v>
      </c>
    </row>
    <row r="27" spans="2:6" ht="35.1" customHeight="1" thickBot="1" x14ac:dyDescent="0.35">
      <c r="B27" s="89"/>
      <c r="C27" s="26" t="str">
        <f>IF(EXACT(SUBSTITUTE(D27," ",""),SUBSTITUTE(E27," ","")),"O","X")</f>
        <v>X</v>
      </c>
      <c r="D27" s="32" t="s">
        <v>313</v>
      </c>
      <c r="E27" s="32" t="s">
        <v>1848</v>
      </c>
      <c r="F27" s="32" t="s">
        <v>314</v>
      </c>
    </row>
    <row r="28" spans="2:6" ht="35.1" customHeight="1" thickBot="1" x14ac:dyDescent="0.35">
      <c r="B28" s="89"/>
      <c r="C28" s="26" t="str">
        <f>IF(AND(ISNUMBER(SEARCH("개체",SUBSTITUTE(E28," ",""))),ISNUMBER(SEARCH("속성",SUBSTITUTE(E28," ",""))),ISNUMBER(SEARCH("관계",SUBSTITUTE(E28," ","")))),"O","X")</f>
        <v>X</v>
      </c>
      <c r="D28" s="32" t="s">
        <v>156</v>
      </c>
      <c r="E28" s="32" t="s">
        <v>1849</v>
      </c>
      <c r="F28" s="32" t="s">
        <v>157</v>
      </c>
    </row>
    <row r="29" spans="2:6" ht="35.1" hidden="1" customHeight="1" thickBot="1" x14ac:dyDescent="0.35">
      <c r="B29" s="63"/>
      <c r="C29" s="26" t="str">
        <f>IF(EXACT(SUBSTITUTE(D29," ",""),SUBSTITUTE(E29," ","")),"O","X")</f>
        <v>O</v>
      </c>
      <c r="D29" s="27" t="s">
        <v>793</v>
      </c>
      <c r="E29" s="27" t="s">
        <v>1716</v>
      </c>
      <c r="F29" s="11" t="s">
        <v>1689</v>
      </c>
    </row>
    <row r="30" spans="2:6" ht="35.1" hidden="1" customHeight="1" thickBot="1" x14ac:dyDescent="0.35">
      <c r="B30" s="62"/>
      <c r="C30" s="26" t="str">
        <f>IF(EXACT(SUBSTITUTE(D30," ",""),SUBSTITUTE(E30," ","")),"O","X")</f>
        <v>O</v>
      </c>
      <c r="D30" s="32" t="s">
        <v>231</v>
      </c>
      <c r="E30" s="32" t="s">
        <v>1755</v>
      </c>
      <c r="F30" s="32" t="s">
        <v>232</v>
      </c>
    </row>
    <row r="31" spans="2:6" ht="35.1" customHeight="1" thickBot="1" x14ac:dyDescent="0.35">
      <c r="B31" s="89"/>
      <c r="C31" s="26" t="str">
        <f>IF(EXACT(SUBSTITUTE(D31," ",""),SUBSTITUTE(E31," ","")),"O","X")</f>
        <v>X</v>
      </c>
      <c r="D31" s="27" t="s">
        <v>762</v>
      </c>
      <c r="E31" s="27" t="s">
        <v>942</v>
      </c>
      <c r="F31" s="11" t="s">
        <v>1678</v>
      </c>
    </row>
    <row r="32" spans="2:6" ht="35.1" hidden="1" customHeight="1" thickBot="1" x14ac:dyDescent="0.35">
      <c r="B32" s="65"/>
      <c r="C32" s="26" t="str">
        <f>IF(EXACT(SUBSTITUTE(LOWER(D32)," ",""),SUBSTITUTE(LOWER(E32)," ","")),"O","X")</f>
        <v>O</v>
      </c>
      <c r="D32" s="12" t="s">
        <v>976</v>
      </c>
      <c r="E32" s="12" t="s">
        <v>976</v>
      </c>
      <c r="F32" s="11" t="s">
        <v>975</v>
      </c>
    </row>
    <row r="33" spans="2:6" ht="35.1" hidden="1" customHeight="1" thickBot="1" x14ac:dyDescent="0.35">
      <c r="B33" s="62"/>
      <c r="C33" s="26" t="str">
        <f>IF(AND(ISNUMBER(SEARCH("sharedmemory",SUBSTITUTE(LOWER(E33)," ",""))),ISNUMBER(SEARCH("socket",SUBSTITUTE(LOWER(E33)," ",""))),ISNUMBER(SEARCH("messagequeueing",SUBSTITUTE(LOWER(E33)," ",""))),ISNUMBER(SEARCH("semaphores",SUBSTITUTE(LOWER(E33)," ",""))),ISNUMBER(SEARCH("pipes&amp;namedpipes",SUBSTITUTE(LOWER(E33)," ","")))),"O","X")</f>
        <v>O</v>
      </c>
      <c r="D33" s="32" t="s">
        <v>379</v>
      </c>
      <c r="E33" s="49" t="s">
        <v>1850</v>
      </c>
      <c r="F33" s="32" t="s">
        <v>380</v>
      </c>
    </row>
    <row r="34" spans="2:6" ht="35.1" hidden="1" customHeight="1" thickBot="1" x14ac:dyDescent="0.35">
      <c r="B34" s="75"/>
      <c r="C34" s="26" t="str">
        <f>IF(EXACT(SUBSTITUTE(LOWER(D34)," ",""),SUBSTITUTE(LOWER(E34)," ","")),"O","X")</f>
        <v>O</v>
      </c>
      <c r="D34" s="45" t="s">
        <v>924</v>
      </c>
      <c r="E34" s="45" t="s">
        <v>924</v>
      </c>
      <c r="F34" s="11" t="s">
        <v>923</v>
      </c>
    </row>
    <row r="35" spans="2:6" ht="35.1" hidden="1" customHeight="1" thickBot="1" x14ac:dyDescent="0.35">
      <c r="B35" s="68"/>
      <c r="C35" s="26" t="str">
        <f>IF(OR(ISNUMBER(SEARCH(LOWER("스머핑"),SUBSTITUTE(LOWER(E35)," ",""))),ISNUMBER(SEARCH(LOWER("SMURFING"),SUBSTITUTE(LOWER(E35)," ","")))),"O","X")</f>
        <v>O</v>
      </c>
      <c r="D35" s="32" t="s">
        <v>1285</v>
      </c>
      <c r="E35" s="32" t="s">
        <v>1292</v>
      </c>
      <c r="F35" s="32" t="s">
        <v>1259</v>
      </c>
    </row>
    <row r="36" spans="2:6" ht="35.1" hidden="1" customHeight="1" thickBot="1" x14ac:dyDescent="0.35">
      <c r="B36" s="65"/>
      <c r="C36" s="26" t="str">
        <f>IF(EXACT(SUBSTITUTE(LOWER(D36)," ",""),SUBSTITUTE(LOWER(E36)," ","")),"O","X")</f>
        <v>O</v>
      </c>
      <c r="D36" s="12" t="s">
        <v>951</v>
      </c>
      <c r="E36" s="12" t="s">
        <v>951</v>
      </c>
      <c r="F36" s="11" t="s">
        <v>1364</v>
      </c>
    </row>
    <row r="37" spans="2:6" ht="35.1" customHeight="1" thickBot="1" x14ac:dyDescent="0.35">
      <c r="B37" s="89"/>
      <c r="C37" s="26" t="str">
        <f>IF(EXACT(SUBSTITUTE(D37," ",""),SUBSTITUTE(E37," ","")),"O","X")</f>
        <v>X</v>
      </c>
      <c r="D37" s="11" t="s">
        <v>665</v>
      </c>
      <c r="E37" s="12" t="s">
        <v>1836</v>
      </c>
      <c r="F37" s="12" t="s">
        <v>666</v>
      </c>
    </row>
    <row r="38" spans="2:6" ht="35.1" customHeight="1" thickBot="1" x14ac:dyDescent="0.35">
      <c r="B38" s="89"/>
      <c r="C38" s="26" t="str">
        <f>IF(EXACT(SUBSTITUTE(LOWER(D38)," ",""),SUBSTITUTE(LOWER(E38)," ","")),"O","X")</f>
        <v>X</v>
      </c>
      <c r="D38" s="12" t="s">
        <v>1483</v>
      </c>
      <c r="E38" s="12" t="s">
        <v>1836</v>
      </c>
      <c r="F38" s="11" t="s">
        <v>1415</v>
      </c>
    </row>
    <row r="39" spans="2:6" ht="35.1" hidden="1" customHeight="1" thickBot="1" x14ac:dyDescent="0.35">
      <c r="B39" s="78"/>
      <c r="C39" s="26" t="str">
        <f>IF(EXACT(SUBSTITUTE(D39," ",""),SUBSTITUTE(E39," ","")),"O","X")</f>
        <v>O</v>
      </c>
      <c r="D39" s="5" t="s">
        <v>668</v>
      </c>
      <c r="E39" s="5" t="s">
        <v>668</v>
      </c>
      <c r="F39" s="11" t="s">
        <v>667</v>
      </c>
    </row>
    <row r="40" spans="2:6" ht="35.1" hidden="1" customHeight="1" thickBot="1" x14ac:dyDescent="0.35">
      <c r="B40" s="65"/>
      <c r="C40" s="26" t="str">
        <f>IF(ISNUMBER(SEARCH("ngn",SUBSTITUTE(LOWER(E40)," ",""))),"O","X")</f>
        <v>O</v>
      </c>
      <c r="D40" s="45" t="s">
        <v>1017</v>
      </c>
      <c r="E40" s="45" t="s">
        <v>1481</v>
      </c>
      <c r="F40" s="32" t="s">
        <v>1381</v>
      </c>
    </row>
    <row r="41" spans="2:6" ht="35.1" hidden="1" customHeight="1" thickBot="1" x14ac:dyDescent="0.35">
      <c r="B41" s="62"/>
      <c r="C41" s="26" t="str">
        <f>IF(EXACT(SUBSTITUTE(D41," ",""),SUBSTITUTE(E41," ","")),"O","X")</f>
        <v>O</v>
      </c>
      <c r="D41" s="27" t="s">
        <v>790</v>
      </c>
      <c r="E41" s="27" t="s">
        <v>1767</v>
      </c>
      <c r="F41" s="39" t="s">
        <v>1686</v>
      </c>
    </row>
    <row r="42" spans="2:6" ht="35.1" hidden="1" customHeight="1" thickBot="1" x14ac:dyDescent="0.35">
      <c r="B42" s="80"/>
      <c r="C42" s="26" t="str">
        <f>IF(EXACT(SUBSTITUTE(LOWER(D42)," ",""),SUBSTITUTE(LOWER(E42)," ","")),"O","X")</f>
        <v>O</v>
      </c>
      <c r="D42" s="12" t="s">
        <v>956</v>
      </c>
      <c r="E42" s="12" t="s">
        <v>956</v>
      </c>
      <c r="F42" s="39" t="s">
        <v>1368</v>
      </c>
    </row>
    <row r="43" spans="2:6" ht="35.1" hidden="1" customHeight="1" thickBot="1" x14ac:dyDescent="0.35">
      <c r="B43" s="64"/>
      <c r="C43" s="26" t="str">
        <f>IF(EXACT(SUBSTITUTE(D43," ",""),SUBSTITUTE(E43," ","")),"O","X")</f>
        <v>O</v>
      </c>
      <c r="D43" s="11" t="s">
        <v>643</v>
      </c>
      <c r="E43" s="11" t="s">
        <v>739</v>
      </c>
      <c r="F43" s="11" t="s">
        <v>712</v>
      </c>
    </row>
    <row r="44" spans="2:6" ht="35.1" hidden="1" customHeight="1" thickBot="1" x14ac:dyDescent="0.35">
      <c r="B44" s="65"/>
      <c r="C44" s="26" t="str">
        <f>IF(OR(ISNUMBER(SEARCH("N-SCREEN",SUBSTITUTE(UPPER(E44)," ",""))),ISNUMBER(SEARCH("앤스크린",SUBSTITUTE(E44," ","")))),"O","X")</f>
        <v>O</v>
      </c>
      <c r="D44" s="45" t="s">
        <v>1037</v>
      </c>
      <c r="E44" s="45" t="s">
        <v>1824</v>
      </c>
      <c r="F44" s="32" t="s">
        <v>992</v>
      </c>
    </row>
    <row r="45" spans="2:6" ht="35.1" hidden="1" customHeight="1" thickBot="1" x14ac:dyDescent="0.35">
      <c r="B45" s="68"/>
      <c r="C45" s="26" t="str">
        <f>IF(EXACT(LOWER(SUBSTITUTE(D45," ","")),LOWER(SUBSTITUTE(E45," ",""))),"O","X")</f>
        <v>O</v>
      </c>
      <c r="D45" s="32" t="s">
        <v>512</v>
      </c>
      <c r="E45" s="32" t="s">
        <v>1294</v>
      </c>
      <c r="F45" s="32" t="s">
        <v>513</v>
      </c>
    </row>
    <row r="46" spans="2:6" ht="35.1" hidden="1" customHeight="1" thickBot="1" x14ac:dyDescent="0.35">
      <c r="B46" s="65"/>
      <c r="C46" s="26" t="str">
        <f>IF(OR(ISNUMBER(SEARCH("BLOCKCHAIN",SUBSTITUTE(UPPER(E46)," ",""))),ISNUMBER(SEARCH("블록체인",SUBSTITUTE(E46," ","")))),"O","X")</f>
        <v>O</v>
      </c>
      <c r="D46" s="45" t="s">
        <v>1028</v>
      </c>
      <c r="E46" s="45" t="s">
        <v>1613</v>
      </c>
      <c r="F46" s="32" t="s">
        <v>1528</v>
      </c>
    </row>
    <row r="47" spans="2:6" ht="35.1" hidden="1" customHeight="1" thickBot="1" x14ac:dyDescent="0.35">
      <c r="B47" s="61"/>
      <c r="C47" s="26" t="str">
        <f>IF(EXACT(SUBSTITUTE(D47," ",""),SUBSTITUTE(E47," ","")),"O","X")</f>
        <v>O</v>
      </c>
      <c r="D47" s="32" t="s">
        <v>536</v>
      </c>
      <c r="E47" s="32" t="s">
        <v>1264</v>
      </c>
      <c r="F47" s="32" t="s">
        <v>537</v>
      </c>
    </row>
    <row r="48" spans="2:6" ht="35.1" hidden="1" customHeight="1" thickBot="1" x14ac:dyDescent="0.35">
      <c r="B48" s="61"/>
      <c r="C48" s="26" t="str">
        <f>IF(EXACT(SUBSTITUTE(D48," ",""),SUBSTITUTE(E48," ","")),"O","X")</f>
        <v>O</v>
      </c>
      <c r="D48" s="32" t="s">
        <v>271</v>
      </c>
      <c r="E48" s="32" t="s">
        <v>1213</v>
      </c>
      <c r="F48" s="32" t="s">
        <v>272</v>
      </c>
    </row>
    <row r="49" spans="2:6" ht="35.1" hidden="1" customHeight="1" thickBot="1" x14ac:dyDescent="0.35">
      <c r="B49" s="64"/>
      <c r="C49" s="26" t="str">
        <f>IF(EXACT(SUBSTITUTE(D49," ",""),SUBSTITUTE(E49," ","")),"O","X")</f>
        <v>O</v>
      </c>
      <c r="D49" s="11" t="s">
        <v>661</v>
      </c>
      <c r="E49" s="11" t="s">
        <v>745</v>
      </c>
      <c r="F49" s="12" t="s">
        <v>715</v>
      </c>
    </row>
    <row r="50" spans="2:6" ht="35.1" hidden="1" customHeight="1" thickBot="1" x14ac:dyDescent="0.35">
      <c r="B50" s="65"/>
      <c r="C50" s="26" t="str">
        <f>IF(ISNUMBER(SEARCH("OSPF",SUBSTITUTE(UPPER(E50)," ",""))),"O","X")</f>
        <v>O</v>
      </c>
      <c r="D50" s="42" t="s">
        <v>1063</v>
      </c>
      <c r="E50" s="42" t="s">
        <v>1604</v>
      </c>
      <c r="F50" s="39" t="s">
        <v>1516</v>
      </c>
    </row>
    <row r="51" spans="2:6" ht="35.1" hidden="1" customHeight="1" thickBot="1" x14ac:dyDescent="0.35">
      <c r="B51" s="75"/>
      <c r="C51" s="26" t="str">
        <f>IF(EXACT(SUBSTITUTE(LOWER(D51)," ",""),SUBSTITUTE(LOWER(E51)," ","")),"O","X")</f>
        <v>O</v>
      </c>
      <c r="D51" s="12" t="s">
        <v>949</v>
      </c>
      <c r="E51" s="12" t="s">
        <v>949</v>
      </c>
      <c r="F51" s="11" t="s">
        <v>1362</v>
      </c>
    </row>
    <row r="52" spans="2:6" ht="35.1" hidden="1" customHeight="1" thickBot="1" x14ac:dyDescent="0.35">
      <c r="B52" s="63"/>
      <c r="C52" s="26" t="str">
        <f>IF(EXACT(SUBSTITUTE(D52," ",""),SUBSTITUTE(E52," ","")),"O","X")</f>
        <v>O</v>
      </c>
      <c r="D52" s="27" t="s">
        <v>795</v>
      </c>
      <c r="E52" s="27" t="s">
        <v>795</v>
      </c>
      <c r="F52" s="11" t="s">
        <v>1691</v>
      </c>
    </row>
    <row r="53" spans="2:6" ht="35.1" hidden="1" customHeight="1" thickBot="1" x14ac:dyDescent="0.35">
      <c r="B53" s="61"/>
      <c r="C53" s="26" t="str">
        <f>IF(EXACT(SUBSTITUTE(D53," ",""),SUBSTITUTE(E53," ","")),"O","X")</f>
        <v>O</v>
      </c>
      <c r="D53" s="32" t="s">
        <v>186</v>
      </c>
      <c r="E53" s="32" t="s">
        <v>1189</v>
      </c>
      <c r="F53" s="32" t="s">
        <v>187</v>
      </c>
    </row>
    <row r="54" spans="2:6" ht="35.1" customHeight="1" thickBot="1" x14ac:dyDescent="0.35">
      <c r="B54" s="89"/>
      <c r="C54" s="26" t="str">
        <f>IF(EXACT(LOWER(SUBSTITUTE(D54," ","")),LOWER(SUBSTITUTE(E54," ",""))),"O","X")</f>
        <v>X</v>
      </c>
      <c r="D54" s="30" t="s">
        <v>478</v>
      </c>
      <c r="E54" s="30" t="s">
        <v>1851</v>
      </c>
      <c r="F54" s="32" t="s">
        <v>479</v>
      </c>
    </row>
    <row r="55" spans="2:6" ht="35.1" customHeight="1" thickBot="1" x14ac:dyDescent="0.35">
      <c r="B55" s="89"/>
      <c r="C55" s="26" t="str">
        <f>IF(EXACT(LOWER(SUBSTITUTE(D55," ","")),LOWER(SUBSTITUTE(E55," ",""))),"O","X")</f>
        <v>X</v>
      </c>
      <c r="D55" s="32" t="s">
        <v>474</v>
      </c>
      <c r="E55" s="32"/>
      <c r="F55" s="32" t="s">
        <v>475</v>
      </c>
    </row>
    <row r="56" spans="2:6" ht="35.1" hidden="1" customHeight="1" thickBot="1" x14ac:dyDescent="0.35">
      <c r="B56" s="78"/>
      <c r="C56" s="26" t="str">
        <f>IF(EXACT(LOWER(SUBSTITUTE(D56," ","")),LOWER(SUBSTITUTE(E56," ",""))),"O","X")</f>
        <v>O</v>
      </c>
      <c r="D56" s="32" t="s">
        <v>476</v>
      </c>
      <c r="E56" s="30" t="s">
        <v>1851</v>
      </c>
      <c r="F56" s="32" t="s">
        <v>477</v>
      </c>
    </row>
    <row r="57" spans="2:6" ht="35.1" hidden="1" customHeight="1" thickBot="1" x14ac:dyDescent="0.35">
      <c r="B57" s="78"/>
      <c r="C57" s="26" t="str">
        <f>IF(AND(ISNUMBER(SEARCH("고객-공급자",SUBSTITUTE(E57," ",""))),ISNUMBER(SEARCH("공학",SUBSTITUTE(E57," ",""))),ISNUMBER(SEARCH("지원",SUBSTITUTE(E57," ",""))),ISNUMBER(SEARCH("관리",SUBSTITUTE(E57," ",""))),ISNUMBER(SEARCH("조직",SUBSTITUTE(E57," ","")))),"O","X")</f>
        <v>O</v>
      </c>
      <c r="D57" s="5" t="s">
        <v>672</v>
      </c>
      <c r="E57" s="5" t="s">
        <v>672</v>
      </c>
      <c r="F57" s="11" t="s">
        <v>718</v>
      </c>
    </row>
    <row r="58" spans="2:6" ht="35.1" customHeight="1" thickBot="1" x14ac:dyDescent="0.35">
      <c r="B58" s="90"/>
      <c r="C58" s="26" t="str">
        <f>IF(EXACT(SUBSTITUTE(D58," ",""),SUBSTITUTE(E58," ","")),"O","X")</f>
        <v>X</v>
      </c>
      <c r="D58" s="5" t="s">
        <v>673</v>
      </c>
      <c r="E58" s="5" t="s">
        <v>1852</v>
      </c>
      <c r="F58" s="11" t="s">
        <v>699</v>
      </c>
    </row>
    <row r="59" spans="2:6" ht="35.1" hidden="1" customHeight="1" thickBot="1" x14ac:dyDescent="0.35">
      <c r="B59" s="59"/>
      <c r="C59" s="26" t="str">
        <f>IF(EXACT(SUBSTITUTE(D59," ",""),SUBSTITUTE(E59," ","")),"O","X")</f>
        <v>O</v>
      </c>
      <c r="D59" s="32" t="s">
        <v>469</v>
      </c>
      <c r="E59" s="32" t="s">
        <v>1785</v>
      </c>
      <c r="F59" s="32" t="s">
        <v>470</v>
      </c>
    </row>
    <row r="60" spans="2:6" ht="35.1" hidden="1" customHeight="1" thickBot="1" x14ac:dyDescent="0.35">
      <c r="B60" s="75"/>
      <c r="C60" s="26" t="str">
        <f>IF(EXACT(SUBSTITUTE(LOWER(D60)," ",""),SUBSTITUTE(LOWER(E60)," ","")),"O","X")</f>
        <v>O</v>
      </c>
      <c r="D60" s="12" t="s">
        <v>944</v>
      </c>
      <c r="E60" s="12" t="s">
        <v>944</v>
      </c>
      <c r="F60" s="11" t="s">
        <v>1357</v>
      </c>
    </row>
    <row r="61" spans="2:6" ht="35.1" hidden="1" customHeight="1" thickBot="1" x14ac:dyDescent="0.35">
      <c r="B61" s="62"/>
      <c r="C61" s="26" t="str">
        <f>IF(ISNUMBER(SEARCH("분기/조건",SUBSTITUTE(E61," ",""))),"O","X")</f>
        <v>O</v>
      </c>
      <c r="D61" s="5" t="s">
        <v>10</v>
      </c>
      <c r="E61" s="27" t="s">
        <v>1853</v>
      </c>
      <c r="F61" s="27" t="s">
        <v>83</v>
      </c>
    </row>
    <row r="62" spans="2:6" ht="35.1" hidden="1" customHeight="1" thickBot="1" x14ac:dyDescent="0.35">
      <c r="B62" s="65"/>
      <c r="C62" s="26" t="str">
        <f>IF(OR(ISNUMBER(SEARCH("COMPANIONSCREEN",SUBSTITUTE(UPPER(E62)," ",""))),ISNUMBER(SEARCH("컴패니언스크린",SUBSTITUTE(E62," ","")))),"O","X")</f>
        <v>O</v>
      </c>
      <c r="D62" s="42" t="s">
        <v>1076</v>
      </c>
      <c r="E62" s="42" t="s">
        <v>1631</v>
      </c>
      <c r="F62" s="32" t="s">
        <v>993</v>
      </c>
    </row>
    <row r="63" spans="2:6" ht="35.1" hidden="1" customHeight="1" thickBot="1" x14ac:dyDescent="0.35">
      <c r="B63" s="61"/>
      <c r="C63" s="26" t="str">
        <f>IF(ISNUMBER(SEARCH("TFN",SUBSTITUTE(E63," ",""))),"O","X")</f>
        <v>O</v>
      </c>
      <c r="D63" s="32" t="s">
        <v>1282</v>
      </c>
      <c r="E63" s="32" t="s">
        <v>1795</v>
      </c>
      <c r="F63" s="32" t="s">
        <v>524</v>
      </c>
    </row>
    <row r="64" spans="2:6" ht="35.1" hidden="1" customHeight="1" thickBot="1" x14ac:dyDescent="0.35">
      <c r="B64" s="65"/>
      <c r="C64" s="26" t="str">
        <f>IF(AND(ISNUMBER(SEARCH("커널",SUBSTITUTE(E64," ",""))),ISNUMBER(SEARCH("쉘",SUBSTITUTE(E64," ",""))),ISNUMBER(SEARCH("유틸리티프로그램",SUBSTITUTE(E64," ","")))),"O","X")</f>
        <v>O</v>
      </c>
      <c r="D64" s="45" t="s">
        <v>860</v>
      </c>
      <c r="E64" s="45" t="s">
        <v>860</v>
      </c>
      <c r="F64" s="11" t="s">
        <v>1384</v>
      </c>
    </row>
    <row r="65" spans="2:6" ht="35.1" hidden="1" customHeight="1" thickBot="1" x14ac:dyDescent="0.35">
      <c r="B65" s="59"/>
      <c r="C65" s="26" t="str">
        <f>IF(EXACT(SUBSTITUTE(LOWER(D65)," ",""),SUBSTITUTE(LOWER(E65)," ","")),"O","X")</f>
        <v>O</v>
      </c>
      <c r="D65" s="43" t="s">
        <v>858</v>
      </c>
      <c r="E65" s="43" t="s">
        <v>858</v>
      </c>
      <c r="F65" s="11" t="s">
        <v>1339</v>
      </c>
    </row>
    <row r="66" spans="2:6" ht="35.1" hidden="1" customHeight="1" thickBot="1" x14ac:dyDescent="0.35">
      <c r="B66" s="63"/>
      <c r="C66" s="26" t="str">
        <f>IF(EXACT(SUBSTITUTE(D66," ",""),SUBSTITUTE(E66," ","")),"O","X")</f>
        <v>O</v>
      </c>
      <c r="D66" s="27" t="s">
        <v>785</v>
      </c>
      <c r="E66" s="27" t="s">
        <v>785</v>
      </c>
      <c r="F66" s="11" t="s">
        <v>1679</v>
      </c>
    </row>
    <row r="67" spans="2:6" ht="35.1" hidden="1" customHeight="1" thickBot="1" x14ac:dyDescent="0.35">
      <c r="B67" s="79"/>
      <c r="C67" s="26" t="str">
        <f>IF(EXACT(SUBSTITUTE(D67," ",""),SUBSTITUTE(E67," ","")),"O","X")</f>
        <v>O</v>
      </c>
      <c r="D67" s="16" t="s">
        <v>592</v>
      </c>
      <c r="E67" s="16" t="s">
        <v>1323</v>
      </c>
      <c r="F67" s="11" t="s">
        <v>591</v>
      </c>
    </row>
    <row r="68" spans="2:6" ht="35.1" hidden="1" customHeight="1" thickBot="1" x14ac:dyDescent="0.35">
      <c r="B68" s="64"/>
      <c r="C68" s="26"/>
      <c r="D68" s="11" t="s">
        <v>686</v>
      </c>
      <c r="E68" s="11"/>
      <c r="F68" s="11" t="s">
        <v>685</v>
      </c>
    </row>
    <row r="69" spans="2:6" ht="35.1" hidden="1" customHeight="1" thickBot="1" x14ac:dyDescent="0.35">
      <c r="B69" s="64"/>
      <c r="C69" s="26" t="str">
        <f>IF(EXACT(SUBSTITUTE(D69," ",""),SUBSTITUTE(E69," ","")),"O","X")</f>
        <v>O</v>
      </c>
      <c r="D69" s="11" t="s">
        <v>590</v>
      </c>
      <c r="E69" s="11" t="s">
        <v>711</v>
      </c>
      <c r="F69" s="11" t="s">
        <v>710</v>
      </c>
    </row>
    <row r="70" spans="2:6" ht="35.1" hidden="1" customHeight="1" thickBot="1" x14ac:dyDescent="0.35">
      <c r="B70" s="63"/>
      <c r="C70" s="26" t="str">
        <f>IF(EXACT(SUBSTITUTE(D70," ",""),SUBSTITUTE(E70," ","")),"O","X")</f>
        <v>O</v>
      </c>
      <c r="D70" s="27" t="s">
        <v>779</v>
      </c>
      <c r="E70" s="27" t="s">
        <v>1713</v>
      </c>
      <c r="F70" s="11" t="s">
        <v>1681</v>
      </c>
    </row>
    <row r="71" spans="2:6" ht="35.1" hidden="1" customHeight="1" thickBot="1" x14ac:dyDescent="0.35">
      <c r="B71" s="65"/>
      <c r="C71" s="26" t="str">
        <f>IF(EXACT(SUBSTITUTE(LOWER(D71)," ",""),SUBSTITUTE(LOWER(E71)," ","")),"O","X")</f>
        <v>O</v>
      </c>
      <c r="D71" s="45" t="s">
        <v>886</v>
      </c>
      <c r="E71" s="45" t="s">
        <v>886</v>
      </c>
      <c r="F71" s="11" t="s">
        <v>1334</v>
      </c>
    </row>
    <row r="72" spans="2:6" ht="35.1" hidden="1" customHeight="1" thickBot="1" x14ac:dyDescent="0.35">
      <c r="B72" s="65"/>
      <c r="C72" s="26" t="str">
        <f>IF(ISNUMBER(SEARCH("SCR",SUBSTITUTE(E72," ",""))),"O","X")</f>
        <v>O</v>
      </c>
      <c r="D72" s="45" t="s">
        <v>890</v>
      </c>
      <c r="E72" s="45" t="s">
        <v>1439</v>
      </c>
      <c r="F72" s="39" t="s">
        <v>1402</v>
      </c>
    </row>
    <row r="73" spans="2:6" ht="35.1" hidden="1" customHeight="1" thickBot="1" x14ac:dyDescent="0.35">
      <c r="B73" s="61"/>
      <c r="C73" s="26" t="str">
        <f>IF(EXACT(LOWER(SUBSTITUTE(D73," ","")),LOWER(SUBSTITUTE(E73," ",""))),"O","X")</f>
        <v>O</v>
      </c>
      <c r="D73" s="32" t="s">
        <v>522</v>
      </c>
      <c r="E73" s="32" t="s">
        <v>1794</v>
      </c>
      <c r="F73" s="32" t="s">
        <v>523</v>
      </c>
    </row>
    <row r="74" spans="2:6" ht="35.1" hidden="1" customHeight="1" thickBot="1" x14ac:dyDescent="0.35">
      <c r="B74" s="63"/>
      <c r="C74" s="26" t="str">
        <f>IF(EXACT(SUBSTITUTE(D74," ",""),SUBSTITUTE(E74," ","")),"O","X")</f>
        <v>O</v>
      </c>
      <c r="D74" s="5" t="s">
        <v>11</v>
      </c>
      <c r="E74" s="27" t="s">
        <v>1313</v>
      </c>
      <c r="F74" s="27" t="s">
        <v>52</v>
      </c>
    </row>
    <row r="75" spans="2:6" ht="35.1" hidden="1" customHeight="1" thickBot="1" x14ac:dyDescent="0.35">
      <c r="B75" s="26"/>
      <c r="C75" s="26" t="str">
        <f>IF(EXACT(SUBSTITUTE(D75," ",""),SUBSTITUTE(E75," ","")),"O","X")</f>
        <v>O</v>
      </c>
      <c r="D75" s="5" t="s">
        <v>581</v>
      </c>
      <c r="E75" s="5" t="s">
        <v>719</v>
      </c>
      <c r="F75" s="11" t="s">
        <v>704</v>
      </c>
    </row>
    <row r="76" spans="2:6" ht="35.1" hidden="1" customHeight="1" thickBot="1" x14ac:dyDescent="0.35">
      <c r="B76" s="61"/>
      <c r="C76" s="26" t="str">
        <f>IF(EXACT(SUBSTITUTE(D76," ",""),SUBSTITUTE(E76," ","")),"O","X")</f>
        <v>O</v>
      </c>
      <c r="D76" s="32" t="s">
        <v>275</v>
      </c>
      <c r="E76" s="32" t="s">
        <v>1081</v>
      </c>
      <c r="F76" s="32" t="s">
        <v>276</v>
      </c>
    </row>
    <row r="77" spans="2:6" ht="35.1" hidden="1" customHeight="1" thickBot="1" x14ac:dyDescent="0.35">
      <c r="B77" s="75"/>
      <c r="C77" s="26" t="str">
        <f>IF(ISNUMBER(SEARCH("인터클라우드컴퓨팅",SUBSTITUTE(LOWER(E77)," ",""))),"O","X")</f>
        <v>O</v>
      </c>
      <c r="D77" s="45" t="s">
        <v>1054</v>
      </c>
      <c r="E77" s="45" t="s">
        <v>1478</v>
      </c>
      <c r="F77" s="32" t="s">
        <v>1377</v>
      </c>
    </row>
    <row r="78" spans="2:6" ht="35.1" hidden="1" customHeight="1" thickBot="1" x14ac:dyDescent="0.35">
      <c r="B78" s="77"/>
      <c r="C78" s="26" t="str">
        <f>IF(OR(ISNUMBER(SEARCH("USN",SUBSTITUTE(UPPER(E78)," ",""))),ISNUMBER(SEARCH("유비쿼터스센서네트워크",SUBSTITUTE(E78," ","")))),"O","X")</f>
        <v>O</v>
      </c>
      <c r="D78" s="45" t="s">
        <v>1057</v>
      </c>
      <c r="E78" s="45" t="s">
        <v>1583</v>
      </c>
      <c r="F78" s="32" t="s">
        <v>1488</v>
      </c>
    </row>
    <row r="79" spans="2:6" ht="35.1" hidden="1" customHeight="1" thickBot="1" x14ac:dyDescent="0.35">
      <c r="B79" s="65"/>
      <c r="C79" s="26" t="str">
        <f>IF(ISNUMBER(SEARCH("클라우드컴퓨팅",SUBSTITUTE(LOWER(E79)," ",""))),"O","X")</f>
        <v>O</v>
      </c>
      <c r="D79" s="45" t="s">
        <v>1011</v>
      </c>
      <c r="E79" s="45" t="s">
        <v>1475</v>
      </c>
      <c r="F79" s="32" t="s">
        <v>1374</v>
      </c>
    </row>
    <row r="80" spans="2:6" ht="35.1" hidden="1" customHeight="1" thickBot="1" x14ac:dyDescent="0.35">
      <c r="B80" s="68"/>
      <c r="C80" s="26" t="str">
        <f>IF(EXACT(SUBSTITUTE(D80," ",""),SUBSTITUTE(E80," ","")),"O","X")</f>
        <v>O</v>
      </c>
      <c r="D80" s="32" t="s">
        <v>152</v>
      </c>
      <c r="E80" s="32" t="s">
        <v>1230</v>
      </c>
      <c r="F80" s="32" t="s">
        <v>153</v>
      </c>
    </row>
    <row r="81" spans="2:6" ht="35.1" customHeight="1" thickBot="1" x14ac:dyDescent="0.35">
      <c r="B81" s="90"/>
      <c r="C81" s="26" t="str">
        <f>IF(ISNUMBER(SEARCH("발전형",SUBSTITUTE(E81," ",""))),"O","X")</f>
        <v>X</v>
      </c>
      <c r="D81" s="11" t="s">
        <v>655</v>
      </c>
      <c r="E81" s="11" t="s">
        <v>1854</v>
      </c>
      <c r="F81" s="11" t="s">
        <v>657</v>
      </c>
    </row>
    <row r="82" spans="2:6" ht="35.1" hidden="1" customHeight="1" thickBot="1" x14ac:dyDescent="0.35">
      <c r="B82" s="61"/>
      <c r="C82" s="26" t="str">
        <f>IF(OR(ISNUMBER(SEARCH(LOWER("형상관리"),SUBSTITUTE(LOWER(E82)," ",""))),ISNUMBER(SEARCH(LOWER("SCM"),SUBSTITUTE(LOWER(E82)," ","")))),"O","X")</f>
        <v>O</v>
      </c>
      <c r="D82" s="11" t="s">
        <v>841</v>
      </c>
      <c r="E82" s="11" t="s">
        <v>1834</v>
      </c>
      <c r="F82" s="11" t="s">
        <v>842</v>
      </c>
    </row>
    <row r="83" spans="2:6" ht="35.1" customHeight="1" thickBot="1" x14ac:dyDescent="0.35">
      <c r="B83" s="90"/>
      <c r="C83" s="26" t="str">
        <f>IF(OR(ISNUMBER(SEARCH("CollectiveOwnership",SUBSTITUTE(E83," ",""))),ISNUMBER(SEARCH("공동코드소유",SUBSTITUTE(E83," ","")))),"O","X")</f>
        <v>X</v>
      </c>
      <c r="D83" s="11" t="s">
        <v>594</v>
      </c>
      <c r="E83" s="11" t="s">
        <v>1855</v>
      </c>
      <c r="F83" s="12" t="s">
        <v>604</v>
      </c>
    </row>
    <row r="84" spans="2:6" ht="35.1" hidden="1" customHeight="1" thickBot="1" x14ac:dyDescent="0.35">
      <c r="B84" s="78"/>
      <c r="C84" s="26" t="str">
        <f>IF(EXACT(SUBSTITUTE(D84," ",""),SUBSTITUTE(E84," ","")),"O","X")</f>
        <v>O</v>
      </c>
      <c r="D84" s="5" t="s">
        <v>19</v>
      </c>
      <c r="E84" s="27" t="s">
        <v>103</v>
      </c>
      <c r="F84" s="27" t="s">
        <v>90</v>
      </c>
    </row>
    <row r="85" spans="2:6" ht="35.1" hidden="1" customHeight="1" thickBot="1" x14ac:dyDescent="0.35">
      <c r="B85" s="64"/>
      <c r="C85" s="26" t="str">
        <f>IF(OR(ISNUMBER(SEARCH("전체팀",SUBSTITUTE(E85," ",""))),ISNUMBER(SEARCH("WholeTeam",SUBSTITUTE(E85," ","")))),"O","X")</f>
        <v>O</v>
      </c>
      <c r="D85" s="11" t="s">
        <v>595</v>
      </c>
      <c r="E85" s="11" t="s">
        <v>726</v>
      </c>
      <c r="F85" s="11" t="s">
        <v>602</v>
      </c>
    </row>
    <row r="86" spans="2:6" ht="35.1" hidden="1" customHeight="1" thickBot="1" x14ac:dyDescent="0.35">
      <c r="B86" s="26"/>
      <c r="C86" s="26" t="str">
        <f>IF(EXACT(SUBSTITUTE(D86," ",""),SUBSTITUTE(E86," ","")),"O","X")</f>
        <v>O</v>
      </c>
      <c r="D86" s="11" t="s">
        <v>613</v>
      </c>
      <c r="E86" s="11" t="s">
        <v>733</v>
      </c>
      <c r="F86" s="11" t="s">
        <v>689</v>
      </c>
    </row>
    <row r="87" spans="2:6" ht="35.1" hidden="1" customHeight="1" thickBot="1" x14ac:dyDescent="0.35">
      <c r="B87" s="26"/>
      <c r="C87" s="26" t="str">
        <f>IF(OR(ISNUMBER(SEARCH("테스트주도개발",SUBSTITUTE(E87," ",""))),ISNUMBER(SEARCH("testDrivenDevlpment",SUBSTITUTE(E87," ","")))),"O","X")</f>
        <v>O</v>
      </c>
      <c r="D87" s="15" t="s">
        <v>727</v>
      </c>
      <c r="E87" s="15" t="s">
        <v>725</v>
      </c>
      <c r="F87" s="12" t="s">
        <v>603</v>
      </c>
    </row>
    <row r="88" spans="2:6" ht="35.1" hidden="1" customHeight="1" thickBot="1" x14ac:dyDescent="0.35">
      <c r="B88" s="63"/>
      <c r="C88" s="26" t="str">
        <f>IF(EXACT(SUBSTITUTE(D88," ",""),SUBSTITUTE(E88," ","")),"O","X")</f>
        <v>O</v>
      </c>
      <c r="D88" s="5" t="s">
        <v>26</v>
      </c>
      <c r="E88" s="27" t="s">
        <v>107</v>
      </c>
      <c r="F88" s="27" t="s">
        <v>95</v>
      </c>
    </row>
    <row r="89" spans="2:6" ht="35.1" hidden="1" customHeight="1" thickBot="1" x14ac:dyDescent="0.35">
      <c r="B89" s="65"/>
      <c r="C89" s="26" t="str">
        <f>IF(ISNUMBER(SEARCH("네트워크계층",SUBSTITUTE(UPPER(E89)," ",""))),"O","X")</f>
        <v>O</v>
      </c>
      <c r="D89" s="44" t="s">
        <v>929</v>
      </c>
      <c r="E89" s="44" t="s">
        <v>1461</v>
      </c>
      <c r="F89" s="11" t="s">
        <v>1345</v>
      </c>
    </row>
    <row r="90" spans="2:6" ht="35.1" hidden="1" customHeight="1" thickBot="1" x14ac:dyDescent="0.35">
      <c r="B90" s="65"/>
      <c r="C90" s="26" t="str">
        <f>IF(OR(ISNUMBER(SEARCH("PIA",SUBSTITUTE(UPPER(E90)," ",""))),ISNUMBER(SEARCH("개인정보영향평가제도",SUBSTITUTE(E90," ","")))),"O","X")</f>
        <v>O</v>
      </c>
      <c r="D90" s="45" t="s">
        <v>1069</v>
      </c>
      <c r="E90" s="45" t="s">
        <v>1619</v>
      </c>
      <c r="F90" s="32" t="s">
        <v>986</v>
      </c>
    </row>
    <row r="91" spans="2:6" ht="35.1" hidden="1" customHeight="1" thickBot="1" x14ac:dyDescent="0.35">
      <c r="B91" s="65"/>
      <c r="C91" s="26" t="str">
        <f>IF(OR(ISNUMBER(SEARCH("PET",SUBSTITUTE(UPPER(E91)," ",""))),ISNUMBER(SEARCH("프라이버시강화기술",SUBSTITUTE(E91," ","")))),"O","X")</f>
        <v>O</v>
      </c>
      <c r="D91" s="45" t="s">
        <v>1067</v>
      </c>
      <c r="E91" s="45" t="s">
        <v>1617</v>
      </c>
      <c r="F91" s="32" t="s">
        <v>1532</v>
      </c>
    </row>
    <row r="92" spans="2:6" ht="35.1" hidden="1" customHeight="1" thickBot="1" x14ac:dyDescent="0.35">
      <c r="B92" s="61"/>
      <c r="C92" s="26" t="str">
        <f>IF(EXACT(LOWER(SUBSTITUTE(D92," ","")),LOWER(SUBSTITUTE(E92," ",""))),"O","X")</f>
        <v>O</v>
      </c>
      <c r="D92" s="32" t="s">
        <v>498</v>
      </c>
      <c r="E92" s="32" t="s">
        <v>1288</v>
      </c>
      <c r="F92" s="32" t="s">
        <v>499</v>
      </c>
    </row>
    <row r="93" spans="2:6" ht="35.1" customHeight="1" thickBot="1" x14ac:dyDescent="0.35">
      <c r="B93" s="89"/>
      <c r="C93" s="26" t="str">
        <f>IF(EXACT(SUBSTITUTE(D93," ",""),SUBSTITUTE(E93," ","")),"O","X")</f>
        <v>X</v>
      </c>
      <c r="D93" s="32" t="s">
        <v>154</v>
      </c>
      <c r="E93" s="32" t="s">
        <v>1856</v>
      </c>
      <c r="F93" s="32" t="s">
        <v>1828</v>
      </c>
    </row>
    <row r="94" spans="2:6" ht="35.1" hidden="1" customHeight="1" thickBot="1" x14ac:dyDescent="0.35">
      <c r="B94" s="61"/>
      <c r="C94" s="26" t="str">
        <f>IF(EXACT(SUBSTITUTE(D94," ",""),SUBSTITUTE(E94," ","")),"O","X")</f>
        <v>O</v>
      </c>
      <c r="D94" s="32" t="s">
        <v>435</v>
      </c>
      <c r="E94" s="32" t="s">
        <v>1152</v>
      </c>
      <c r="F94" s="32" t="s">
        <v>436</v>
      </c>
    </row>
    <row r="95" spans="2:6" ht="35.1" hidden="1" customHeight="1" thickBot="1" x14ac:dyDescent="0.35">
      <c r="B95" s="61"/>
      <c r="C95" s="26" t="str">
        <f>IF(EXACT(SUBSTITUTE(D95," ",""),SUBSTITUTE(E95," ","")),"O","X")</f>
        <v>O</v>
      </c>
      <c r="D95" s="32" t="s">
        <v>327</v>
      </c>
      <c r="E95" s="32" t="s">
        <v>1102</v>
      </c>
      <c r="F95" s="32" t="s">
        <v>328</v>
      </c>
    </row>
    <row r="96" spans="2:6" ht="35.1" customHeight="1" thickBot="1" x14ac:dyDescent="0.35">
      <c r="B96" s="89"/>
      <c r="C96" s="26" t="str">
        <f>IF(EXACT(SUBSTITUTE(D96," ",""),SUBSTITUTE(E96," ","")),"O","X")</f>
        <v>X</v>
      </c>
      <c r="D96" s="32" t="s">
        <v>285</v>
      </c>
      <c r="E96" s="32" t="s">
        <v>733</v>
      </c>
      <c r="F96" s="32" t="s">
        <v>286</v>
      </c>
    </row>
    <row r="97" spans="2:6" ht="35.1" hidden="1" customHeight="1" thickBot="1" x14ac:dyDescent="0.35">
      <c r="B97" s="61"/>
      <c r="C97" s="26" t="str">
        <f>IF(EXACT(SUBSTITUTE(D97," ",""),SUBSTITUTE(E97," ","")),"O","X")</f>
        <v>O</v>
      </c>
      <c r="D97" s="32" t="s">
        <v>245</v>
      </c>
      <c r="E97" s="32" t="s">
        <v>1243</v>
      </c>
      <c r="F97" s="32" t="s">
        <v>246</v>
      </c>
    </row>
    <row r="98" spans="2:6" ht="35.1" hidden="1" customHeight="1" thickBot="1" x14ac:dyDescent="0.35">
      <c r="B98" s="68"/>
      <c r="C98" s="26" t="str">
        <f>IF(EXACT(SUBSTITUTE(D98," ",""),SUBSTITUTE(E98," ","")),"O","X")</f>
        <v>O</v>
      </c>
      <c r="D98" s="32" t="s">
        <v>459</v>
      </c>
      <c r="E98" s="32" t="s">
        <v>1857</v>
      </c>
      <c r="F98" s="32" t="s">
        <v>460</v>
      </c>
    </row>
    <row r="99" spans="2:6" ht="35.1" hidden="1" customHeight="1" thickBot="1" x14ac:dyDescent="0.35">
      <c r="B99" s="61"/>
      <c r="C99" s="26" t="str">
        <f>IF(AND(ISNUMBER(SEARCH("클래스",SUBSTITUTE(E99," ",""))),ISNUMBER(SEARCH("객체",SUBSTITUTE(E99," ",""))),ISNUMBER(SEARCH("메시지",SUBSTITUTE(E99," ","")))),"O","X")</f>
        <v>O</v>
      </c>
      <c r="D99" s="32" t="s">
        <v>277</v>
      </c>
      <c r="E99" s="32" t="s">
        <v>1858</v>
      </c>
      <c r="F99" s="32" t="s">
        <v>278</v>
      </c>
    </row>
    <row r="100" spans="2:6" ht="35.1" hidden="1" customHeight="1" thickBot="1" x14ac:dyDescent="0.35">
      <c r="B100" s="61"/>
      <c r="C100" s="26" t="str">
        <f>IF(EXACT(SUBSTITUTE(D100," ",""),SUBSTITUTE(E100," ","")),"O","X")</f>
        <v>O</v>
      </c>
      <c r="D100" s="32" t="s">
        <v>325</v>
      </c>
      <c r="E100" s="32" t="s">
        <v>1101</v>
      </c>
      <c r="F100" s="32" t="s">
        <v>326</v>
      </c>
    </row>
    <row r="101" spans="2:6" ht="35.1" hidden="1" customHeight="1" thickBot="1" x14ac:dyDescent="0.35">
      <c r="B101" s="62"/>
      <c r="C101" s="26" t="str">
        <f>IF(AND(ISNUMBER(SEARCH("캡슐화",SUBSTITUTE(E101," ",""))),ISNUMBER(SEARCH("상속",SUBSTITUTE(E101," ",""))),ISNUMBER(SEARCH("연관성",SUBSTITUTE(E101," ",""))),ISNUMBER(SEARCH("다형성",SUBSTITUTE(E101," ","")))),"O","X")</f>
        <v>O</v>
      </c>
      <c r="D101" s="32" t="s">
        <v>279</v>
      </c>
      <c r="E101" s="32" t="s">
        <v>1859</v>
      </c>
      <c r="F101" s="32" t="s">
        <v>280</v>
      </c>
    </row>
    <row r="102" spans="2:6" ht="35.1" hidden="1" customHeight="1" thickBot="1" x14ac:dyDescent="0.35">
      <c r="B102" s="65"/>
      <c r="C102" s="26" t="str">
        <f>IF(OR(ISNUMBER(SEARCH("CHECKPOINT",SUBSTITUTE(UPPER(E102)," ",""))),ISNUMBER(SEARCH("검사점기법",SUBSTITUTE(E102," ","")))),"O","X")</f>
        <v>O</v>
      </c>
      <c r="D102" s="12" t="s">
        <v>1000</v>
      </c>
      <c r="E102" s="12" t="s">
        <v>1645</v>
      </c>
      <c r="F102" s="54" t="s">
        <v>1561</v>
      </c>
    </row>
    <row r="103" spans="2:6" ht="35.1" hidden="1" customHeight="1" thickBot="1" x14ac:dyDescent="0.35">
      <c r="B103" s="65"/>
      <c r="C103" s="26"/>
      <c r="D103" s="12"/>
      <c r="E103" s="12"/>
      <c r="F103" s="11" t="s">
        <v>974</v>
      </c>
    </row>
    <row r="104" spans="2:6" ht="35.1" hidden="1" customHeight="1" thickBot="1" x14ac:dyDescent="0.35">
      <c r="B104" s="63"/>
      <c r="C104" s="26" t="str">
        <f>IF(EXACT(SUBSTITUTE(D104," ",""),SUBSTITUTE(E104," ","")),"O","X")</f>
        <v>O</v>
      </c>
      <c r="D104" s="5" t="s">
        <v>24</v>
      </c>
      <c r="E104" s="27" t="s">
        <v>105</v>
      </c>
      <c r="F104" s="27" t="s">
        <v>93</v>
      </c>
    </row>
    <row r="105" spans="2:6" ht="35.1" customHeight="1" thickBot="1" x14ac:dyDescent="0.35">
      <c r="B105" s="90"/>
      <c r="C105" s="26" t="str">
        <f>IF(ISNUMBER(SEARCH("nfc",SUBSTITUTE(LOWER(E105)," ",""))),"O","X")</f>
        <v>X</v>
      </c>
      <c r="D105" s="42" t="s">
        <v>1748</v>
      </c>
      <c r="E105" s="42" t="s">
        <v>1579</v>
      </c>
      <c r="F105" s="32" t="s">
        <v>1383</v>
      </c>
    </row>
    <row r="106" spans="2:6" ht="35.1" hidden="1" customHeight="1" thickBot="1" x14ac:dyDescent="0.35">
      <c r="B106" s="61"/>
      <c r="C106" s="26" t="str">
        <f>IF(EXACT(SUBSTITUTE(D106," ",""),SUBSTITUTE(E106," ","")),"O","X")</f>
        <v>O</v>
      </c>
      <c r="D106" s="32" t="s">
        <v>120</v>
      </c>
      <c r="E106" s="32" t="s">
        <v>1168</v>
      </c>
      <c r="F106" s="32" t="s">
        <v>121</v>
      </c>
    </row>
    <row r="107" spans="2:6" ht="35.1" hidden="1" customHeight="1" thickBot="1" x14ac:dyDescent="0.35">
      <c r="B107" s="62"/>
      <c r="C107" s="26" t="str">
        <f>IF(EXACT(SUBSTITUTE(D107," ",""),SUBSTITUTE(E107," ","")),"O","X")</f>
        <v>O</v>
      </c>
      <c r="D107" s="32" t="s">
        <v>381</v>
      </c>
      <c r="E107" s="32" t="s">
        <v>1752</v>
      </c>
      <c r="F107" s="32" t="s">
        <v>382</v>
      </c>
    </row>
    <row r="108" spans="2:6" ht="35.1" customHeight="1" thickBot="1" x14ac:dyDescent="0.35">
      <c r="B108" s="89"/>
      <c r="C108" s="26" t="str">
        <f>IF(EXACT(SUBSTITUTE(D108," ",""),SUBSTITUTE(E108," ","")),"O","X")</f>
        <v>X</v>
      </c>
      <c r="D108" s="32" t="s">
        <v>385</v>
      </c>
      <c r="E108" s="32"/>
      <c r="F108" s="32" t="s">
        <v>386</v>
      </c>
    </row>
    <row r="109" spans="2:6" ht="35.1" hidden="1" customHeight="1" thickBot="1" x14ac:dyDescent="0.35">
      <c r="B109" s="61"/>
      <c r="C109" s="26" t="str">
        <f>IF(EXACT(SUBSTITUTE(D109," ",""),SUBSTITUTE(E109," ","")),"O","X")</f>
        <v>O</v>
      </c>
      <c r="D109" s="32" t="s">
        <v>343</v>
      </c>
      <c r="E109" s="32" t="s">
        <v>1109</v>
      </c>
      <c r="F109" s="32" t="s">
        <v>344</v>
      </c>
    </row>
    <row r="110" spans="2:6" ht="30.75" hidden="1" thickBot="1" x14ac:dyDescent="0.35">
      <c r="B110" s="61"/>
      <c r="C110" s="26" t="str">
        <f>IF(EXACT(SUBSTITUTE(D110," ",""),SUBSTITUTE(E110," ","")),"O","X")</f>
        <v>O</v>
      </c>
      <c r="D110" s="32" t="s">
        <v>569</v>
      </c>
      <c r="E110" s="32" t="s">
        <v>760</v>
      </c>
      <c r="F110" s="32" t="s">
        <v>570</v>
      </c>
    </row>
    <row r="111" spans="2:6" ht="35.1" hidden="1" customHeight="1" thickBot="1" x14ac:dyDescent="0.35">
      <c r="B111" s="80"/>
      <c r="C111" s="26" t="str">
        <f>IF(EXACT(SUBSTITUTE(LOWER(D111)," ",""),SUBSTITUTE(LOWER(E111)," ","")),"O","X")</f>
        <v>O</v>
      </c>
      <c r="D111" s="12" t="s">
        <v>959</v>
      </c>
      <c r="E111" s="12" t="s">
        <v>959</v>
      </c>
      <c r="F111" s="11" t="s">
        <v>1371</v>
      </c>
    </row>
    <row r="112" spans="2:6" ht="35.1" hidden="1" customHeight="1" thickBot="1" x14ac:dyDescent="0.35">
      <c r="B112" s="61"/>
      <c r="C112" s="26" t="str">
        <f>IF(EXACT(SUBSTITUTE(D112," ",""),SUBSTITUTE(E112," ","")),"O","X")</f>
        <v>O</v>
      </c>
      <c r="D112" s="32" t="s">
        <v>184</v>
      </c>
      <c r="E112" s="88" t="s">
        <v>1188</v>
      </c>
      <c r="F112" s="32" t="s">
        <v>185</v>
      </c>
    </row>
    <row r="113" spans="2:6" ht="35.1" customHeight="1" thickBot="1" x14ac:dyDescent="0.35">
      <c r="B113" s="89"/>
      <c r="C113" s="26" t="str">
        <f>IF(EXACT(SUBSTITUTE(D113," ",""),SUBSTITUTE(E113," ","")),"O","X")</f>
        <v>X</v>
      </c>
      <c r="D113" s="32" t="s">
        <v>283</v>
      </c>
      <c r="E113" s="32" t="s">
        <v>1091</v>
      </c>
      <c r="F113" s="32" t="s">
        <v>284</v>
      </c>
    </row>
    <row r="114" spans="2:6" ht="35.1" hidden="1" customHeight="1" thickBot="1" x14ac:dyDescent="0.35">
      <c r="B114" s="61"/>
      <c r="C114" s="26" t="str">
        <f>IF(EXACT(SUBSTITUTE(D114," ",""),SUBSTITUTE(E114," ","")),"O","X")</f>
        <v>O</v>
      </c>
      <c r="D114" s="32" t="s">
        <v>399</v>
      </c>
      <c r="E114" s="32" t="s">
        <v>1135</v>
      </c>
      <c r="F114" s="32" t="s">
        <v>400</v>
      </c>
    </row>
    <row r="115" spans="2:6" ht="35.1" hidden="1" customHeight="1" thickBot="1" x14ac:dyDescent="0.35">
      <c r="B115" s="61"/>
      <c r="C115" s="26" t="str">
        <f>IF(EXACT(SUBSTITUTE(D115," ",""),SUBSTITUTE(E115," ","")),"O","X")</f>
        <v>O</v>
      </c>
      <c r="D115" s="32" t="s">
        <v>301</v>
      </c>
      <c r="E115" s="32" t="s">
        <v>1093</v>
      </c>
      <c r="F115" s="32" t="s">
        <v>302</v>
      </c>
    </row>
    <row r="116" spans="2:6" ht="35.1" hidden="1" customHeight="1" thickBot="1" x14ac:dyDescent="0.35">
      <c r="B116" s="63"/>
      <c r="C116" s="26" t="str">
        <f>IF(EXACT(SUBSTITUTE(D116," ",""),SUBSTITUTE(E116," ","")),"O","X")</f>
        <v>O</v>
      </c>
      <c r="D116" s="5" t="s">
        <v>15</v>
      </c>
      <c r="E116" s="5" t="s">
        <v>15</v>
      </c>
      <c r="F116" s="27" t="s">
        <v>86</v>
      </c>
    </row>
    <row r="117" spans="2:6" ht="35.1" customHeight="1" thickBot="1" x14ac:dyDescent="0.35">
      <c r="B117" s="89"/>
      <c r="C117" s="26" t="str">
        <f>IF(EXACT(SUBSTITUTE(D117," ",""),SUBSTITUTE(E117," ","")),"O","X")</f>
        <v>X</v>
      </c>
      <c r="D117" s="32" t="s">
        <v>189</v>
      </c>
      <c r="E117" s="32"/>
      <c r="F117" s="32" t="s">
        <v>190</v>
      </c>
    </row>
    <row r="118" spans="2:6" ht="35.1" hidden="1" customHeight="1" thickBot="1" x14ac:dyDescent="0.35">
      <c r="B118" s="64"/>
      <c r="C118" s="26" t="str">
        <f>IF(AND(ISNUMBER(SEARCH("연관",SUBSTITUTE(E118," ",""))),ISNUMBER(SEARCH("집합",SUBSTITUTE(E118," ",""))),ISNUMBER(SEARCH("일반화",SUBSTITUTE(E118," ",""))),ISNUMBER(SEARCH("의존",SUBSTITUTE(E118," ",""))),ISNUMBER(SEARCH("실체화",SUBSTITUTE(E118," ",""))),ISNUMBER(SEARCH("포함",SUBSTITUTE(E118," ","")))),"O","X")</f>
        <v>O</v>
      </c>
      <c r="D118" s="11" t="s">
        <v>619</v>
      </c>
      <c r="E118" s="11" t="s">
        <v>735</v>
      </c>
      <c r="F118" s="11" t="s">
        <v>618</v>
      </c>
    </row>
    <row r="119" spans="2:6" ht="35.1" customHeight="1" thickBot="1" x14ac:dyDescent="0.35">
      <c r="B119" s="89"/>
      <c r="C119" s="26" t="str">
        <f>IF(EXACT(SUBSTITUTE(D119," ",""),SUBSTITUTE(E119," ","")),"O","X")</f>
        <v>X</v>
      </c>
      <c r="D119" s="32" t="s">
        <v>299</v>
      </c>
      <c r="E119" s="32" t="s">
        <v>1860</v>
      </c>
      <c r="F119" s="32" t="s">
        <v>300</v>
      </c>
    </row>
    <row r="120" spans="2:6" ht="35.1" hidden="1" customHeight="1" thickBot="1" x14ac:dyDescent="0.35">
      <c r="B120" s="75"/>
      <c r="C120" s="26" t="str">
        <f>IF(OR(ISNUMBER(SEARCH("WDM",SUBSTITUTE(UPPER(E120)," ",""))),ISNUMBER(SEARCH("파장분할다중화",SUBSTITUTE(E120," ","")))),"O","X")</f>
        <v>O</v>
      </c>
      <c r="D120" s="42" t="s">
        <v>1059</v>
      </c>
      <c r="E120" s="42" t="s">
        <v>1833</v>
      </c>
      <c r="F120" s="32" t="s">
        <v>1494</v>
      </c>
    </row>
    <row r="121" spans="2:6" ht="35.1" hidden="1" customHeight="1" thickBot="1" x14ac:dyDescent="0.35">
      <c r="B121" s="65"/>
      <c r="C121" s="26" t="str">
        <f>IF(EXACT(SUBSTITUTE(LOWER(D121)," ",""),SUBSTITUTE(LOWER(E121)," ","")),"O","X")</f>
        <v>O</v>
      </c>
      <c r="D121" s="12" t="s">
        <v>866</v>
      </c>
      <c r="E121" s="12" t="s">
        <v>1425</v>
      </c>
      <c r="F121" s="11" t="s">
        <v>1389</v>
      </c>
    </row>
    <row r="122" spans="2:6" ht="35.1" hidden="1" customHeight="1" thickBot="1" x14ac:dyDescent="0.35">
      <c r="B122" s="61"/>
      <c r="C122" s="26" t="str">
        <f>IF(EXACT(SUBSTITUTE(D122," ",""),SUBSTITUTE(E122," ","")),"O","X")</f>
        <v>O</v>
      </c>
      <c r="D122" s="32" t="s">
        <v>431</v>
      </c>
      <c r="E122" s="32" t="s">
        <v>1150</v>
      </c>
      <c r="F122" s="32" t="s">
        <v>432</v>
      </c>
    </row>
    <row r="123" spans="2:6" ht="35.1" hidden="1" customHeight="1" thickBot="1" x14ac:dyDescent="0.35">
      <c r="B123" s="61"/>
      <c r="C123" s="26" t="str">
        <f>IF(EXACT(SUBSTITUTE(D123," ",""),SUBSTITUTE(E123," ","")),"O","X")</f>
        <v>O</v>
      </c>
      <c r="D123" s="32" t="s">
        <v>238</v>
      </c>
      <c r="E123" s="32" t="s">
        <v>1238</v>
      </c>
      <c r="F123" s="32" t="s">
        <v>239</v>
      </c>
    </row>
    <row r="124" spans="2:6" ht="35.1" hidden="1" customHeight="1" thickBot="1" x14ac:dyDescent="0.35">
      <c r="B124" s="63"/>
      <c r="C124" s="26" t="str">
        <f>IF(EXACT(SUBSTITUTE(D124," ",""),SUBSTITUTE(E124," ","")),"O","X")</f>
        <v>O</v>
      </c>
      <c r="D124" s="27" t="s">
        <v>782</v>
      </c>
      <c r="E124" s="27" t="s">
        <v>1715</v>
      </c>
      <c r="F124" s="11" t="s">
        <v>1684</v>
      </c>
    </row>
    <row r="125" spans="2:6" ht="35.1" customHeight="1" thickBot="1" x14ac:dyDescent="0.35">
      <c r="B125" s="90"/>
      <c r="C125" s="26" t="str">
        <f>IF(EXACT(SUBSTITUTE(D125," ",""),SUBSTITUTE(E125," ","")),"O","X")</f>
        <v>X</v>
      </c>
      <c r="D125" s="11" t="s">
        <v>645</v>
      </c>
      <c r="E125" s="11" t="s">
        <v>1806</v>
      </c>
      <c r="F125" s="11" t="s">
        <v>650</v>
      </c>
    </row>
    <row r="126" spans="2:6" ht="35.1" hidden="1" customHeight="1" thickBot="1" x14ac:dyDescent="0.35">
      <c r="B126" s="26"/>
      <c r="C126" s="26" t="str">
        <f>IF(OR(ISNUMBER(SEARCH("기능점수",SUBSTITUTE(E126," ",""))),ISNUMBER(SEARCH("FP",SUBSTITUTE(E126," ","")))),"O","X")</f>
        <v>O</v>
      </c>
      <c r="D126" s="11" t="s">
        <v>660</v>
      </c>
      <c r="E126" s="11" t="s">
        <v>1807</v>
      </c>
      <c r="F126" s="11" t="s">
        <v>713</v>
      </c>
    </row>
    <row r="127" spans="2:6" ht="35.1" hidden="1" customHeight="1" thickBot="1" x14ac:dyDescent="0.35">
      <c r="B127" s="26"/>
      <c r="C127" s="26" t="str">
        <f>IF(EXACT(SUBSTITUTE(D127," ",""),SUBSTITUTE(E127," ","")),"O","X")</f>
        <v>O</v>
      </c>
      <c r="D127" s="11" t="s">
        <v>610</v>
      </c>
      <c r="E127" s="11" t="s">
        <v>730</v>
      </c>
      <c r="F127" s="11" t="s">
        <v>615</v>
      </c>
    </row>
    <row r="128" spans="2:6" ht="35.1" hidden="1" customHeight="1" thickBot="1" x14ac:dyDescent="0.35">
      <c r="B128" s="61"/>
      <c r="C128" s="26" t="str">
        <f>IF(EXACT(SUBSTITUTE(D128," ",""),SUBSTITUTE(E128," ","")),"O","X")</f>
        <v>O</v>
      </c>
      <c r="D128" s="32" t="s">
        <v>240</v>
      </c>
      <c r="E128" s="32" t="s">
        <v>1239</v>
      </c>
      <c r="F128" s="32" t="s">
        <v>241</v>
      </c>
    </row>
    <row r="129" spans="2:6" ht="35.1" customHeight="1" thickBot="1" x14ac:dyDescent="0.35">
      <c r="B129" s="90"/>
      <c r="C129" s="26" t="str">
        <f>IF(ISNUMBER(SEARCH("중간형",SUBSTITUTE(E129," ",""))),"O","X")</f>
        <v>X</v>
      </c>
      <c r="D129" s="11" t="s">
        <v>654</v>
      </c>
      <c r="E129" s="11"/>
      <c r="F129" s="12" t="s">
        <v>691</v>
      </c>
    </row>
    <row r="130" spans="2:6" ht="35.1" hidden="1" customHeight="1" thickBot="1" x14ac:dyDescent="0.35">
      <c r="B130" s="65"/>
      <c r="C130" s="26" t="str">
        <f>IF(AND(ISNUMBER(SEARCH("반입",SUBSTITUTE(E130," ",""))),ISNUMBER(SEARCH("배치",SUBSTITUTE(E130," ",""))),ISNUMBER(SEARCH("교체",SUBSTITUTE(E130," ","")))),"O","X")</f>
        <v>O</v>
      </c>
      <c r="D130" s="45" t="s">
        <v>869</v>
      </c>
      <c r="E130" s="45" t="s">
        <v>1861</v>
      </c>
      <c r="F130" s="11" t="s">
        <v>1390</v>
      </c>
    </row>
    <row r="131" spans="2:6" ht="35.1" customHeight="1" thickBot="1" x14ac:dyDescent="0.35">
      <c r="B131" s="89"/>
      <c r="C131" s="26" t="str">
        <f>IF(EXACT(SUBSTITUTE(D131," ",""),SUBSTITUTE(E131," ","")),"O","X")</f>
        <v>X</v>
      </c>
      <c r="D131" s="27" t="s">
        <v>777</v>
      </c>
      <c r="E131" s="27" t="s">
        <v>783</v>
      </c>
      <c r="F131" s="11" t="s">
        <v>1676</v>
      </c>
    </row>
    <row r="132" spans="2:6" ht="35.1" hidden="1" customHeight="1" thickBot="1" x14ac:dyDescent="0.35">
      <c r="B132" s="65"/>
      <c r="C132" s="26" t="str">
        <f>IF(OR(ISNUMBER(SEARCH("BIGDATA",SUBSTITUTE(UPPER(E132)," ",""))),ISNUMBER(SEARCH("빅데이터",SUBSTITUTE(E132," ","")))),"O","X")</f>
        <v>O</v>
      </c>
      <c r="D132" s="45" t="s">
        <v>1042</v>
      </c>
      <c r="E132" s="45" t="s">
        <v>1637</v>
      </c>
      <c r="F132" s="32" t="s">
        <v>1549</v>
      </c>
    </row>
    <row r="133" spans="2:6" ht="35.1" hidden="1" customHeight="1" thickBot="1" x14ac:dyDescent="0.35">
      <c r="B133" s="61"/>
      <c r="C133" s="26" t="str">
        <f>IF(EXACT(SUBSTITUTE(D133," ",""),SUBSTITUTE(E133," ","")),"O","X")</f>
        <v>O</v>
      </c>
      <c r="D133" s="32" t="s">
        <v>329</v>
      </c>
      <c r="E133" s="32" t="s">
        <v>1103</v>
      </c>
      <c r="F133" s="32" t="s">
        <v>330</v>
      </c>
    </row>
    <row r="134" spans="2:6" ht="35.1" hidden="1" customHeight="1" thickBot="1" x14ac:dyDescent="0.35">
      <c r="B134" s="76"/>
      <c r="C134" s="26" t="str">
        <f>IF(EXACT(SUBSTITUTE(D134," ",""),SUBSTITUTE(E134," ","")),"O","X")</f>
        <v>O</v>
      </c>
      <c r="D134" s="12" t="s">
        <v>1733</v>
      </c>
      <c r="E134" s="12" t="s">
        <v>1733</v>
      </c>
      <c r="F134" s="11" t="s">
        <v>1738</v>
      </c>
    </row>
    <row r="135" spans="2:6" ht="35.1" hidden="1" customHeight="1" thickBot="1" x14ac:dyDescent="0.35">
      <c r="B135" s="64"/>
      <c r="C135" s="26" t="str">
        <f>IF(OR(ISNUMBER(SEARCH("HA",SUBSTITUTE(UPPER(E135)," ",""))),ISNUMBER(SEARCH("고가용성",SUBSTITUTE(E135," ","")))),"O","X")</f>
        <v>O</v>
      </c>
      <c r="D135" s="45" t="s">
        <v>1036</v>
      </c>
      <c r="E135" s="45" t="s">
        <v>1654</v>
      </c>
      <c r="F135" s="32" t="s">
        <v>1542</v>
      </c>
    </row>
    <row r="136" spans="2:6" ht="35.1" hidden="1" customHeight="1" thickBot="1" x14ac:dyDescent="0.35">
      <c r="B136" s="64"/>
      <c r="C136" s="26" t="str">
        <f>IF(EXACT(SUBSTITUTE(D136," ",""),SUBSTITUTE(E136," ","")),"O","X")</f>
        <v>O</v>
      </c>
      <c r="D136" s="13" t="s">
        <v>586</v>
      </c>
      <c r="E136" s="13" t="s">
        <v>1763</v>
      </c>
      <c r="F136" s="17" t="s">
        <v>585</v>
      </c>
    </row>
    <row r="137" spans="2:6" ht="35.1" hidden="1" customHeight="1" thickBot="1" x14ac:dyDescent="0.35">
      <c r="B137" s="61"/>
      <c r="C137" s="26" t="str">
        <f>IF(OR(ISNUMBER(SEARCH(LOWER("데이터유출방지"),SUBSTITUTE(LOWER(E137)," ",""))),ISNUMBER(SEARCH(LOWER("DLP"),SUBSTITUTE(LOWER(E137)," ","")))),"O","X")</f>
        <v>O</v>
      </c>
      <c r="D137" s="32" t="s">
        <v>565</v>
      </c>
      <c r="E137" s="32" t="s">
        <v>1306</v>
      </c>
      <c r="F137" s="32" t="s">
        <v>566</v>
      </c>
    </row>
    <row r="138" spans="2:6" ht="35.1" hidden="1" customHeight="1" thickBot="1" x14ac:dyDescent="0.35">
      <c r="B138" s="61"/>
      <c r="C138" s="26" t="str">
        <f>IF(EXACT(SUBSTITUTE(D138," ",""),SUBSTITUTE(E138," ","")),"O","X")</f>
        <v>O</v>
      </c>
      <c r="D138" s="32" t="s">
        <v>560</v>
      </c>
      <c r="E138" s="32" t="s">
        <v>1276</v>
      </c>
      <c r="F138" s="32" t="s">
        <v>1283</v>
      </c>
    </row>
    <row r="139" spans="2:6" ht="30.75" hidden="1" thickBot="1" x14ac:dyDescent="0.35">
      <c r="B139" s="75"/>
      <c r="C139" s="26" t="str">
        <f>IF(ISNUMBER(SEARCH("폭주제어",SUBSTITUTE(UPPER(E139)," ",""))),"O","X")</f>
        <v>O</v>
      </c>
      <c r="D139" s="12" t="s">
        <v>983</v>
      </c>
      <c r="E139" s="12" t="s">
        <v>1821</v>
      </c>
      <c r="F139" s="11" t="s">
        <v>1522</v>
      </c>
    </row>
    <row r="140" spans="2:6" ht="35.1" customHeight="1" thickBot="1" x14ac:dyDescent="0.35">
      <c r="B140" s="90"/>
      <c r="C140" s="26" t="str">
        <f>IF(EXACT(SUBSTITUTE(LOWER(D140)," ",""),SUBSTITUTE(LOWER(E140)," ","")),"O","X")</f>
        <v>X</v>
      </c>
      <c r="D140" s="12" t="s">
        <v>967</v>
      </c>
      <c r="E140" s="12"/>
      <c r="F140" s="11" t="s">
        <v>966</v>
      </c>
    </row>
    <row r="141" spans="2:6" ht="35.1" hidden="1" customHeight="1" thickBot="1" x14ac:dyDescent="0.35">
      <c r="B141" s="61"/>
      <c r="C141" s="26" t="str">
        <f>IF(ISNUMBER(SEARCH("SOAP",SUBSTITUTE(E141," ",""))),"O","X")</f>
        <v>O</v>
      </c>
      <c r="D141" s="32" t="s">
        <v>764</v>
      </c>
      <c r="E141" s="32" t="s">
        <v>762</v>
      </c>
      <c r="F141" s="32" t="s">
        <v>1674</v>
      </c>
    </row>
    <row r="142" spans="2:6" ht="35.1" hidden="1" customHeight="1" thickBot="1" x14ac:dyDescent="0.35">
      <c r="B142" s="65"/>
      <c r="C142" s="26" t="str">
        <f>IF(EXACT(SUBSTITUTE(LOWER(D142)," ",""),SUBSTITUTE(LOWER(E142)," ","")),"O","X")</f>
        <v>O</v>
      </c>
      <c r="D142" s="12" t="s">
        <v>965</v>
      </c>
      <c r="E142" s="12" t="s">
        <v>1592</v>
      </c>
      <c r="F142" s="11" t="s">
        <v>964</v>
      </c>
    </row>
    <row r="143" spans="2:6" ht="35.1" hidden="1" customHeight="1" thickBot="1" x14ac:dyDescent="0.35">
      <c r="B143" s="61"/>
      <c r="C143" s="26" t="str">
        <f>IF(EXACT(SUBSTITUTE(D143," ",""),SUBSTITUTE(E143," ","")),"O","X")</f>
        <v>O</v>
      </c>
      <c r="D143" s="32" t="s">
        <v>383</v>
      </c>
      <c r="E143" s="32" t="s">
        <v>1127</v>
      </c>
      <c r="F143" s="32" t="s">
        <v>384</v>
      </c>
    </row>
    <row r="144" spans="2:6" ht="35.1" hidden="1" customHeight="1" thickBot="1" x14ac:dyDescent="0.35">
      <c r="B144" s="68"/>
      <c r="C144" s="26" t="str">
        <f>IF(EXACT(SUBSTITUTE(D144," ",""),SUBSTITUTE(E144," ","")),"O","X")</f>
        <v>O</v>
      </c>
      <c r="D144" s="27" t="s">
        <v>1701</v>
      </c>
      <c r="E144" s="27" t="s">
        <v>1701</v>
      </c>
      <c r="F144" s="11" t="s">
        <v>1702</v>
      </c>
    </row>
    <row r="145" spans="2:6" ht="35.1" customHeight="1" thickBot="1" x14ac:dyDescent="0.35">
      <c r="B145" s="89"/>
      <c r="C145" s="26" t="str">
        <f>IF(EXACT(SUBSTITUTE(D145," ",""),SUBSTITUTE(E145," ","")),"O","X")</f>
        <v>X</v>
      </c>
      <c r="D145" s="27" t="s">
        <v>784</v>
      </c>
      <c r="E145" s="27"/>
      <c r="F145" s="11" t="s">
        <v>1700</v>
      </c>
    </row>
    <row r="146" spans="2:6" ht="35.1" hidden="1" customHeight="1" thickBot="1" x14ac:dyDescent="0.35">
      <c r="B146" s="65"/>
      <c r="C146" s="26" t="str">
        <f>IF(EXACT(SUBSTITUTE(LOWER(D146)," ",""),SUBSTITUTE(LOWER(E146)," ","")),"O","X")</f>
        <v>O</v>
      </c>
      <c r="D146" s="12" t="s">
        <v>920</v>
      </c>
      <c r="E146" s="12" t="s">
        <v>1457</v>
      </c>
      <c r="F146" s="11" t="s">
        <v>1412</v>
      </c>
    </row>
    <row r="147" spans="2:6" ht="35.1" hidden="1" customHeight="1" thickBot="1" x14ac:dyDescent="0.35">
      <c r="B147" s="79"/>
      <c r="C147" s="26" t="str">
        <f>IF(ISNUMBER(SEARCH("sdn",SUBSTITUTE(LOWER(E147)," ",""))),"O","X")</f>
        <v>O</v>
      </c>
      <c r="D147" s="42" t="s">
        <v>1051</v>
      </c>
      <c r="E147" s="42" t="s">
        <v>1482</v>
      </c>
      <c r="F147" s="32" t="s">
        <v>1382</v>
      </c>
    </row>
    <row r="148" spans="2:6" ht="35.1" hidden="1" customHeight="1" thickBot="1" x14ac:dyDescent="0.35">
      <c r="B148" s="61"/>
      <c r="C148" s="26" t="str">
        <f>IF(ISNUMBER(SEARCH("웜",SUBSTITUTE(E148," ",""))),"O","X")</f>
        <v>O</v>
      </c>
      <c r="D148" s="32" t="s">
        <v>550</v>
      </c>
      <c r="E148" s="32" t="s">
        <v>1269</v>
      </c>
      <c r="F148" s="32" t="s">
        <v>551</v>
      </c>
    </row>
    <row r="149" spans="2:6" ht="35.1" customHeight="1" thickBot="1" x14ac:dyDescent="0.35">
      <c r="B149" s="89"/>
      <c r="C149" s="26" t="str">
        <f>IF(ISNUMBER(SEARCH("NAC",SUBSTITUTE(E149," ",""))),"O","X")</f>
        <v>X</v>
      </c>
      <c r="D149" s="32" t="s">
        <v>573</v>
      </c>
      <c r="E149" s="32" t="s">
        <v>1618</v>
      </c>
      <c r="F149" s="32" t="s">
        <v>571</v>
      </c>
    </row>
    <row r="150" spans="2:6" ht="35.1" hidden="1" customHeight="1" thickBot="1" x14ac:dyDescent="0.35">
      <c r="B150" s="77"/>
      <c r="C150" s="26" t="str">
        <f>IF(OR(ISNUMBER(SEARCH("NETWORKSLICING",SUBSTITUTE(UPPER(E150)," ",""))),ISNUMBER(SEARCH("네트워크슬라이싱",SUBSTITUTE(E150," ","")))),"O","X")</f>
        <v>O</v>
      </c>
      <c r="D150" s="45" t="s">
        <v>1021</v>
      </c>
      <c r="E150" s="45" t="s">
        <v>1652</v>
      </c>
      <c r="F150" s="32" t="s">
        <v>1491</v>
      </c>
    </row>
    <row r="151" spans="2:6" ht="35.1" hidden="1" customHeight="1" thickBot="1" x14ac:dyDescent="0.35">
      <c r="B151" s="61"/>
      <c r="C151" s="26" t="str">
        <f>IF(EXACT(SUBSTITUTE(D151," ",""),SUBSTITUTE(E151," ","")),"O","X")</f>
        <v>O</v>
      </c>
      <c r="D151" s="32" t="s">
        <v>542</v>
      </c>
      <c r="E151" s="32" t="s">
        <v>1304</v>
      </c>
      <c r="F151" s="32" t="s">
        <v>543</v>
      </c>
    </row>
    <row r="152" spans="2:6" ht="30.75" hidden="1" thickBot="1" x14ac:dyDescent="0.35">
      <c r="B152" s="65"/>
      <c r="C152" s="26" t="str">
        <f>IF(EXACT(SUBSTITUTE(LOWER(D152)," ",""),SUBSTITUTE(LOWER(E152)," ","")),"O","X")</f>
        <v>O</v>
      </c>
      <c r="D152" s="12">
        <v>802.2</v>
      </c>
      <c r="E152" s="12">
        <v>802.2</v>
      </c>
      <c r="F152" s="11" t="s">
        <v>1500</v>
      </c>
    </row>
    <row r="153" spans="2:6" ht="35.1" hidden="1" customHeight="1" thickBot="1" x14ac:dyDescent="0.35">
      <c r="B153" s="68"/>
      <c r="C153" s="26" t="str">
        <f>IF(EXACT(SUBSTITUTE(D153," ",""),SUBSTITUTE(E153," ","")),"O","X")</f>
        <v>O</v>
      </c>
      <c r="D153" s="32" t="s">
        <v>373</v>
      </c>
      <c r="E153" s="32" t="s">
        <v>1124</v>
      </c>
      <c r="F153" s="32" t="s">
        <v>374</v>
      </c>
    </row>
    <row r="154" spans="2:6" ht="35.1" hidden="1" customHeight="1" thickBot="1" x14ac:dyDescent="0.35">
      <c r="B154" s="61"/>
      <c r="C154" s="26" t="str">
        <f>IF(EXACT(SUBSTITUTE(D154," ",""),SUBSTITUTE(E154," ","")),"O","X")</f>
        <v>O</v>
      </c>
      <c r="D154" s="32" t="s">
        <v>140</v>
      </c>
      <c r="E154" s="32" t="s">
        <v>1220</v>
      </c>
      <c r="F154" s="32" t="s">
        <v>141</v>
      </c>
    </row>
    <row r="155" spans="2:6" ht="35.1" hidden="1" customHeight="1" thickBot="1" x14ac:dyDescent="0.35">
      <c r="B155" s="61"/>
      <c r="C155" s="26" t="str">
        <f>IF(EXACT(SUBSTITUTE(D155," ",""),SUBSTITUTE(E155," ","")),"O","X")</f>
        <v>O</v>
      </c>
      <c r="D155" s="32" t="s">
        <v>199</v>
      </c>
      <c r="E155" s="32" t="s">
        <v>1194</v>
      </c>
      <c r="F155" s="32" t="s">
        <v>200</v>
      </c>
    </row>
    <row r="156" spans="2:6" ht="35.1" hidden="1" customHeight="1" thickBot="1" x14ac:dyDescent="0.35">
      <c r="B156" s="61"/>
      <c r="C156" s="26" t="str">
        <f>IF(EXACT(SUBSTITUTE(D156," ",""),SUBSTITUTE(E156," ","")),"O","X")</f>
        <v>O</v>
      </c>
      <c r="D156" s="32" t="s">
        <v>142</v>
      </c>
      <c r="E156" s="32" t="s">
        <v>1221</v>
      </c>
      <c r="F156" s="32" t="s">
        <v>143</v>
      </c>
    </row>
    <row r="157" spans="2:6" ht="35.1" hidden="1" customHeight="1" thickBot="1" x14ac:dyDescent="0.35">
      <c r="B157" s="65"/>
      <c r="C157" s="26" t="str">
        <f>IF(ISNUMBER(SEARCH("전송계층",SUBSTITUTE(UPPER(E157)," ",""))),"O","X")</f>
        <v>O</v>
      </c>
      <c r="D157" s="12" t="s">
        <v>930</v>
      </c>
      <c r="E157" s="12" t="s">
        <v>1816</v>
      </c>
      <c r="F157" s="39" t="s">
        <v>1346</v>
      </c>
    </row>
    <row r="158" spans="2:6" ht="35.1" hidden="1" customHeight="1" thickBot="1" x14ac:dyDescent="0.35">
      <c r="B158" s="62"/>
      <c r="C158" s="26" t="str">
        <f>IF(EXACT(SUBSTITUTE(D158," ",""),SUBSTITUTE(E158," ","")),"O","X")</f>
        <v>O</v>
      </c>
      <c r="D158" s="5" t="s">
        <v>35</v>
      </c>
      <c r="E158" s="27" t="s">
        <v>1762</v>
      </c>
      <c r="F158" s="27" t="s">
        <v>63</v>
      </c>
    </row>
    <row r="159" spans="2:6" ht="35.1" hidden="1" customHeight="1" thickBot="1" x14ac:dyDescent="0.35">
      <c r="B159" s="65"/>
      <c r="C159" s="26" t="str">
        <f>IF(OR(ISNUMBER(SEARCH("LOD",SUBSTITUTE(UPPER(E159)," ",""))),ISNUMBER(SEARCH("개방형링크드데이터",SUBSTITUTE(E159," ","")))),"O","X")</f>
        <v>O</v>
      </c>
      <c r="D159" s="42" t="s">
        <v>1060</v>
      </c>
      <c r="E159" s="42" t="s">
        <v>1590</v>
      </c>
      <c r="F159" s="32" t="s">
        <v>1496</v>
      </c>
    </row>
    <row r="160" spans="2:6" ht="35.1" hidden="1" customHeight="1" thickBot="1" x14ac:dyDescent="0.35">
      <c r="B160" s="63"/>
      <c r="C160" s="26" t="str">
        <f>IF(EXACT(SUBSTITUTE(D160," ",""),SUBSTITUTE(E160," ","")),"O","X")</f>
        <v>O</v>
      </c>
      <c r="D160" s="5" t="s">
        <v>820</v>
      </c>
      <c r="E160" s="5" t="s">
        <v>820</v>
      </c>
      <c r="F160" s="27" t="s">
        <v>813</v>
      </c>
    </row>
    <row r="161" spans="2:6" ht="35.1" hidden="1" customHeight="1" thickBot="1" x14ac:dyDescent="0.35">
      <c r="B161" s="63"/>
      <c r="C161" s="26" t="str">
        <f>IF(EXACT(SUBSTITUTE(D161," ",""),SUBSTITUTE(E161," ","")),"O","X")</f>
        <v>O</v>
      </c>
      <c r="D161" s="5" t="s">
        <v>822</v>
      </c>
      <c r="E161" s="5" t="s">
        <v>822</v>
      </c>
      <c r="F161" s="27" t="s">
        <v>811</v>
      </c>
    </row>
    <row r="162" spans="2:6" ht="35.1" hidden="1" customHeight="1" thickBot="1" x14ac:dyDescent="0.35">
      <c r="B162" s="61"/>
      <c r="C162" s="26" t="str">
        <f>IF(EXACT(SUBSTITUTE(D162," ",""),SUBSTITUTE(E162," ","")),"O","X")</f>
        <v>O</v>
      </c>
      <c r="D162" s="32" t="s">
        <v>176</v>
      </c>
      <c r="E162" s="32" t="s">
        <v>1184</v>
      </c>
      <c r="F162" s="32" t="s">
        <v>177</v>
      </c>
    </row>
    <row r="163" spans="2:6" ht="35.1" hidden="1" customHeight="1" thickBot="1" x14ac:dyDescent="0.35">
      <c r="B163" s="26"/>
      <c r="C163" s="26" t="str">
        <f>IF(OR(ISNUMBER(SEARCH("짝프로그래밍",SUBSTITUTE(E163," ",""))),ISNUMBER(SEARCH("PairProgramming",SUBSTITUTE(E163," ","")))),"O","X")</f>
        <v>O</v>
      </c>
      <c r="D163" s="11" t="s">
        <v>593</v>
      </c>
      <c r="E163" s="11" t="s">
        <v>724</v>
      </c>
      <c r="F163" s="12" t="s">
        <v>605</v>
      </c>
    </row>
    <row r="164" spans="2:6" ht="35.1" customHeight="1" thickBot="1" x14ac:dyDescent="0.35">
      <c r="B164" s="89"/>
      <c r="C164" s="26" t="str">
        <f>IF(EXACT(SUBSTITUTE(D164," ",""),SUBSTITUTE(E164," ","")),"O","X")</f>
        <v>X</v>
      </c>
      <c r="D164" s="31" t="s">
        <v>794</v>
      </c>
      <c r="E164" s="31" t="s">
        <v>1712</v>
      </c>
      <c r="F164" s="11" t="s">
        <v>1690</v>
      </c>
    </row>
    <row r="165" spans="2:6" ht="35.1" hidden="1" customHeight="1" thickBot="1" x14ac:dyDescent="0.35">
      <c r="B165" s="76"/>
      <c r="C165" s="26" t="str">
        <f>IF(EXACT(SUBSTITUTE(D165," ",""),SUBSTITUTE(E165," ","")),"O","X")</f>
        <v>O</v>
      </c>
      <c r="D165" s="5" t="s">
        <v>44</v>
      </c>
      <c r="E165" s="27" t="s">
        <v>1835</v>
      </c>
      <c r="F165" s="27" t="s">
        <v>73</v>
      </c>
    </row>
    <row r="166" spans="2:6" ht="35.1" hidden="1" customHeight="1" thickBot="1" x14ac:dyDescent="0.35">
      <c r="B166" s="65"/>
      <c r="C166" s="26" t="str">
        <f>IF(OR(ISNUMBER(SEARCH("BROADDATA",SUBSTITUTE(UPPER(E166)," ",""))),ISNUMBER(SEARCH("브로드데이터",SUBSTITUTE(E166," ","")))),"O","X")</f>
        <v>O</v>
      </c>
      <c r="D166" s="45" t="s">
        <v>1043</v>
      </c>
      <c r="E166" s="45" t="s">
        <v>1862</v>
      </c>
      <c r="F166" s="32" t="s">
        <v>1550</v>
      </c>
    </row>
    <row r="167" spans="2:6" ht="35.1" hidden="1" customHeight="1" thickBot="1" x14ac:dyDescent="0.35">
      <c r="B167" s="64"/>
      <c r="C167" s="26" t="str">
        <f>IF(EXACT(SUBSTITUTE(D167," ",""),SUBSTITUTE(E167," ","")),"O","X")</f>
        <v>O</v>
      </c>
      <c r="D167" s="11" t="s">
        <v>662</v>
      </c>
      <c r="E167" s="11" t="s">
        <v>746</v>
      </c>
      <c r="F167" s="11" t="s">
        <v>714</v>
      </c>
    </row>
    <row r="168" spans="2:6" ht="35.1" hidden="1" customHeight="1" thickBot="1" x14ac:dyDescent="0.35">
      <c r="B168" s="77"/>
      <c r="C168" s="26" t="str">
        <f>IF(ISNUMBER(SEARCH("OLAP",SUBSTITUTE(UPPER(E168)," ",""))),"O","X")</f>
        <v>O</v>
      </c>
      <c r="D168" s="45" t="s">
        <v>1079</v>
      </c>
      <c r="E168" s="45" t="s">
        <v>1766</v>
      </c>
      <c r="F168" s="32" t="s">
        <v>1578</v>
      </c>
    </row>
    <row r="169" spans="2:6" ht="35.1" hidden="1" customHeight="1" thickBot="1" x14ac:dyDescent="0.35">
      <c r="B169" s="59"/>
      <c r="C169" s="26" t="str">
        <f>IF(EXACT(SUBSTITUTE(D169," ",""),SUBSTITUTE(E169," ","")),"O","X")</f>
        <v>O</v>
      </c>
      <c r="D169" s="5" t="s">
        <v>29</v>
      </c>
      <c r="E169" s="5" t="s">
        <v>1863</v>
      </c>
      <c r="F169" s="27" t="s">
        <v>57</v>
      </c>
    </row>
    <row r="170" spans="2:6" ht="35.1" hidden="1" customHeight="1" thickBot="1" x14ac:dyDescent="0.35">
      <c r="B170" s="63"/>
      <c r="C170" s="26" t="str">
        <f>IF(EXACT(SUBSTITUTE(D170," ",""),SUBSTITUTE(E170," ","")),"O","X")</f>
        <v>O</v>
      </c>
      <c r="D170" s="5" t="s">
        <v>18</v>
      </c>
      <c r="E170" s="27" t="s">
        <v>102</v>
      </c>
      <c r="F170" s="27" t="s">
        <v>89</v>
      </c>
    </row>
    <row r="171" spans="2:6" ht="35.1" hidden="1" customHeight="1" thickBot="1" x14ac:dyDescent="0.35">
      <c r="B171" s="63"/>
      <c r="C171" s="26" t="str">
        <f>IF(EXACT(SUBSTITUTE(D171," ",""),SUBSTITUTE(E171," ","")),"O","X")</f>
        <v>O</v>
      </c>
      <c r="D171" s="27" t="s">
        <v>780</v>
      </c>
      <c r="E171" s="27" t="s">
        <v>1864</v>
      </c>
      <c r="F171" s="11" t="s">
        <v>1682</v>
      </c>
    </row>
    <row r="172" spans="2:6" ht="35.1" hidden="1" customHeight="1" thickBot="1" x14ac:dyDescent="0.35">
      <c r="B172" s="65"/>
      <c r="C172" s="26" t="str">
        <f>IF(ISNUMBER(SEARCH("HRN",SUBSTITUTE(UPPER(E172)," ",""))),"O","X")</f>
        <v>O</v>
      </c>
      <c r="D172" s="44" t="s">
        <v>915</v>
      </c>
      <c r="E172" s="44" t="s">
        <v>1454</v>
      </c>
      <c r="F172" s="39" t="s">
        <v>1409</v>
      </c>
    </row>
    <row r="173" spans="2:6" ht="35.1" hidden="1" customHeight="1" thickBot="1" x14ac:dyDescent="0.35">
      <c r="B173" s="65"/>
      <c r="C173" s="26" t="str">
        <f>IF(OR(ISNUMBER(SEARCH("DATAMINING",SUBSTITUTE(UPPER(E173)," ",""))),ISNUMBER(SEARCH("데이터마이닝",SUBSTITUTE(E173," ","")))),"O","X")</f>
        <v>O</v>
      </c>
      <c r="D173" s="45" t="s">
        <v>1050</v>
      </c>
      <c r="E173" s="45" t="s">
        <v>1643</v>
      </c>
      <c r="F173" s="32" t="s">
        <v>1557</v>
      </c>
    </row>
    <row r="174" spans="2:6" ht="35.1" hidden="1" customHeight="1" thickBot="1" x14ac:dyDescent="0.35">
      <c r="B174" s="61"/>
      <c r="C174" s="26" t="str">
        <f>IF(OR(ISNUMBER(SEARCH(LOWER("DOS"),SUBSTITUTE(LOWER(E174)," ",""))),ISNUMBER(SEARCH(LOWER("서비스거부"),SUBSTITUTE(LOWER(E174)," ","")))),"O","X")</f>
        <v>O</v>
      </c>
      <c r="D174" s="32" t="s">
        <v>507</v>
      </c>
      <c r="E174" s="32" t="s">
        <v>1291</v>
      </c>
      <c r="F174" s="32" t="s">
        <v>508</v>
      </c>
    </row>
    <row r="175" spans="2:6" ht="35.1" hidden="1" customHeight="1" thickBot="1" x14ac:dyDescent="0.35">
      <c r="B175" s="65"/>
      <c r="C175" s="26" t="str">
        <f>IF(EXACT(SUBSTITUTE(LOWER(D175)," ",""),SUBSTITUTE(LOWER(E175)," ","")),"O","X")</f>
        <v>O</v>
      </c>
      <c r="D175" s="45" t="s">
        <v>988</v>
      </c>
      <c r="E175" s="45" t="s">
        <v>1627</v>
      </c>
      <c r="F175" s="32" t="s">
        <v>1540</v>
      </c>
    </row>
    <row r="176" spans="2:6" ht="35.1" hidden="1" customHeight="1" thickBot="1" x14ac:dyDescent="0.35">
      <c r="B176" s="65"/>
      <c r="C176" s="26" t="str">
        <f>IF(OR(ISNUMBER(SEARCH("MAPREDUCE",SUBSTITUTE(UPPER(E176)," ",""))),ISNUMBER(SEARCH("맵리듀스",SUBSTITUTE(E176," ","")))),"O","X")</f>
        <v>O</v>
      </c>
      <c r="D176" s="45" t="s">
        <v>1047</v>
      </c>
      <c r="E176" s="45" t="s">
        <v>1865</v>
      </c>
      <c r="F176" s="32" t="s">
        <v>1554</v>
      </c>
    </row>
    <row r="177" spans="2:6" ht="35.1" hidden="1" customHeight="1" thickBot="1" x14ac:dyDescent="0.35">
      <c r="B177" s="68"/>
      <c r="C177" s="26" t="str">
        <f>IF(AND(ISNUMBER(SEARCH("스카우터",SUBSTITUTE(E177," ",""))),ISNUMBER(SEARCH("제니퍼",SUBSTITUTE(E177," ","")))),"O","X")</f>
        <v>O</v>
      </c>
      <c r="D177" s="27" t="s">
        <v>800</v>
      </c>
      <c r="E177" s="27" t="s">
        <v>1719</v>
      </c>
      <c r="F177" s="37" t="s">
        <v>799</v>
      </c>
    </row>
    <row r="178" spans="2:6" ht="35.1" hidden="1" customHeight="1" thickBot="1" x14ac:dyDescent="0.35">
      <c r="B178" s="76"/>
      <c r="C178" s="26" t="str">
        <f>IF(AND(ISNUMBER(SEARCH("EAI",SUBSTITUTE(E178," ",""))),ISNUMBER(SEARCH("ESB",SUBSTITUTE(E178," ",""))),ISNUMBER(SEARCH("웹서비스",SUBSTITUTE(E178," ","")))),"O","X")</f>
        <v>O</v>
      </c>
      <c r="D178" s="27" t="s">
        <v>776</v>
      </c>
      <c r="E178" s="27" t="s">
        <v>1866</v>
      </c>
      <c r="F178" s="11" t="s">
        <v>1697</v>
      </c>
    </row>
    <row r="179" spans="2:6" ht="35.1" hidden="1" customHeight="1" thickBot="1" x14ac:dyDescent="0.35">
      <c r="B179" s="61"/>
      <c r="C179" s="26" t="str">
        <f>IF(EXACT(LOWER(SUBSTITUTE(D179," ","")),LOWER(SUBSTITUTE(E179," ",""))),"O","X")</f>
        <v>O</v>
      </c>
      <c r="D179" s="32" t="s">
        <v>520</v>
      </c>
      <c r="E179" s="32" t="s">
        <v>1793</v>
      </c>
      <c r="F179" s="32" t="s">
        <v>521</v>
      </c>
    </row>
    <row r="180" spans="2:6" ht="35.1" hidden="1" customHeight="1" thickBot="1" x14ac:dyDescent="0.35">
      <c r="B180" s="77"/>
      <c r="C180" s="26" t="str">
        <f>IF(OR(ISNUMBER(SEARCH("프로토콜",SUBSTITUTE(E180," ",""))),ISNUMBER(SEARCH("protocol",SUBSTITUTE(LOWER(E180)," ","")))),"O","X")</f>
        <v>O</v>
      </c>
      <c r="D180" s="12" t="s">
        <v>934</v>
      </c>
      <c r="E180" s="12" t="s">
        <v>1466</v>
      </c>
      <c r="F180" s="39" t="s">
        <v>1350</v>
      </c>
    </row>
    <row r="181" spans="2:6" ht="35.1" customHeight="1" thickBot="1" x14ac:dyDescent="0.35">
      <c r="B181" s="89"/>
      <c r="C181" s="26" t="str">
        <f>IF(AND(ISNUMBER(SEARCH("개체",SUBSTITUTE(E181," ",""))),ISNUMBER(SEARCH("속성",SUBSTITUTE(E181," ",""))),ISNUMBER(SEARCH("관계",SUBSTITUTE(E181," ","")))),"O","X")</f>
        <v>X</v>
      </c>
      <c r="D181" s="32" t="s">
        <v>1176</v>
      </c>
      <c r="E181" s="32" t="s">
        <v>1829</v>
      </c>
      <c r="F181" s="32" t="s">
        <v>145</v>
      </c>
    </row>
    <row r="182" spans="2:6" ht="35.1" hidden="1" customHeight="1" thickBot="1" x14ac:dyDescent="0.35">
      <c r="B182" s="68"/>
      <c r="C182" s="26" t="str">
        <f>IF(EXACT(SUBSTITUTE(D182," ",""),SUBSTITUTE(E182," ","")),"O","X")</f>
        <v>O</v>
      </c>
      <c r="D182" s="32" t="s">
        <v>146</v>
      </c>
      <c r="E182" s="32" t="s">
        <v>1829</v>
      </c>
      <c r="F182" s="32" t="s">
        <v>147</v>
      </c>
    </row>
    <row r="183" spans="2:6" ht="35.1" customHeight="1" thickBot="1" x14ac:dyDescent="0.35">
      <c r="B183" s="89"/>
      <c r="C183" s="26" t="str">
        <f>IF(AND(ISNUMBER(SEARCH("구조",SUBSTITUTE(E183," ",""))),ISNUMBER(SEARCH("연산",SUBSTITUTE(E183," ",""))),ISNUMBER(SEARCH("제약조건",SUBSTITUTE(E183," ","")))),"O","X")</f>
        <v>X</v>
      </c>
      <c r="D183" s="32" t="s">
        <v>148</v>
      </c>
      <c r="E183" s="32" t="s">
        <v>1867</v>
      </c>
      <c r="F183" s="32" t="s">
        <v>149</v>
      </c>
    </row>
    <row r="184" spans="2:6" ht="35.1" customHeight="1" thickBot="1" x14ac:dyDescent="0.35">
      <c r="B184" s="89"/>
      <c r="C184" s="26" t="str">
        <f>IF(AND(ISNUMBER(SEARCH("tripwire",SUBSTITUTE(LOWER(E184)," ",""))),ISNUMBER(SEARCH("aide",SUBSTITUTE(LOWER(E184)," ",""))),ISNUMBER(SEARCH("fcheck",SUBSTITUTE(LOWER(E184)," ",""))),ISNUMBER(SEARCH("claymore",SUBSTITUTE(LOWER(E184)," ",""))),ISNUMBER(SEARCH("slipwire",SUBSTITUTE(LOWER(E184)," ","")))),"O","X")</f>
        <v>X</v>
      </c>
      <c r="D184" s="36" t="s">
        <v>788</v>
      </c>
      <c r="E184" s="36" t="s">
        <v>1843</v>
      </c>
      <c r="F184" s="27" t="s">
        <v>787</v>
      </c>
    </row>
    <row r="185" spans="2:6" ht="35.1" hidden="1" customHeight="1" thickBot="1" x14ac:dyDescent="0.35">
      <c r="B185" s="65"/>
      <c r="C185" s="26" t="str">
        <f>IF(OR(ISNUMBER(SEARCH("SDDC",SUBSTITUTE(UPPER(E185)," ",""))),ISNUMBER(SEARCH("소프트웨어정의데이터센터",SUBSTITUTE(E185," ","")))),"O","X")</f>
        <v>O</v>
      </c>
      <c r="D185" s="42" t="s">
        <v>1022</v>
      </c>
      <c r="E185" s="42" t="s">
        <v>1589</v>
      </c>
      <c r="F185" s="32" t="s">
        <v>1495</v>
      </c>
    </row>
    <row r="186" spans="2:6" ht="35.1" hidden="1" customHeight="1" thickBot="1" x14ac:dyDescent="0.35">
      <c r="B186" s="65"/>
      <c r="C186" s="26" t="str">
        <f>IF(EXACT(SUBSTITUTE(LOWER(D186)," ",""),SUBSTITUTE(LOWER(E186)," ","")),"O","X")</f>
        <v>O</v>
      </c>
      <c r="D186" s="12" t="s">
        <v>948</v>
      </c>
      <c r="E186" s="12" t="s">
        <v>948</v>
      </c>
      <c r="F186" s="11" t="s">
        <v>1361</v>
      </c>
    </row>
    <row r="187" spans="2:6" ht="35.1" hidden="1" customHeight="1" thickBot="1" x14ac:dyDescent="0.35">
      <c r="B187" s="65"/>
      <c r="C187" s="26" t="str">
        <f>IF(EXACT(SUBSTITUTE(LOWER(D187)," ",""),SUBSTITUTE(LOWER(E187)," ","")),"O","X")</f>
        <v>O</v>
      </c>
      <c r="D187" s="45" t="s">
        <v>962</v>
      </c>
      <c r="E187" s="45" t="s">
        <v>1587</v>
      </c>
      <c r="F187" s="32" t="s">
        <v>1493</v>
      </c>
    </row>
    <row r="188" spans="2:6" ht="35.1" hidden="1" customHeight="1" thickBot="1" x14ac:dyDescent="0.35">
      <c r="B188" s="62"/>
      <c r="C188" s="26" t="str">
        <f>IF(EXACT(SUBSTITUTE(D188," ",""),SUBSTITUTE(E188," ","")),"O","X")</f>
        <v>O</v>
      </c>
      <c r="D188" s="32" t="s">
        <v>219</v>
      </c>
      <c r="E188" s="32" t="s">
        <v>1754</v>
      </c>
      <c r="F188" s="32" t="s">
        <v>220</v>
      </c>
    </row>
    <row r="189" spans="2:6" ht="35.1" hidden="1" customHeight="1" thickBot="1" x14ac:dyDescent="0.35">
      <c r="B189" s="65"/>
      <c r="C189" s="26" t="str">
        <f>IF(OR(ISNUMBER(SEARCH("DATADIET",SUBSTITUTE(UPPER(E189)," ",""))),ISNUMBER(SEARCH("데이터다이어트",SUBSTITUTE(E189," ","")))),"O","X")</f>
        <v>O</v>
      </c>
      <c r="D189" s="45" t="s">
        <v>1049</v>
      </c>
      <c r="E189" s="45" t="s">
        <v>1642</v>
      </c>
      <c r="F189" s="32" t="s">
        <v>1556</v>
      </c>
    </row>
    <row r="190" spans="2:6" ht="35.1" hidden="1" customHeight="1" thickBot="1" x14ac:dyDescent="0.35">
      <c r="B190" s="61"/>
      <c r="C190" s="26" t="str">
        <f>IF(EXACT(LOWER(SUBSTITUTE(D190," ","")),LOWER(SUBSTITUTE(E190," ",""))),"O","X")</f>
        <v>O</v>
      </c>
      <c r="D190" s="32" t="s">
        <v>490</v>
      </c>
      <c r="E190" s="32" t="s">
        <v>1253</v>
      </c>
      <c r="F190" s="32" t="s">
        <v>491</v>
      </c>
    </row>
    <row r="191" spans="2:6" ht="35.1" hidden="1" customHeight="1" thickBot="1" x14ac:dyDescent="0.35">
      <c r="B191" s="62"/>
      <c r="C191" s="26" t="str">
        <f>IF(EXACT(SUBSTITUTE(D191," ",""),SUBSTITUTE(E191," ","")),"O","X")</f>
        <v>O</v>
      </c>
      <c r="D191" s="27" t="s">
        <v>1704</v>
      </c>
      <c r="E191" s="27" t="s">
        <v>1704</v>
      </c>
      <c r="F191" s="11" t="s">
        <v>1705</v>
      </c>
    </row>
    <row r="192" spans="2:6" ht="35.1" hidden="1" customHeight="1" thickBot="1" x14ac:dyDescent="0.35">
      <c r="B192" s="65"/>
      <c r="C192" s="26" t="str">
        <f>IF(OR(ISNUMBER(SEARCH("RECOVERY",SUBSTITUTE(UPPER(E192)," ",""))),ISNUMBER(SEARCH("회복",SUBSTITUTE(E192," ","")))),"O","X")</f>
        <v>O</v>
      </c>
      <c r="D192" s="12" t="s">
        <v>995</v>
      </c>
      <c r="E192" s="12" t="s">
        <v>1644</v>
      </c>
      <c r="F192" s="11" t="s">
        <v>1558</v>
      </c>
    </row>
    <row r="193" spans="2:6" ht="35.1" customHeight="1" thickBot="1" x14ac:dyDescent="0.35">
      <c r="B193" s="89"/>
      <c r="C193" s="26" t="str">
        <f>IF(EXACT(SUBSTITUTE(D193," ",""),SUBSTITUTE(E193," ","")),"O","X")</f>
        <v>X</v>
      </c>
      <c r="D193" s="32" t="s">
        <v>162</v>
      </c>
      <c r="E193" s="32" t="s">
        <v>1172</v>
      </c>
      <c r="F193" s="32" t="s">
        <v>163</v>
      </c>
    </row>
    <row r="194" spans="2:6" ht="35.1" hidden="1" customHeight="1" thickBot="1" x14ac:dyDescent="0.35">
      <c r="B194" s="68"/>
      <c r="C194" s="26" t="str">
        <f>IF(EXACT(SUBSTITUTE(D194," ",""),SUBSTITUTE(E194," ","")),"O","X")</f>
        <v>O</v>
      </c>
      <c r="D194" s="32" t="s">
        <v>1224</v>
      </c>
      <c r="E194" s="32" t="s">
        <v>1224</v>
      </c>
      <c r="F194" s="32" t="s">
        <v>135</v>
      </c>
    </row>
    <row r="195" spans="2:6" ht="35.1" hidden="1" customHeight="1" thickBot="1" x14ac:dyDescent="0.35">
      <c r="B195" s="64"/>
      <c r="C195" s="26" t="str">
        <f>IF(OR(ISNUMBER(SEARCH("SHADOWPAGING",SUBSTITUTE(UPPER(E195)," ",""))),ISNUMBER(SEARCH("그림자페이지대체기법",SUBSTITUTE(E195," ","")))),"O","X")</f>
        <v>O</v>
      </c>
      <c r="D195" s="44" t="s">
        <v>999</v>
      </c>
      <c r="E195" s="44" t="s">
        <v>1868</v>
      </c>
      <c r="F195" s="54" t="s">
        <v>1562</v>
      </c>
    </row>
    <row r="196" spans="2:6" ht="35.1" hidden="1" customHeight="1" thickBot="1" x14ac:dyDescent="0.35">
      <c r="B196" s="61"/>
      <c r="C196" s="26" t="str">
        <f>IF(EXACT(SUBSTITUTE(D196," ",""),SUBSTITUTE(E196," ","")),"O","X")</f>
        <v>O</v>
      </c>
      <c r="D196" s="32" t="s">
        <v>130</v>
      </c>
      <c r="E196" s="32" t="s">
        <v>1172</v>
      </c>
      <c r="F196" s="32" t="s">
        <v>131</v>
      </c>
    </row>
    <row r="197" spans="2:6" ht="35.1" hidden="1" customHeight="1" thickBot="1" x14ac:dyDescent="0.35">
      <c r="B197" s="61"/>
      <c r="C197" s="26" t="str">
        <f>IF(EXACT(SUBSTITUTE(D197," ",""),SUBSTITUTE(E197," ","")),"O","X")</f>
        <v>O</v>
      </c>
      <c r="D197" s="32" t="s">
        <v>133</v>
      </c>
      <c r="E197" s="32" t="s">
        <v>1173</v>
      </c>
      <c r="F197" s="32" t="s">
        <v>1215</v>
      </c>
    </row>
    <row r="198" spans="2:6" ht="35.1" hidden="1" customHeight="1" thickBot="1" x14ac:dyDescent="0.35">
      <c r="B198" s="61"/>
      <c r="C198" s="26" t="str">
        <f>IF(OR(ISNUMBER(SEARCH("임의접근통제",SUBSTITUTE(E198," ",""))),ISNUMBER(SEARCH("DAC",SUBSTITUTE(E198," ","")))),"O","X")</f>
        <v>O</v>
      </c>
      <c r="D198" s="32" t="s">
        <v>221</v>
      </c>
      <c r="E198" s="32" t="s">
        <v>1201</v>
      </c>
      <c r="F198" s="32" t="s">
        <v>222</v>
      </c>
    </row>
    <row r="199" spans="2:6" ht="35.1" hidden="1" customHeight="1" thickBot="1" x14ac:dyDescent="0.35">
      <c r="B199" s="61"/>
      <c r="C199" s="26" t="str">
        <f>IF(EXACT(SUBSTITUTE(D199," ",""),SUBSTITUTE(E199," ","")),"O","X")</f>
        <v>O</v>
      </c>
      <c r="D199" s="32" t="s">
        <v>281</v>
      </c>
      <c r="E199" s="32" t="s">
        <v>1083</v>
      </c>
      <c r="F199" s="32" t="s">
        <v>282</v>
      </c>
    </row>
    <row r="200" spans="2:6" ht="35.1" customHeight="1" thickBot="1" x14ac:dyDescent="0.35">
      <c r="B200" s="90"/>
      <c r="C200" s="26" t="str">
        <f>IF(EXACT(SUBSTITUTE(LOWER(D200)," ",""),SUBSTITUTE(LOWER(E200)," ","")),"O","X")</f>
        <v>X</v>
      </c>
      <c r="D200" s="12" t="s">
        <v>945</v>
      </c>
      <c r="E200" s="12" t="s">
        <v>953</v>
      </c>
      <c r="F200" s="39" t="s">
        <v>1358</v>
      </c>
    </row>
    <row r="201" spans="2:6" ht="35.1" customHeight="1" thickBot="1" x14ac:dyDescent="0.35">
      <c r="B201" s="90"/>
      <c r="C201" s="26" t="str">
        <f>IF(EXACT(SUBSTITUTE(LOWER(D201)," ",""),SUBSTITUTE(LOWER(E201)," ","")),"O","X")</f>
        <v>X</v>
      </c>
      <c r="D201" s="12">
        <v>802.6</v>
      </c>
      <c r="E201" s="12"/>
      <c r="F201" s="11" t="s">
        <v>1504</v>
      </c>
    </row>
    <row r="202" spans="2:6" ht="35.1" hidden="1" customHeight="1" thickBot="1" x14ac:dyDescent="0.35">
      <c r="B202" s="64"/>
      <c r="C202" s="26" t="str">
        <f>IF(ISNUMBER(SEARCH("병행제어",SUBSTITUTE(UPPER(E202)," ",""))),"O","X")</f>
        <v>O</v>
      </c>
      <c r="D202" s="12" t="s">
        <v>1002</v>
      </c>
      <c r="E202" s="12" t="s">
        <v>1869</v>
      </c>
      <c r="F202" s="39" t="s">
        <v>1563</v>
      </c>
    </row>
    <row r="203" spans="2:6" ht="35.1" hidden="1" customHeight="1" thickBot="1" x14ac:dyDescent="0.35">
      <c r="B203" s="68"/>
      <c r="C203" s="26" t="str">
        <f>IF(EXACT(SUBSTITUTE(D203," ",""),SUBSTITUTE(E203," ","")),"O","X")</f>
        <v>O</v>
      </c>
      <c r="D203" s="32" t="s">
        <v>461</v>
      </c>
      <c r="E203" s="32" t="s">
        <v>1750</v>
      </c>
      <c r="F203" s="32" t="s">
        <v>462</v>
      </c>
    </row>
    <row r="204" spans="2:6" ht="35.1" hidden="1" customHeight="1" thickBot="1" x14ac:dyDescent="0.35">
      <c r="B204" s="61"/>
      <c r="C204" s="26" t="str">
        <f>IF(EXACT(SUBSTITUTE(D204," ",""),SUBSTITUTE(E204," ","")),"O","X")</f>
        <v>O</v>
      </c>
      <c r="D204" s="32" t="s">
        <v>217</v>
      </c>
      <c r="E204" s="3" t="s">
        <v>1236</v>
      </c>
      <c r="F204" s="32" t="s">
        <v>218</v>
      </c>
    </row>
    <row r="205" spans="2:6" ht="35.1" hidden="1" customHeight="1" thickBot="1" x14ac:dyDescent="0.35">
      <c r="B205" s="68"/>
      <c r="C205" s="26" t="str">
        <f>IF(EXACT(SUBSTITUTE(D205," ",""),SUBSTITUTE(E205," ","")),"O","X")</f>
        <v>O</v>
      </c>
      <c r="D205" s="32" t="s">
        <v>359</v>
      </c>
      <c r="E205" s="32" t="s">
        <v>1117</v>
      </c>
      <c r="F205" s="32" t="s">
        <v>360</v>
      </c>
    </row>
    <row r="206" spans="2:6" ht="35.1" hidden="1" customHeight="1" thickBot="1" x14ac:dyDescent="0.35">
      <c r="B206" s="61"/>
      <c r="C206" s="26" t="str">
        <f>IF(EXACT(LOWER(SUBSTITUTE(D206," ","")),LOWER(SUBSTITUTE(E206," ",""))),"O","X")</f>
        <v>O</v>
      </c>
      <c r="D206" s="32" t="s">
        <v>496</v>
      </c>
      <c r="E206" s="32" t="s">
        <v>1280</v>
      </c>
      <c r="F206" s="32" t="s">
        <v>497</v>
      </c>
    </row>
    <row r="207" spans="2:6" ht="35.1" hidden="1" customHeight="1" thickBot="1" x14ac:dyDescent="0.35">
      <c r="B207" s="61"/>
      <c r="C207" s="26" t="str">
        <f>IF(EXACT(SUBSTITUTE(D207," ",""),SUBSTITUTE(E207," ","")),"O","X")</f>
        <v>O</v>
      </c>
      <c r="D207" s="32" t="s">
        <v>297</v>
      </c>
      <c r="E207" s="32" t="s">
        <v>1091</v>
      </c>
      <c r="F207" s="32" t="s">
        <v>298</v>
      </c>
    </row>
    <row r="208" spans="2:6" ht="35.1" hidden="1" customHeight="1" thickBot="1" x14ac:dyDescent="0.35">
      <c r="B208" s="68"/>
      <c r="C208" s="26" t="str">
        <f>IF(OR(ISNUMBER(SEARCH("WAS",SUBSTITUTE(E208," ",""))),ISNUMBER(SEARCH("웹애플리케이션서버",SUBSTITUTE(E208," ","")))),"O","X")</f>
        <v>O</v>
      </c>
      <c r="D208" s="5" t="s">
        <v>775</v>
      </c>
      <c r="E208" s="5" t="s">
        <v>1712</v>
      </c>
      <c r="F208" s="11" t="s">
        <v>1696</v>
      </c>
    </row>
    <row r="209" spans="2:6" ht="35.1" customHeight="1" thickBot="1" x14ac:dyDescent="0.35">
      <c r="B209" s="89"/>
      <c r="C209" s="26" t="str">
        <f>IF(EXACT(SUBSTITUTE(D209," ",""),SUBSTITUTE(E209," ","")),"O","X")</f>
        <v>X</v>
      </c>
      <c r="D209" s="32" t="s">
        <v>293</v>
      </c>
      <c r="E209" s="32" t="s">
        <v>1800</v>
      </c>
      <c r="F209" s="32" t="s">
        <v>294</v>
      </c>
    </row>
    <row r="210" spans="2:6" ht="35.1" hidden="1" customHeight="1" thickBot="1" x14ac:dyDescent="0.35">
      <c r="B210" s="65"/>
      <c r="C210" s="26" t="str">
        <f>IF(ISNUMBER(SEARCH("데이터링크계층",SUBSTITUTE(UPPER(E210)," ",""))),"O","X")</f>
        <v>O</v>
      </c>
      <c r="D210" s="12" t="s">
        <v>928</v>
      </c>
      <c r="E210" s="12" t="s">
        <v>1460</v>
      </c>
      <c r="F210" s="11" t="s">
        <v>1344</v>
      </c>
    </row>
    <row r="211" spans="2:6" ht="35.1" customHeight="1" thickBot="1" x14ac:dyDescent="0.35">
      <c r="B211" s="90"/>
      <c r="C211" s="26" t="str">
        <f>IF(OR(ISNUMBER(SEARCH("시간",SUBSTITUTE(E211," ",""))),ISNUMBER(SEARCH("timing",SUBSTITUTE(LOWER(E211)," ","")))),"O","X")</f>
        <v>X</v>
      </c>
      <c r="D211" s="12" t="s">
        <v>939</v>
      </c>
      <c r="E211" s="12" t="s">
        <v>1470</v>
      </c>
      <c r="F211" s="39" t="s">
        <v>1351</v>
      </c>
    </row>
    <row r="212" spans="2:6" ht="35.1" customHeight="1" thickBot="1" x14ac:dyDescent="0.35">
      <c r="B212" s="90"/>
      <c r="C212" s="26" t="str">
        <f>IF(OR(ISNUMBER(SEARCH("의미",SUBSTITUTE(E212," ",""))),ISNUMBER(SEARCH("semantics",SUBSTITUTE(LOWER(E212)," ","")))),"O","X")</f>
        <v>X</v>
      </c>
      <c r="D212" s="12" t="s">
        <v>938</v>
      </c>
      <c r="E212" s="12"/>
      <c r="F212" s="39" t="s">
        <v>1352</v>
      </c>
    </row>
    <row r="213" spans="2:6" ht="35.1" hidden="1" customHeight="1" thickBot="1" x14ac:dyDescent="0.35">
      <c r="B213" s="65"/>
      <c r="C213" s="26" t="str">
        <f>IF(EXACT(SUBSTITUTE(LOWER(D213)," ",""),SUBSTITUTE(LOWER(E213)," ","")),"O","X")</f>
        <v>O</v>
      </c>
      <c r="D213" s="12" t="s">
        <v>963</v>
      </c>
      <c r="E213" s="12" t="s">
        <v>1591</v>
      </c>
      <c r="F213" s="11" t="s">
        <v>1497</v>
      </c>
    </row>
    <row r="214" spans="2:6" ht="35.1" hidden="1" customHeight="1" thickBot="1" x14ac:dyDescent="0.35">
      <c r="B214" s="61"/>
      <c r="C214" s="26" t="str">
        <f>IF(EXACT(SUBSTITUTE(D214," ",""),SUBSTITUTE(E214," ","")),"O","X")</f>
        <v>O</v>
      </c>
      <c r="D214" s="32" t="s">
        <v>413</v>
      </c>
      <c r="E214" s="32" t="s">
        <v>1142</v>
      </c>
      <c r="F214" s="32" t="s">
        <v>414</v>
      </c>
    </row>
    <row r="215" spans="2:6" ht="35.1" hidden="1" customHeight="1" thickBot="1" x14ac:dyDescent="0.35">
      <c r="B215" s="64"/>
      <c r="C215" s="26" t="str">
        <f>IF(OR(ISNUMBER(SEARCH("DIGITALARCHIVING",SUBSTITUTE(UPPER(E215)," ",""))),ISNUMBER(SEARCH("디지털아카이빙",SUBSTITUTE(E215," ","")))),"O","X")</f>
        <v>O</v>
      </c>
      <c r="D215" s="45" t="s">
        <v>1045</v>
      </c>
      <c r="E215" s="45" t="s">
        <v>1657</v>
      </c>
      <c r="F215" s="32" t="s">
        <v>1552</v>
      </c>
    </row>
    <row r="216" spans="2:6" ht="35.1" hidden="1" customHeight="1" thickBot="1" x14ac:dyDescent="0.35">
      <c r="B216" s="62"/>
      <c r="C216" s="26" t="str">
        <f>IF(EXACT(SUBSTITUTE(D216," ",""),SUBSTITUTE(E216," ","")),"O","X")</f>
        <v>O</v>
      </c>
      <c r="D216" s="32" t="s">
        <v>317</v>
      </c>
      <c r="E216" s="32" t="s">
        <v>1771</v>
      </c>
      <c r="F216" s="32" t="s">
        <v>318</v>
      </c>
    </row>
    <row r="217" spans="2:6" ht="30.75" hidden="1" thickBot="1" x14ac:dyDescent="0.35">
      <c r="B217" s="61"/>
      <c r="C217" s="26" t="str">
        <f>IF(EXACT(SUBSTITUTE(D217," ",""),SUBSTITUTE(E217," ","")),"O","X")</f>
        <v>O</v>
      </c>
      <c r="D217" s="32" t="s">
        <v>195</v>
      </c>
      <c r="E217" s="32" t="s">
        <v>1192</v>
      </c>
      <c r="F217" s="32" t="s">
        <v>196</v>
      </c>
    </row>
    <row r="218" spans="2:6" ht="35.1" customHeight="1" thickBot="1" x14ac:dyDescent="0.35">
      <c r="B218" s="89"/>
      <c r="C218" s="26" t="str">
        <f>IF(ISNUMBER(SEARCH("ESM",SUBSTITUTE(E218," ",""))),"O","X")</f>
        <v>X</v>
      </c>
      <c r="D218" s="32" t="s">
        <v>574</v>
      </c>
      <c r="E218" s="32"/>
      <c r="F218" s="32" t="s">
        <v>572</v>
      </c>
    </row>
    <row r="219" spans="2:6" ht="35.1" hidden="1" customHeight="1" thickBot="1" x14ac:dyDescent="0.35">
      <c r="B219" s="65"/>
      <c r="C219" s="26" t="str">
        <f>IF(EXACT(SUBSTITUTE(LOWER(D219)," ",""),SUBSTITUTE(LOWER(E219)," ","")),"O","X")</f>
        <v>O</v>
      </c>
      <c r="D219" s="12" t="s">
        <v>864</v>
      </c>
      <c r="E219" s="12" t="s">
        <v>1423</v>
      </c>
      <c r="F219" s="11" t="s">
        <v>1387</v>
      </c>
    </row>
    <row r="220" spans="2:6" ht="35.1" hidden="1" customHeight="1" thickBot="1" x14ac:dyDescent="0.35">
      <c r="B220" s="61"/>
      <c r="C220" s="26" t="str">
        <f>IF(EXACT(SUBSTITUTE(D220," ",""),SUBSTITUTE(E220," ","")),"O","X")</f>
        <v>O</v>
      </c>
      <c r="D220" s="32" t="s">
        <v>1166</v>
      </c>
      <c r="E220" s="32" t="s">
        <v>1166</v>
      </c>
      <c r="F220" s="32" t="s">
        <v>473</v>
      </c>
    </row>
    <row r="221" spans="2:6" ht="35.1" hidden="1" customHeight="1" thickBot="1" x14ac:dyDescent="0.35">
      <c r="B221" s="61"/>
      <c r="C221" s="26" t="str">
        <f>IF(EXACT(SUBSTITUTE(D221," ",""),SUBSTITUTE(E221," ","")),"O","X")</f>
        <v>O</v>
      </c>
      <c r="D221" s="32" t="s">
        <v>160</v>
      </c>
      <c r="E221" s="32" t="s">
        <v>1177</v>
      </c>
      <c r="F221" s="32" t="s">
        <v>161</v>
      </c>
    </row>
    <row r="222" spans="2:6" ht="35.1" hidden="1" customHeight="1" thickBot="1" x14ac:dyDescent="0.35">
      <c r="B222" s="64"/>
      <c r="C222" s="26" t="str">
        <f>IF(OR(ISNUMBER(SEARCH("소규모릴리즈",SUBSTITUTE(E222," ",""))),ISNUMBER(SEARCH("SmallReleases",SUBSTITUTE(E222," ","")))),"O","X")</f>
        <v>O</v>
      </c>
      <c r="D222" s="11" t="s">
        <v>598</v>
      </c>
      <c r="E222" s="11" t="s">
        <v>757</v>
      </c>
      <c r="F222" s="12" t="s">
        <v>599</v>
      </c>
    </row>
    <row r="223" spans="2:6" ht="35.1" hidden="1" customHeight="1" thickBot="1" x14ac:dyDescent="0.35">
      <c r="B223" s="61"/>
      <c r="C223" s="26" t="str">
        <f>IF(EXACT(SUBSTITUTE(D223," ",""),SUBSTITUTE(E223," ","")),"O","X")</f>
        <v>O</v>
      </c>
      <c r="D223" s="32" t="s">
        <v>263</v>
      </c>
      <c r="E223" s="32" t="s">
        <v>1209</v>
      </c>
      <c r="F223" s="32" t="s">
        <v>264</v>
      </c>
    </row>
    <row r="224" spans="2:6" ht="35.1" hidden="1" customHeight="1" thickBot="1" x14ac:dyDescent="0.35">
      <c r="B224" s="65"/>
      <c r="C224" s="26" t="str">
        <f>IF(EXACT(SUBSTITUTE(LOWER(D224)," ",""),SUBSTITUTE(LOWER(E224)," ","")),"O","X")</f>
        <v>O</v>
      </c>
      <c r="D224" s="12" t="s">
        <v>943</v>
      </c>
      <c r="E224" s="12" t="s">
        <v>943</v>
      </c>
      <c r="F224" s="39" t="s">
        <v>1356</v>
      </c>
    </row>
    <row r="225" spans="2:6" ht="35.1" customHeight="1" thickBot="1" x14ac:dyDescent="0.35">
      <c r="B225" s="90"/>
      <c r="C225" s="26" t="str">
        <f>IF(OR(ISNUMBER(SEARCH("WAN",SUBSTITUTE(UPPER(E225)," ",""))),ISNUMBER(SEARCH("광대역통신망",SUBSTITUTE(E225," ","")))),"O","X")</f>
        <v>X</v>
      </c>
      <c r="D225" s="12" t="s">
        <v>969</v>
      </c>
      <c r="E225" s="12"/>
      <c r="F225" s="11" t="s">
        <v>970</v>
      </c>
    </row>
    <row r="226" spans="2:6" ht="35.1" hidden="1" customHeight="1" thickBot="1" x14ac:dyDescent="0.35">
      <c r="B226" s="79"/>
      <c r="C226" s="26" t="str">
        <f>IF(EXACT(SUBSTITUTE(LOWER(D226)," ",""),SUBSTITUTE(LOWER(E226)," ","")),"O","X")</f>
        <v>O</v>
      </c>
      <c r="D226" s="12" t="s">
        <v>952</v>
      </c>
      <c r="E226" s="12" t="s">
        <v>952</v>
      </c>
      <c r="F226" s="39" t="s">
        <v>1365</v>
      </c>
    </row>
    <row r="227" spans="2:6" ht="60.75" hidden="1" thickBot="1" x14ac:dyDescent="0.35">
      <c r="B227" s="65"/>
      <c r="C227" s="26" t="str">
        <f>IF(OR(ISNUMBER(SEARCH("MEMRISTER",SUBSTITUTE(UPPER(E227)," ",""))),ISNUMBER(SEARCH("멤리스터",SUBSTITUTE(E227," ","")))),"O","X")</f>
        <v>O</v>
      </c>
      <c r="D227" s="45" t="s">
        <v>1041</v>
      </c>
      <c r="E227" s="45" t="s">
        <v>1636</v>
      </c>
      <c r="F227" s="32" t="s">
        <v>1577</v>
      </c>
    </row>
    <row r="228" spans="2:6" ht="35.1" customHeight="1" thickBot="1" x14ac:dyDescent="0.35">
      <c r="B228" s="89"/>
      <c r="C228" s="26" t="str">
        <f>IF(EXACT(SUBSTITUTE(D228," ",""),SUBSTITUTE(E228," ","")),"O","X")</f>
        <v>X</v>
      </c>
      <c r="D228" s="32" t="s">
        <v>389</v>
      </c>
      <c r="E228" s="32" t="s">
        <v>942</v>
      </c>
      <c r="F228" s="32" t="s">
        <v>390</v>
      </c>
    </row>
    <row r="229" spans="2:6" ht="35.1" hidden="1" customHeight="1" thickBot="1" x14ac:dyDescent="0.35">
      <c r="B229" s="63"/>
      <c r="C229" s="26" t="str">
        <f>IF(EXACT(SUBSTITUTE(D229," ",""),SUBSTITUTE(E229," ","")),"O","X")</f>
        <v>O</v>
      </c>
      <c r="D229" s="5" t="s">
        <v>815</v>
      </c>
      <c r="E229" s="5" t="s">
        <v>815</v>
      </c>
      <c r="F229" s="27" t="s">
        <v>807</v>
      </c>
    </row>
    <row r="230" spans="2:6" ht="30.75" hidden="1" thickBot="1" x14ac:dyDescent="0.35">
      <c r="B230" s="61"/>
      <c r="C230" s="26" t="str">
        <f>IF(EXACT(SUBSTITUTE(D230," ",""),SUBSTITUTE(E230," ","")),"O","X")</f>
        <v>O</v>
      </c>
      <c r="D230" s="32" t="s">
        <v>377</v>
      </c>
      <c r="E230" s="32" t="s">
        <v>1126</v>
      </c>
      <c r="F230" s="32" t="s">
        <v>378</v>
      </c>
    </row>
    <row r="231" spans="2:6" ht="35.1" customHeight="1" thickBot="1" x14ac:dyDescent="0.35">
      <c r="B231" s="89"/>
      <c r="C231" s="26" t="str">
        <f>IF(EXACT(SUBSTITUTE(D231," ",""),SUBSTITUTE(E231," ","")),"O","X")</f>
        <v>X</v>
      </c>
      <c r="D231" s="32" t="s">
        <v>339</v>
      </c>
      <c r="E231" s="32" t="s">
        <v>1114</v>
      </c>
      <c r="F231" s="32" t="s">
        <v>340</v>
      </c>
    </row>
    <row r="232" spans="2:6" ht="35.1" hidden="1" customHeight="1" thickBot="1" x14ac:dyDescent="0.35">
      <c r="B232" s="61"/>
      <c r="C232" s="26" t="str">
        <f>IF(EXACT(SUBSTITUTE(D232," ",""),SUBSTITUTE(E232," ","")),"O","X")</f>
        <v>O</v>
      </c>
      <c r="D232" s="32" t="s">
        <v>411</v>
      </c>
      <c r="E232" s="32" t="s">
        <v>1784</v>
      </c>
      <c r="F232" s="32" t="s">
        <v>412</v>
      </c>
    </row>
    <row r="233" spans="2:6" ht="35.1" hidden="1" customHeight="1" thickBot="1" x14ac:dyDescent="0.35">
      <c r="B233" s="61"/>
      <c r="C233" s="26" t="str">
        <f>IF(EXACT(SUBSTITUTE(D233," ",""),SUBSTITUTE(E233," ","")),"O","X")</f>
        <v>O</v>
      </c>
      <c r="D233" s="32" t="s">
        <v>351</v>
      </c>
      <c r="E233" s="32" t="s">
        <v>1113</v>
      </c>
      <c r="F233" s="32" t="s">
        <v>352</v>
      </c>
    </row>
    <row r="234" spans="2:6" ht="35.1" hidden="1" customHeight="1" thickBot="1" x14ac:dyDescent="0.35">
      <c r="B234" s="61"/>
      <c r="C234" s="26" t="str">
        <f>IF(EXACT(SUBSTITUTE(D234," ",""),SUBSTITUTE(E234," ","")),"O","X")</f>
        <v>O</v>
      </c>
      <c r="D234" s="32" t="s">
        <v>349</v>
      </c>
      <c r="E234" s="32" t="s">
        <v>1112</v>
      </c>
      <c r="F234" s="32" t="s">
        <v>350</v>
      </c>
    </row>
    <row r="235" spans="2:6" ht="35.1" hidden="1" customHeight="1" thickBot="1" x14ac:dyDescent="0.35">
      <c r="B235" s="68"/>
      <c r="C235" s="26" t="str">
        <f>IF(EXACT(SUBSTITUTE(D235," ",""),SUBSTITUTE(E235," ","")),"O","X")</f>
        <v>O</v>
      </c>
      <c r="D235" s="32" t="s">
        <v>357</v>
      </c>
      <c r="E235" s="32" t="s">
        <v>1115</v>
      </c>
      <c r="F235" s="32" t="s">
        <v>358</v>
      </c>
    </row>
    <row r="236" spans="2:6" ht="35.1" customHeight="1" thickBot="1" x14ac:dyDescent="0.35">
      <c r="B236" s="89"/>
      <c r="C236" s="26" t="str">
        <f>IF(EXACT(SUBSTITUTE(D236," ",""),SUBSTITUTE(E236," ","")),"O","X")</f>
        <v>X</v>
      </c>
      <c r="D236" s="32" t="s">
        <v>367</v>
      </c>
      <c r="E236" s="32" t="s">
        <v>1120</v>
      </c>
      <c r="F236" s="32" t="s">
        <v>368</v>
      </c>
    </row>
    <row r="237" spans="2:6" ht="35.1" hidden="1" customHeight="1" thickBot="1" x14ac:dyDescent="0.35">
      <c r="B237" s="68"/>
      <c r="C237" s="26" t="str">
        <f>IF(EXACT(SUBSTITUTE(D237," ",""),SUBSTITUTE(E237," ","")),"O","X")</f>
        <v>O</v>
      </c>
      <c r="D237" s="32" t="s">
        <v>355</v>
      </c>
      <c r="E237" s="32" t="s">
        <v>1116</v>
      </c>
      <c r="F237" s="32" t="s">
        <v>356</v>
      </c>
    </row>
    <row r="238" spans="2:6" ht="35.1" hidden="1" customHeight="1" thickBot="1" x14ac:dyDescent="0.35">
      <c r="B238" s="26"/>
      <c r="C238" s="26" t="str">
        <f>IF(OR(ISNUMBER(SEARCH("계속적인통합",SUBSTITUTE(E238," ",""))),ISNUMBER(SEARCH("ContinuousIntegraion",SUBSTITUTE(E238," ","")))),"O","X")</f>
        <v>O</v>
      </c>
      <c r="D238" s="13" t="s">
        <v>596</v>
      </c>
      <c r="E238" s="13" t="s">
        <v>754</v>
      </c>
      <c r="F238" s="11" t="s">
        <v>601</v>
      </c>
    </row>
    <row r="239" spans="2:6" ht="35.1" customHeight="1" thickBot="1" x14ac:dyDescent="0.35">
      <c r="B239" s="89"/>
      <c r="C239" s="26" t="str">
        <f>IF(EXACT(SUBSTITUTE(D239," ",""),SUBSTITUTE(E239," ","")),"O","X")</f>
        <v>X</v>
      </c>
      <c r="D239" s="5" t="s">
        <v>30</v>
      </c>
      <c r="E239" s="5" t="s">
        <v>1761</v>
      </c>
      <c r="F239" s="27" t="s">
        <v>58</v>
      </c>
    </row>
    <row r="240" spans="2:6" ht="35.1" hidden="1" customHeight="1" thickBot="1" x14ac:dyDescent="0.35">
      <c r="B240" s="76"/>
      <c r="C240" s="26" t="str">
        <f>IF(EXACT(SUBSTITUTE(D240," ",""),SUBSTITUTE(E240," ","")),"O","X")</f>
        <v>O</v>
      </c>
      <c r="D240" s="11" t="s">
        <v>823</v>
      </c>
      <c r="E240" s="11" t="s">
        <v>1740</v>
      </c>
      <c r="F240" s="11" t="s">
        <v>1725</v>
      </c>
    </row>
    <row r="241" spans="2:6" ht="35.1" hidden="1" customHeight="1" thickBot="1" x14ac:dyDescent="0.35">
      <c r="B241" s="61"/>
      <c r="C241" s="26" t="str">
        <f>IF(EXACT(SUBSTITUTE(D241," ",""),SUBSTITUTE(E241," ","")),"O","X")</f>
        <v>O</v>
      </c>
      <c r="D241" s="32" t="s">
        <v>353</v>
      </c>
      <c r="E241" s="32" t="s">
        <v>1114</v>
      </c>
      <c r="F241" s="32" t="s">
        <v>354</v>
      </c>
    </row>
    <row r="242" spans="2:6" ht="35.1" hidden="1" customHeight="1" thickBot="1" x14ac:dyDescent="0.35">
      <c r="B242" s="61"/>
      <c r="C242" s="26" t="str">
        <f>IF(EXACT(SUBSTITUTE(D242," ",""),SUBSTITUTE(E242," ","")),"O","X")</f>
        <v>O</v>
      </c>
      <c r="D242" s="32" t="s">
        <v>361</v>
      </c>
      <c r="E242" s="32" t="s">
        <v>1118</v>
      </c>
      <c r="F242" s="32" t="s">
        <v>362</v>
      </c>
    </row>
    <row r="243" spans="2:6" ht="35.1" customHeight="1" thickBot="1" x14ac:dyDescent="0.35">
      <c r="B243" s="89"/>
      <c r="C243" s="26" t="str">
        <f>IF(EXACT(SUBSTITUTE(D243," ",""),SUBSTITUTE(E243," ","")),"O","X")</f>
        <v>X</v>
      </c>
      <c r="D243" s="32" t="s">
        <v>391</v>
      </c>
      <c r="E243" s="32" t="s">
        <v>1758</v>
      </c>
      <c r="F243" s="32" t="s">
        <v>392</v>
      </c>
    </row>
    <row r="244" spans="2:6" ht="35.1" hidden="1" customHeight="1" thickBot="1" x14ac:dyDescent="0.35">
      <c r="B244" s="76"/>
      <c r="C244" s="26" t="str">
        <f>IF(EXACT(SUBSTITUTE(D244," ",""),SUBSTITUTE(E244," ","")),"O","X")</f>
        <v>O</v>
      </c>
      <c r="D244" s="5" t="s">
        <v>17</v>
      </c>
      <c r="E244" s="27" t="s">
        <v>1758</v>
      </c>
      <c r="F244" s="27" t="s">
        <v>88</v>
      </c>
    </row>
    <row r="245" spans="2:6" ht="35.1" hidden="1" customHeight="1" thickBot="1" x14ac:dyDescent="0.35">
      <c r="B245" s="68"/>
      <c r="C245" s="26" t="str">
        <f>IF(EXACT(SUBSTITUTE(D245," ",""),SUBSTITUTE(E245," ","")),"O","X")</f>
        <v>O</v>
      </c>
      <c r="D245" s="32" t="s">
        <v>337</v>
      </c>
      <c r="E245" s="32" t="s">
        <v>1106</v>
      </c>
      <c r="F245" s="32" t="s">
        <v>338</v>
      </c>
    </row>
    <row r="246" spans="2:6" ht="35.1" hidden="1" customHeight="1" thickBot="1" x14ac:dyDescent="0.35">
      <c r="B246" s="62"/>
      <c r="C246" s="26" t="str">
        <f>IF(ISNUMBER(SEARCH("분기",SUBSTITUTE(E246," ",""))),"O","X")</f>
        <v>O</v>
      </c>
      <c r="D246" s="5" t="s">
        <v>8</v>
      </c>
      <c r="E246" s="27" t="s">
        <v>1774</v>
      </c>
      <c r="F246" s="27" t="s">
        <v>51</v>
      </c>
    </row>
    <row r="247" spans="2:6" ht="35.1" customHeight="1" thickBot="1" x14ac:dyDescent="0.35">
      <c r="B247" s="90"/>
      <c r="C247" s="26" t="str">
        <f>IF(EXACT(SUBSTITUTE(LOWER(D247)," ",""),SUBSTITUTE(LOWER(E247)," ","")),"O","X")</f>
        <v>X</v>
      </c>
      <c r="D247" s="12">
        <v>802.11</v>
      </c>
      <c r="E247" s="12" t="s">
        <v>1817</v>
      </c>
      <c r="F247" s="39" t="s">
        <v>1506</v>
      </c>
    </row>
    <row r="248" spans="2:6" ht="35.1" hidden="1" customHeight="1" thickBot="1" x14ac:dyDescent="0.35">
      <c r="B248" s="75"/>
      <c r="C248" s="26" t="str">
        <f>IF(ISNUMBER(SEARCH("m2m",SUBSTITUTE(LOWER(E248)," ",""))),"O","X")</f>
        <v>O</v>
      </c>
      <c r="D248" s="45" t="s">
        <v>1009</v>
      </c>
      <c r="E248" s="45" t="s">
        <v>1473</v>
      </c>
      <c r="F248" s="32" t="s">
        <v>1372</v>
      </c>
    </row>
    <row r="249" spans="2:6" ht="35.1" hidden="1" customHeight="1" thickBot="1" x14ac:dyDescent="0.35">
      <c r="B249" s="61"/>
      <c r="C249" s="26" t="str">
        <f>IF(EXACT(SUBSTITUTE(D249," ",""),SUBSTITUTE(E249," ","")),"O","X")</f>
        <v>O</v>
      </c>
      <c r="D249" s="32" t="s">
        <v>530</v>
      </c>
      <c r="E249" s="32" t="s">
        <v>1261</v>
      </c>
      <c r="F249" s="32" t="s">
        <v>531</v>
      </c>
    </row>
    <row r="250" spans="2:6" ht="35.1" hidden="1" customHeight="1" thickBot="1" x14ac:dyDescent="0.35">
      <c r="B250" s="65"/>
      <c r="C250" s="26" t="str">
        <f>IF(EXACT(SUBSTITUTE(LOWER(D250)," ",""),SUBSTITUTE(LOWER(E250)," ","")),"O","X")</f>
        <v>O</v>
      </c>
      <c r="D250" s="12" t="s">
        <v>926</v>
      </c>
      <c r="E250" s="12" t="s">
        <v>1458</v>
      </c>
      <c r="F250" s="11" t="s">
        <v>1414</v>
      </c>
    </row>
    <row r="251" spans="2:6" ht="35.1" hidden="1" customHeight="1" thickBot="1" x14ac:dyDescent="0.35">
      <c r="B251" s="61"/>
      <c r="C251" s="26" t="str">
        <f>IF(EXACT(SUBSTITUTE(D251," ",""),SUBSTITUTE(E251," ","")),"O","X")</f>
        <v>O</v>
      </c>
      <c r="D251" s="32" t="s">
        <v>134</v>
      </c>
      <c r="E251" s="32" t="s">
        <v>1175</v>
      </c>
      <c r="F251" s="32" t="s">
        <v>1216</v>
      </c>
    </row>
    <row r="252" spans="2:6" ht="35.1" hidden="1" customHeight="1" thickBot="1" x14ac:dyDescent="0.35">
      <c r="B252" s="63"/>
      <c r="C252" s="26"/>
      <c r="D252" s="38"/>
      <c r="E252" s="38"/>
      <c r="F252" s="27" t="s">
        <v>769</v>
      </c>
    </row>
    <row r="253" spans="2:6" ht="35.1" hidden="1" customHeight="1" thickBot="1" x14ac:dyDescent="0.35">
      <c r="B253" s="61"/>
      <c r="C253" s="26" t="str">
        <f>IF(EXACT(SUBSTITUTE(D253," ",""),SUBSTITUTE(E253," ","")),"O","X")</f>
        <v>O</v>
      </c>
      <c r="D253" s="32" t="s">
        <v>309</v>
      </c>
      <c r="E253" s="32" t="s">
        <v>1096</v>
      </c>
      <c r="F253" s="32" t="s">
        <v>310</v>
      </c>
    </row>
    <row r="254" spans="2:6" ht="30.75" hidden="1" thickBot="1" x14ac:dyDescent="0.35">
      <c r="B254" s="64"/>
      <c r="C254" s="26" t="str">
        <f>IF(AND(ISNUMBER(SEARCH("요구반입",SUBSTITUTE(E254," ",""))),ISNUMBER(SEARCH("예상반입",SUBSTITUTE(E254," ","")))),"O","X")</f>
        <v>O</v>
      </c>
      <c r="D254" s="12" t="s">
        <v>875</v>
      </c>
      <c r="E254" s="12" t="s">
        <v>1649</v>
      </c>
      <c r="F254" s="11" t="s">
        <v>874</v>
      </c>
    </row>
    <row r="255" spans="2:6" ht="35.1" hidden="1" customHeight="1" thickBot="1" x14ac:dyDescent="0.35">
      <c r="B255" s="65"/>
      <c r="C255" s="26" t="str">
        <f>IF(AND(ISNUMBER(SEARCH("최초",SUBSTITUTE(E255," ",""))),ISNUMBER(SEARCH("최악",SUBSTITUTE(E255," ",""))),ISNUMBER(SEARCH("최적",SUBSTITUTE(E255," ","")))),"O","X")</f>
        <v>O</v>
      </c>
      <c r="D255" s="12" t="s">
        <v>876</v>
      </c>
      <c r="E255" s="12" t="s">
        <v>876</v>
      </c>
      <c r="F255" s="11" t="s">
        <v>877</v>
      </c>
    </row>
    <row r="256" spans="2:6" ht="35.1" hidden="1" customHeight="1" thickBot="1" x14ac:dyDescent="0.35">
      <c r="B256" s="61"/>
      <c r="C256" s="26" t="str">
        <f>IF(EXACT(SUBSTITUTE(D256," ",""),SUBSTITUTE(E256," ","")),"O","X")</f>
        <v>O</v>
      </c>
      <c r="D256" s="32" t="s">
        <v>832</v>
      </c>
      <c r="E256" s="32" t="s">
        <v>832</v>
      </c>
      <c r="F256" s="39" t="s">
        <v>839</v>
      </c>
    </row>
    <row r="257" spans="2:6" ht="35.1" hidden="1" customHeight="1" thickBot="1" x14ac:dyDescent="0.35">
      <c r="B257" s="61"/>
      <c r="C257" s="26" t="str">
        <f>IF(OR(ISNUMBER(SEARCH(LOWER("가져오기"),SUBSTITUTE(LOWER(E257)," ",""))),ISNUMBER(SEARCH(LOWER("import"),SUBSTITUTE(LOWER(E257)," ","")))),"O","X")</f>
        <v>O</v>
      </c>
      <c r="D257" s="11" t="s">
        <v>844</v>
      </c>
      <c r="E257" s="11" t="s">
        <v>1745</v>
      </c>
      <c r="F257" s="39" t="s">
        <v>852</v>
      </c>
    </row>
    <row r="258" spans="2:6" ht="35.1" hidden="1" customHeight="1" thickBot="1" x14ac:dyDescent="0.35">
      <c r="B258" s="65"/>
      <c r="C258" s="26" t="str">
        <f>IF(EXACT(SUBSTITUTE(LOWER(D258)," ",""),SUBSTITUTE(LOWER(E258)," ","")),"O","X")</f>
        <v>O</v>
      </c>
      <c r="D258" s="45" t="s">
        <v>994</v>
      </c>
      <c r="E258" s="45" t="s">
        <v>1870</v>
      </c>
      <c r="F258" s="32" t="s">
        <v>1545</v>
      </c>
    </row>
    <row r="259" spans="2:6" ht="35.1" hidden="1" customHeight="1" thickBot="1" x14ac:dyDescent="0.35">
      <c r="B259" s="62"/>
      <c r="C259" s="26" t="str">
        <f>IF(EXACT(SUBSTITUTE(D259," ",""),SUBSTITUTE(E259," ","")),"O","X")</f>
        <v>O</v>
      </c>
      <c r="D259" s="5" t="s">
        <v>5</v>
      </c>
      <c r="E259" s="5" t="s">
        <v>5</v>
      </c>
      <c r="F259" s="27" t="s">
        <v>1309</v>
      </c>
    </row>
    <row r="260" spans="2:6" ht="35.1" hidden="1" customHeight="1" thickBot="1" x14ac:dyDescent="0.35">
      <c r="B260" s="65"/>
      <c r="C260" s="26" t="str">
        <f>IF(OR(ISNUMBER(SEARCH("AH-HOCNETWORK",SUBSTITUTE(UPPER(E260)," ",""))),ISNUMBER(SEARCH("애드훅네트워크",SUBSTITUTE(E260," ","")))),"O","X")</f>
        <v>O</v>
      </c>
      <c r="D260" s="45" t="s">
        <v>1020</v>
      </c>
      <c r="E260" s="45" t="s">
        <v>1585</v>
      </c>
      <c r="F260" s="32" t="s">
        <v>1490</v>
      </c>
    </row>
    <row r="261" spans="2:6" ht="35.1" hidden="1" customHeight="1" thickBot="1" x14ac:dyDescent="0.35">
      <c r="B261" s="75"/>
      <c r="C261" s="26" t="str">
        <f>IF(ISNUMBER(SEARCH("최적병행수행",SUBSTITUTE(UPPER(E261)," ",""))),"O","X")</f>
        <v>O</v>
      </c>
      <c r="D261" s="45" t="s">
        <v>1080</v>
      </c>
      <c r="E261" s="45" t="s">
        <v>1672</v>
      </c>
      <c r="F261" s="39" t="s">
        <v>1566</v>
      </c>
    </row>
    <row r="262" spans="2:6" ht="35.1" hidden="1" customHeight="1" thickBot="1" x14ac:dyDescent="0.35">
      <c r="B262" s="65"/>
      <c r="C262" s="26"/>
      <c r="D262" s="46"/>
      <c r="E262" s="46"/>
      <c r="F262" s="39" t="s">
        <v>1007</v>
      </c>
    </row>
    <row r="263" spans="2:6" ht="35.1" hidden="1" customHeight="1" thickBot="1" x14ac:dyDescent="0.35">
      <c r="B263" s="61"/>
      <c r="C263" s="26" t="str">
        <f>IF(EXACT(LOWER(SUBSTITUTE(D263," ","")),LOWER(SUBSTITUTE(E263," ",""))),"O","X")</f>
        <v>O</v>
      </c>
      <c r="D263" s="32" t="s">
        <v>492</v>
      </c>
      <c r="E263" s="32" t="s">
        <v>1871</v>
      </c>
      <c r="F263" s="32" t="s">
        <v>493</v>
      </c>
    </row>
    <row r="264" spans="2:6" ht="35.1" hidden="1" customHeight="1" thickBot="1" x14ac:dyDescent="0.35">
      <c r="B264" s="61"/>
      <c r="C264" s="26" t="str">
        <f>IF(EXACT(SUBSTITUTE(D264," ",""),SUBSTITUTE(E264," ","")),"O","X")</f>
        <v>O</v>
      </c>
      <c r="D264" s="32" t="s">
        <v>552</v>
      </c>
      <c r="E264" s="32" t="s">
        <v>1270</v>
      </c>
      <c r="F264" s="32" t="s">
        <v>577</v>
      </c>
    </row>
    <row r="265" spans="2:6" ht="35.1" hidden="1" customHeight="1" thickBot="1" x14ac:dyDescent="0.35">
      <c r="B265" s="65"/>
      <c r="C265" s="26" t="str">
        <f>IF(EXACT(SUBSTITUTE(LOWER(D265)," ",""),SUBSTITUTE(LOWER(E265)," ","")),"O","X")</f>
        <v>O</v>
      </c>
      <c r="D265" s="12" t="s">
        <v>878</v>
      </c>
      <c r="E265" s="12" t="s">
        <v>1431</v>
      </c>
      <c r="F265" s="39" t="s">
        <v>1394</v>
      </c>
    </row>
    <row r="266" spans="2:6" ht="35.1" hidden="1" customHeight="1" thickBot="1" x14ac:dyDescent="0.35">
      <c r="B266" s="61"/>
      <c r="C266" s="26" t="str">
        <f>IF(EXACT(SUBSTITUTE(D266," ",""),SUBSTITUTE(E266," ","")),"O","X")</f>
        <v>O</v>
      </c>
      <c r="D266" s="32" t="s">
        <v>437</v>
      </c>
      <c r="E266" s="32" t="s">
        <v>1153</v>
      </c>
      <c r="F266" s="32" t="s">
        <v>438</v>
      </c>
    </row>
    <row r="267" spans="2:6" ht="35.1" hidden="1" customHeight="1" thickBot="1" x14ac:dyDescent="0.35">
      <c r="B267" s="61"/>
      <c r="C267" s="26" t="str">
        <f>IF(EXACT(SUBSTITUTE(D267," ",""),SUBSTITUTE(E267," ","")),"O","X")</f>
        <v>O</v>
      </c>
      <c r="D267" s="32" t="s">
        <v>307</v>
      </c>
      <c r="E267" s="32" t="s">
        <v>1095</v>
      </c>
      <c r="F267" s="32" t="s">
        <v>308</v>
      </c>
    </row>
    <row r="268" spans="2:6" ht="35.1" hidden="1" customHeight="1" thickBot="1" x14ac:dyDescent="0.35">
      <c r="B268" s="68"/>
      <c r="C268" s="26" t="str">
        <f>IF(EXACT(SUBSTITUTE(D268," ",""),SUBSTITUTE(E268," ","")),"O","X")</f>
        <v>O</v>
      </c>
      <c r="D268" s="32" t="s">
        <v>315</v>
      </c>
      <c r="E268" s="32" t="s">
        <v>1099</v>
      </c>
      <c r="F268" s="32" t="s">
        <v>316</v>
      </c>
    </row>
    <row r="269" spans="2:6" ht="35.1" hidden="1" customHeight="1" thickBot="1" x14ac:dyDescent="0.35">
      <c r="B269" s="62"/>
      <c r="C269" s="26"/>
      <c r="D269" s="5" t="s">
        <v>12</v>
      </c>
      <c r="E269" s="27"/>
      <c r="F269" s="27" t="s">
        <v>53</v>
      </c>
    </row>
    <row r="270" spans="2:6" ht="35.1" customHeight="1" thickBot="1" x14ac:dyDescent="0.35">
      <c r="B270" s="90"/>
      <c r="C270" s="26" t="str">
        <f>IF(OR(ISNUMBER(SEARCH("LAN",SUBSTITUTE(UPPER(E270)," ",""))),ISNUMBER(SEARCH("근거리통신망",SUBSTITUTE(E270," ","")))),"O","X")</f>
        <v>X</v>
      </c>
      <c r="D270" s="12" t="s">
        <v>968</v>
      </c>
      <c r="E270" s="12"/>
      <c r="F270" s="11" t="s">
        <v>1498</v>
      </c>
    </row>
    <row r="271" spans="2:6" ht="35.1" customHeight="1" thickBot="1" x14ac:dyDescent="0.35">
      <c r="B271" s="89"/>
      <c r="C271" s="26" t="str">
        <f>IF(OR(ISNUMBER(SEARCH("MOM",SUBSTITUTE(E271," ",""))),ISNUMBER(SEARCH("메시지지향미들웨어",SUBSTITUTE(E271," ","")))),"O","X")</f>
        <v>X</v>
      </c>
      <c r="D271" s="5" t="s">
        <v>772</v>
      </c>
      <c r="E271" s="5" t="s">
        <v>1655</v>
      </c>
      <c r="F271" s="11" t="s">
        <v>1693</v>
      </c>
    </row>
    <row r="272" spans="2:6" ht="35.1" customHeight="1" thickBot="1" x14ac:dyDescent="0.35">
      <c r="B272" s="89"/>
      <c r="C272" s="26" t="str">
        <f>IF(OR(ISNUMBER(SEARCH(LOWER("침입방지시스템"),SUBSTITUTE(LOWER(E272)," ",""))),ISNUMBER(SEARCH(LOWER("IPS"),SUBSTITUTE(LOWER(E272)," ","")))),"O","X")</f>
        <v>X</v>
      </c>
      <c r="D272" s="32" t="s">
        <v>563</v>
      </c>
      <c r="E272" s="32"/>
      <c r="F272" s="32" t="s">
        <v>564</v>
      </c>
    </row>
    <row r="273" spans="2:6" ht="35.1" hidden="1" customHeight="1" thickBot="1" x14ac:dyDescent="0.35">
      <c r="B273" s="64"/>
      <c r="C273" s="26" t="str">
        <f>IF(EXACT(SUBSTITUTE(LOWER(D273)," ",""),SUBSTITUTE(LOWER(E273)," ","")),"O","X")</f>
        <v>O</v>
      </c>
      <c r="D273" s="12" t="s">
        <v>957</v>
      </c>
      <c r="E273" s="12" t="s">
        <v>957</v>
      </c>
      <c r="F273" s="11" t="s">
        <v>1369</v>
      </c>
    </row>
    <row r="274" spans="2:6" ht="35.1" hidden="1" customHeight="1" thickBot="1" x14ac:dyDescent="0.35">
      <c r="B274" s="26"/>
      <c r="C274" s="26" t="str">
        <f>IF(EXACT(SUBSTITUTE(D274," ",""),SUBSTITUTE(E274," ","")),"O","X")</f>
        <v>O</v>
      </c>
      <c r="D274" s="11" t="s">
        <v>616</v>
      </c>
      <c r="E274" s="11" t="s">
        <v>734</v>
      </c>
      <c r="F274" s="12" t="s">
        <v>617</v>
      </c>
    </row>
    <row r="275" spans="2:6" ht="35.1" customHeight="1" thickBot="1" x14ac:dyDescent="0.35">
      <c r="B275" s="90"/>
      <c r="C275" s="26" t="str">
        <f>IF(EXACT(SUBSTITUTE(LOWER(D275)," ",""),SUBSTITUTE(LOWER(E275)," ","")),"O","X")</f>
        <v>X</v>
      </c>
      <c r="D275" s="45" t="s">
        <v>888</v>
      </c>
      <c r="E275" s="45" t="s">
        <v>889</v>
      </c>
      <c r="F275" s="11" t="s">
        <v>892</v>
      </c>
    </row>
    <row r="276" spans="2:6" ht="35.1" customHeight="1" thickBot="1" x14ac:dyDescent="0.35">
      <c r="B276" s="90"/>
      <c r="C276" s="26" t="str">
        <f>IF(EXACT(SUBSTITUTE(D276," ",""),SUBSTITUTE(E276," ","")),"O","X")</f>
        <v>X</v>
      </c>
      <c r="D276" s="11" t="s">
        <v>612</v>
      </c>
      <c r="E276" s="11" t="s">
        <v>733</v>
      </c>
      <c r="F276" s="11" t="s">
        <v>614</v>
      </c>
    </row>
    <row r="277" spans="2:6" ht="35.1" customHeight="1" thickBot="1" x14ac:dyDescent="0.35">
      <c r="B277" s="89"/>
      <c r="C277" s="26" t="str">
        <f>IF(EXACT(SUBSTITUTE(D277," ",""),SUBSTITUTE(E277," ","")),"O","X")</f>
        <v>X</v>
      </c>
      <c r="D277" s="32" t="s">
        <v>251</v>
      </c>
      <c r="E277" s="32"/>
      <c r="F277" s="32" t="s">
        <v>252</v>
      </c>
    </row>
    <row r="278" spans="2:6" ht="35.1" hidden="1" customHeight="1" thickBot="1" x14ac:dyDescent="0.35">
      <c r="B278" s="63"/>
      <c r="C278" s="26" t="str">
        <f>IF(AND(ISNUMBER(SEARCH("직관성",SUBSTITUTE(E278," ",""))),ISNUMBER(SEARCH("유효성",SUBSTITUTE(E278," ",""))),ISNUMBER(SEARCH("학습성",SUBSTITUTE(E278," ",""))),ISNUMBER(SEARCH("유연성",SUBSTITUTE(E278," ","")))),"O","X")</f>
        <v>O</v>
      </c>
      <c r="D278" s="5" t="s">
        <v>818</v>
      </c>
      <c r="E278" s="5" t="s">
        <v>1792</v>
      </c>
      <c r="F278" s="27" t="s">
        <v>810</v>
      </c>
    </row>
    <row r="279" spans="2:6" ht="35.1" hidden="1" customHeight="1" thickBot="1" x14ac:dyDescent="0.35">
      <c r="B279" s="62"/>
      <c r="C279" s="26" t="str">
        <f>IF(AND(ISNUMBER(SEARCH("직관성",SUBSTITUTE(E279," ",""))),ISNUMBER(SEARCH("유효성",SUBSTITUTE(E279," ",""))),ISNUMBER(SEARCH("학습성",SUBSTITUTE(E279," ",""))),ISNUMBER(SEARCH("유연성",SUBSTITUTE(E279," ","")))),"O","X")</f>
        <v>O</v>
      </c>
      <c r="D279" s="30" t="s">
        <v>1217</v>
      </c>
      <c r="E279" s="32" t="s">
        <v>1792</v>
      </c>
      <c r="F279" s="32" t="s">
        <v>273</v>
      </c>
    </row>
    <row r="280" spans="2:6" ht="35.1" customHeight="1" thickBot="1" x14ac:dyDescent="0.35">
      <c r="B280" s="90"/>
      <c r="C280" s="26" t="str">
        <f>IF(ISNUMBER(SEARCH("응용계층",SUBSTITUTE(UPPER(E280)," ",""))),"O","X")</f>
        <v>X</v>
      </c>
      <c r="D280" s="12" t="s">
        <v>933</v>
      </c>
      <c r="E280" s="12"/>
      <c r="F280" s="11" t="s">
        <v>1349</v>
      </c>
    </row>
    <row r="281" spans="2:6" ht="35.1" customHeight="1" thickBot="1" x14ac:dyDescent="0.35">
      <c r="B281" s="89"/>
      <c r="C281" s="26" t="str">
        <f>IF(EXACT(SUBSTITUTE(D281," ",""),SUBSTITUTE(E281," ","")),"O","X")</f>
        <v>X</v>
      </c>
      <c r="D281" s="5" t="s">
        <v>22</v>
      </c>
      <c r="E281" s="27"/>
      <c r="F281" s="27" t="s">
        <v>55</v>
      </c>
    </row>
    <row r="282" spans="2:6" ht="35.1" hidden="1" customHeight="1" thickBot="1" x14ac:dyDescent="0.35">
      <c r="B282" s="59"/>
      <c r="C282" s="26" t="str">
        <f>IF(EXACT(SUBSTITUTE(D282," ",""),SUBSTITUTE(E282," ","")),"O","X")</f>
        <v>O</v>
      </c>
      <c r="D282" s="11" t="s">
        <v>1827</v>
      </c>
      <c r="E282" s="11" t="s">
        <v>1782</v>
      </c>
      <c r="F282" s="12" t="s">
        <v>633</v>
      </c>
    </row>
    <row r="283" spans="2:6" ht="35.1" hidden="1" customHeight="1" thickBot="1" x14ac:dyDescent="0.35">
      <c r="B283" s="61"/>
      <c r="C283" s="26" t="str">
        <f>IF(EXACT(SUBSTITUTE(D283," ",""),SUBSTITUTE(E283," ","")),"O","X")</f>
        <v>O</v>
      </c>
      <c r="D283" s="32" t="s">
        <v>132</v>
      </c>
      <c r="E283" s="32" t="s">
        <v>1174</v>
      </c>
      <c r="F283" s="32" t="s">
        <v>1214</v>
      </c>
    </row>
    <row r="284" spans="2:6" ht="35.1" customHeight="1" thickBot="1" x14ac:dyDescent="0.35">
      <c r="B284" s="89"/>
      <c r="C284" s="26" t="str">
        <f>IF(EXACT(SUBSTITUTE(D284," ",""),SUBSTITUTE(E284," ","")),"O","X")</f>
        <v>X</v>
      </c>
      <c r="D284" s="5" t="s">
        <v>805</v>
      </c>
      <c r="E284" s="5"/>
      <c r="F284" s="27" t="s">
        <v>806</v>
      </c>
    </row>
    <row r="285" spans="2:6" ht="35.1" hidden="1" customHeight="1" thickBot="1" x14ac:dyDescent="0.35">
      <c r="B285" s="63"/>
      <c r="C285" s="26" t="str">
        <f>IF(EXACT(SUBSTITUTE(D285," ",""),SUBSTITUTE(E285," ","")),"O","X")</f>
        <v>O</v>
      </c>
      <c r="D285" s="5" t="s">
        <v>817</v>
      </c>
      <c r="E285" s="5" t="s">
        <v>817</v>
      </c>
      <c r="F285" s="27" t="s">
        <v>809</v>
      </c>
    </row>
    <row r="286" spans="2:6" ht="35.1" hidden="1" customHeight="1" thickBot="1" x14ac:dyDescent="0.35">
      <c r="B286" s="65"/>
      <c r="C286" s="26" t="str">
        <f>IF(ISNUMBER(SEARCH("쉘",SUBSTITUTE(E286," ",""))),"O","X")</f>
        <v>O</v>
      </c>
      <c r="D286" s="12" t="s">
        <v>862</v>
      </c>
      <c r="E286" s="12" t="s">
        <v>1421</v>
      </c>
      <c r="F286" s="11" t="s">
        <v>1341</v>
      </c>
    </row>
    <row r="287" spans="2:6" ht="35.1" hidden="1" customHeight="1" thickBot="1" x14ac:dyDescent="0.35">
      <c r="B287" s="63"/>
      <c r="C287" s="26" t="str">
        <f>IF(EXACT(SUBSTITUTE(D287," ",""),SUBSTITUTE(E287," ","")),"O","X")</f>
        <v>O</v>
      </c>
      <c r="D287" s="5" t="s">
        <v>819</v>
      </c>
      <c r="E287" s="5" t="s">
        <v>819</v>
      </c>
      <c r="F287" s="27" t="s">
        <v>812</v>
      </c>
    </row>
    <row r="288" spans="2:6" ht="35.1" hidden="1" customHeight="1" thickBot="1" x14ac:dyDescent="0.35">
      <c r="B288" s="61"/>
      <c r="C288" s="26" t="str">
        <f>IF(OR(ISNUMBER(SEARCH("역할기반접근통제",SUBSTITUTE(E288," ",""))),ISNUMBER(SEARCH("RBAC",SUBSTITUTE(E288," ","")))),"O","X")</f>
        <v>O</v>
      </c>
      <c r="D288" s="30" t="s">
        <v>225</v>
      </c>
      <c r="E288" s="30" t="s">
        <v>1202</v>
      </c>
      <c r="F288" s="32" t="s">
        <v>226</v>
      </c>
    </row>
    <row r="289" spans="2:6" ht="35.1" customHeight="1" thickBot="1" x14ac:dyDescent="0.35">
      <c r="B289" s="89"/>
      <c r="C289" s="26" t="str">
        <f>IF(OR(ISNUMBER(SEARCH("객체지향분석",SUBSTITUTE(E289," ",""))),ISNUMBER(SEARCH("OOA",SUBSTITUTE(UPPER(E289)," ","")))),"O","X")</f>
        <v>X</v>
      </c>
      <c r="D289" s="32" t="s">
        <v>305</v>
      </c>
      <c r="E289" s="32" t="s">
        <v>1786</v>
      </c>
      <c r="F289" s="32" t="s">
        <v>1826</v>
      </c>
    </row>
    <row r="290" spans="2:6" ht="35.1" hidden="1" customHeight="1" thickBot="1" x14ac:dyDescent="0.35">
      <c r="B290" s="63"/>
      <c r="C290" s="26" t="str">
        <f>IF(EXACT(SUBSTITUTE(D290," ",""),SUBSTITUTE(E290," ","")),"O","X")</f>
        <v>O</v>
      </c>
      <c r="D290" s="5" t="s">
        <v>821</v>
      </c>
      <c r="E290" s="5" t="s">
        <v>821</v>
      </c>
      <c r="F290" s="27" t="s">
        <v>814</v>
      </c>
    </row>
    <row r="291" spans="2:6" ht="35.1" customHeight="1" thickBot="1" x14ac:dyDescent="0.35">
      <c r="B291" s="89"/>
      <c r="C291" s="26" t="str">
        <f>IF(EXACT(SUBSTITUTE(D291," ",""),SUBSTITUTE(E291," ","")),"O","X")</f>
        <v>X</v>
      </c>
      <c r="D291" s="6" t="s">
        <v>20</v>
      </c>
      <c r="E291" s="27" t="s">
        <v>1759</v>
      </c>
      <c r="F291" s="27" t="s">
        <v>91</v>
      </c>
    </row>
    <row r="292" spans="2:6" ht="35.1" hidden="1" customHeight="1" thickBot="1" x14ac:dyDescent="0.35">
      <c r="B292" s="61"/>
      <c r="C292" s="26" t="str">
        <f>IF(EXACT(SUBSTITUTE(D292," ",""),SUBSTITUTE(E292," ","")),"O","X")</f>
        <v>O</v>
      </c>
      <c r="D292" s="81" t="s">
        <v>122</v>
      </c>
      <c r="E292" s="32" t="s">
        <v>1169</v>
      </c>
      <c r="F292" s="32" t="s">
        <v>123</v>
      </c>
    </row>
    <row r="293" spans="2:6" ht="35.1" customHeight="1" thickBot="1" x14ac:dyDescent="0.35">
      <c r="B293" s="89"/>
      <c r="C293" s="26" t="str">
        <f>IF(OR(EXACT(SUBSTITUTE("특수화"," ",""),SUBSTITUTE(E293," ","")),EXACT(SUBSTITUTE("상세화"," ",""),SUBSTITUTE(E293," ",""))),"O","X")</f>
        <v>X</v>
      </c>
      <c r="D293" s="81" t="s">
        <v>303</v>
      </c>
      <c r="E293" s="32"/>
      <c r="F293" s="32" t="s">
        <v>304</v>
      </c>
    </row>
    <row r="294" spans="2:6" ht="35.1" hidden="1" customHeight="1" thickBot="1" x14ac:dyDescent="0.35">
      <c r="B294" s="68"/>
      <c r="C294" s="26" t="str">
        <f>IF(EXACT(SUBSTITUTE(D294," ",""),SUBSTITUTE(E294," ","")),"O","X")</f>
        <v>O</v>
      </c>
      <c r="D294" s="81" t="s">
        <v>463</v>
      </c>
      <c r="E294" s="32" t="s">
        <v>1872</v>
      </c>
      <c r="F294" s="32" t="s">
        <v>464</v>
      </c>
    </row>
    <row r="295" spans="2:6" ht="35.1" customHeight="1" thickBot="1" x14ac:dyDescent="0.35">
      <c r="B295" s="89"/>
      <c r="C295" s="26" t="str">
        <f>IF(EXACT(SUBSTITUTE(D295," ",""),SUBSTITUTE(E295," ","")),"O","X")</f>
        <v>X</v>
      </c>
      <c r="D295" s="81" t="s">
        <v>421</v>
      </c>
      <c r="E295" s="32"/>
      <c r="F295" s="32" t="s">
        <v>422</v>
      </c>
    </row>
    <row r="296" spans="2:6" ht="35.1" hidden="1" customHeight="1" thickBot="1" x14ac:dyDescent="0.35">
      <c r="B296" s="61"/>
      <c r="C296" s="26" t="str">
        <f>IF(EXACT(SUBSTITUTE(D296," ",""),SUBSTITUTE(E296," ","")),"O","X")</f>
        <v>O</v>
      </c>
      <c r="D296" s="81" t="s">
        <v>289</v>
      </c>
      <c r="E296" s="32" t="s">
        <v>1087</v>
      </c>
      <c r="F296" s="32" t="s">
        <v>290</v>
      </c>
    </row>
    <row r="297" spans="2:6" ht="35.1" hidden="1" customHeight="1" thickBot="1" x14ac:dyDescent="0.35">
      <c r="B297" s="61"/>
      <c r="C297" s="26" t="str">
        <f>IF(EXACT(SUBSTITUTE(D297," ",""),SUBSTITUTE(E297," ","")),"O","X")</f>
        <v>O</v>
      </c>
      <c r="D297" s="81" t="s">
        <v>321</v>
      </c>
      <c r="E297" s="32" t="s">
        <v>1100</v>
      </c>
      <c r="F297" s="32" t="s">
        <v>322</v>
      </c>
    </row>
    <row r="298" spans="2:6" ht="35.1" hidden="1" customHeight="1" thickBot="1" x14ac:dyDescent="0.35">
      <c r="B298" s="61"/>
      <c r="C298" s="26" t="str">
        <f>IF(EXACT(SUBSTITUTE(D298," ",""),SUBSTITUTE(E298," ","")),"O","X")</f>
        <v>O</v>
      </c>
      <c r="D298" s="81" t="s">
        <v>527</v>
      </c>
      <c r="E298" s="32" t="s">
        <v>1260</v>
      </c>
      <c r="F298" s="32" t="s">
        <v>528</v>
      </c>
    </row>
    <row r="299" spans="2:6" ht="35.1" hidden="1" customHeight="1" thickBot="1" x14ac:dyDescent="0.35">
      <c r="B299" s="65"/>
      <c r="C299" s="26" t="str">
        <f>IF(EXACT(SUBSTITUTE(LOWER(D299)," ",""),SUBSTITUTE(LOWER(E299)," ","")),"O","X")</f>
        <v>O</v>
      </c>
      <c r="D299" s="83" t="s">
        <v>940</v>
      </c>
      <c r="E299" s="83" t="s">
        <v>1470</v>
      </c>
      <c r="F299" s="39" t="s">
        <v>1354</v>
      </c>
    </row>
    <row r="300" spans="2:6" ht="35.1" hidden="1" customHeight="1" thickBot="1" x14ac:dyDescent="0.35">
      <c r="B300" s="26"/>
      <c r="C300" s="26" t="str">
        <f>IF(OR(ISNUMBER(SEARCH("의존",SUBSTITUTE(E300," ",""))),ISNUMBER(SEARCH("Dependency",SUBSTITUTE(E300," ","")))),"O","X")</f>
        <v>O</v>
      </c>
      <c r="D300" s="18" t="s">
        <v>624</v>
      </c>
      <c r="E300" s="11" t="s">
        <v>1804</v>
      </c>
      <c r="F300" s="12" t="s">
        <v>627</v>
      </c>
    </row>
    <row r="301" spans="2:6" ht="35.1" customHeight="1" thickBot="1" x14ac:dyDescent="0.35">
      <c r="B301" s="89"/>
      <c r="C301" s="26" t="str">
        <f>IF(EXACT(SUBSTITUTE(D301," ",""),SUBSTITUTE(E301," ","")),"O","X")</f>
        <v>X</v>
      </c>
      <c r="D301" s="86" t="s">
        <v>791</v>
      </c>
      <c r="E301" s="27" t="s">
        <v>1873</v>
      </c>
      <c r="F301" s="11" t="s">
        <v>1687</v>
      </c>
    </row>
    <row r="302" spans="2:6" ht="35.1" hidden="1" customHeight="1" thickBot="1" x14ac:dyDescent="0.35">
      <c r="B302" s="63"/>
      <c r="C302" s="26" t="str">
        <f>IF(EXACT(SUBSTITUTE(D302," ",""),SUBSTITUTE(E302," ","")),"O","X")</f>
        <v>O</v>
      </c>
      <c r="D302" s="87" t="s">
        <v>27</v>
      </c>
      <c r="E302" s="27" t="s">
        <v>1874</v>
      </c>
      <c r="F302" s="27" t="s">
        <v>96</v>
      </c>
    </row>
    <row r="303" spans="2:6" ht="35.1" hidden="1" customHeight="1" thickBot="1" x14ac:dyDescent="0.35">
      <c r="B303" s="61"/>
      <c r="C303" s="26" t="str">
        <f>IF(EXACT(SUBSTITUTE(D303," ",""),SUBSTITUTE(E303," ","")),"O","X")</f>
        <v>O</v>
      </c>
      <c r="D303" s="85" t="s">
        <v>180</v>
      </c>
      <c r="E303" s="81" t="s">
        <v>1186</v>
      </c>
      <c r="F303" s="32" t="s">
        <v>181</v>
      </c>
    </row>
    <row r="304" spans="2:6" ht="35.1" hidden="1" customHeight="1" thickBot="1" x14ac:dyDescent="0.35">
      <c r="B304" s="61"/>
      <c r="C304" s="26" t="str">
        <f>IF(OR(ISNUMBER(SEARCH("지속성",SUBSTITUTE(E304," ",""))),ISNUMBER(SEARCH("영속성",SUBSTITUTE(E304," ","")))),"O","X")</f>
        <v>O</v>
      </c>
      <c r="D304" s="84" t="s">
        <v>207</v>
      </c>
      <c r="E304" s="32" t="s">
        <v>1789</v>
      </c>
      <c r="F304" s="32" t="s">
        <v>208</v>
      </c>
    </row>
    <row r="305" spans="2:6" ht="35.1" hidden="1" customHeight="1" thickBot="1" x14ac:dyDescent="0.35">
      <c r="B305" s="65"/>
      <c r="C305" s="26"/>
      <c r="D305" s="83"/>
      <c r="E305" s="12"/>
      <c r="F305" s="56" t="s">
        <v>1514</v>
      </c>
    </row>
    <row r="306" spans="2:6" ht="35.1" hidden="1" customHeight="1" thickBot="1" x14ac:dyDescent="0.35">
      <c r="B306" s="63"/>
      <c r="C306" s="26" t="str">
        <f>IF(EXACT(SUBSTITUTE(D306," ",""),SUBSTITUTE(E306," ","")),"O","X")</f>
        <v>O</v>
      </c>
      <c r="D306" s="6" t="s">
        <v>38</v>
      </c>
      <c r="E306" s="6" t="s">
        <v>38</v>
      </c>
      <c r="F306" s="27" t="s">
        <v>66</v>
      </c>
    </row>
    <row r="307" spans="2:6" ht="35.1" hidden="1" customHeight="1" thickBot="1" x14ac:dyDescent="0.35">
      <c r="B307" s="68"/>
      <c r="C307" s="26" t="str">
        <f>IF(EXACT(SUBSTITUTE(D307," ",""),SUBSTITUTE(E307," ","")),"O","X")</f>
        <v>O</v>
      </c>
      <c r="D307" s="6" t="s">
        <v>41</v>
      </c>
      <c r="E307" s="27" t="s">
        <v>117</v>
      </c>
      <c r="F307" s="27" t="s">
        <v>69</v>
      </c>
    </row>
    <row r="308" spans="2:6" ht="35.1" hidden="1" customHeight="1" thickBot="1" x14ac:dyDescent="0.35">
      <c r="B308" s="62"/>
      <c r="C308" s="26" t="str">
        <f>IF(ISNUMBER(SEARCH("문장",SUBSTITUTE(E308," ",""))),"O","X")</f>
        <v>O</v>
      </c>
      <c r="D308" s="6" t="s">
        <v>7</v>
      </c>
      <c r="E308" s="27" t="s">
        <v>1875</v>
      </c>
      <c r="F308" s="27" t="s">
        <v>50</v>
      </c>
    </row>
    <row r="309" spans="2:6" ht="35.1" hidden="1" customHeight="1" thickBot="1" x14ac:dyDescent="0.35">
      <c r="B309" s="75"/>
      <c r="C309" s="26" t="str">
        <f>IF(OR(ISNUMBER(SEARCH("SOFTWAREESCROW",SUBSTITUTE(UPPER(E309)," ",""))),ISNUMBER(SEARCH("소프트웨어에스크로",SUBSTITUTE(E309," ","")))),"O","X")</f>
        <v>O</v>
      </c>
      <c r="D309" s="82" t="s">
        <v>1073</v>
      </c>
      <c r="E309" s="45" t="s">
        <v>1625</v>
      </c>
      <c r="F309" s="32" t="s">
        <v>1539</v>
      </c>
    </row>
    <row r="310" spans="2:6" ht="35.1" hidden="1" customHeight="1" thickBot="1" x14ac:dyDescent="0.35">
      <c r="B310" s="76"/>
      <c r="C310" s="26" t="str">
        <f>IF(EXACT(SUBSTITUTE(D310," ",""),SUBSTITUTE(E310," ","")),"O","X")</f>
        <v>O</v>
      </c>
      <c r="D310" s="18" t="s">
        <v>663</v>
      </c>
      <c r="E310" s="11" t="s">
        <v>1836</v>
      </c>
      <c r="F310" s="11" t="s">
        <v>716</v>
      </c>
    </row>
    <row r="311" spans="2:6" ht="35.1" hidden="1" customHeight="1" thickBot="1" x14ac:dyDescent="0.35">
      <c r="B311" s="61"/>
      <c r="C311" s="26" t="str">
        <f>IF(EXACT(LOWER(SUBSTITUTE(D311," ","")),LOWER(SUBSTITUTE(E311," ",""))),"O","X")</f>
        <v>O</v>
      </c>
      <c r="D311" s="81" t="s">
        <v>480</v>
      </c>
      <c r="E311" s="81" t="s">
        <v>480</v>
      </c>
      <c r="F311" s="32" t="s">
        <v>481</v>
      </c>
    </row>
    <row r="312" spans="2:6" ht="35.1" customHeight="1" thickBot="1" x14ac:dyDescent="0.35">
      <c r="B312" s="90"/>
      <c r="C312" s="26" t="str">
        <f>IF(EXACT(SUBSTITUTE(D312," ",""),SUBSTITUTE(E312," ","")),"O","X")</f>
        <v>X</v>
      </c>
      <c r="D312" s="18" t="s">
        <v>1324</v>
      </c>
      <c r="E312" s="11" t="s">
        <v>1764</v>
      </c>
      <c r="F312" s="12" t="s">
        <v>1325</v>
      </c>
    </row>
    <row r="313" spans="2:6" ht="35.1" customHeight="1" thickBot="1" x14ac:dyDescent="0.35">
      <c r="B313" s="90"/>
      <c r="C313" s="26" t="str">
        <f>IF(ISNUMBER(SEARCH("확립",SUBSTITUTE(E313," ",""))),"O","X")</f>
        <v>X</v>
      </c>
      <c r="D313" s="18" t="s">
        <v>676</v>
      </c>
      <c r="E313" s="11" t="s">
        <v>1876</v>
      </c>
      <c r="F313" s="11" t="s">
        <v>702</v>
      </c>
    </row>
    <row r="314" spans="2:6" ht="35.1" customHeight="1" thickBot="1" x14ac:dyDescent="0.35">
      <c r="B314" s="89"/>
      <c r="C314" s="26" t="str">
        <f>IF(EXACT(SUBSTITUTE(D314," ",""),SUBSTITUTE(E314," ","")),"O","X")</f>
        <v>X</v>
      </c>
      <c r="D314" s="81" t="s">
        <v>855</v>
      </c>
      <c r="E314" s="32"/>
      <c r="F314" s="11" t="s">
        <v>854</v>
      </c>
    </row>
    <row r="315" spans="2:6" ht="35.1" hidden="1" customHeight="1" thickBot="1" x14ac:dyDescent="0.35">
      <c r="B315" s="77"/>
      <c r="C315" s="26" t="str">
        <f>IF(EXACT(SUBSTITUTE(D315," ",""),SUBSTITUTE(E315," ","")),"O","X")</f>
        <v>O</v>
      </c>
      <c r="D315" s="18" t="s">
        <v>720</v>
      </c>
      <c r="E315" s="11" t="s">
        <v>1778</v>
      </c>
      <c r="F315" s="11" t="s">
        <v>696</v>
      </c>
    </row>
    <row r="316" spans="2:6" ht="35.1" hidden="1" customHeight="1" thickBot="1" x14ac:dyDescent="0.35">
      <c r="B316" s="75"/>
      <c r="C316" s="26" t="str">
        <f>IF(EXACT(SUBSTITUTE(D316," ",""),SUBSTITUTE(E316," ","")),"O","X")</f>
        <v>O</v>
      </c>
      <c r="D316" s="18" t="s">
        <v>682</v>
      </c>
      <c r="E316" s="11" t="s">
        <v>1779</v>
      </c>
      <c r="F316" s="12" t="s">
        <v>697</v>
      </c>
    </row>
    <row r="317" spans="2:6" ht="35.1" hidden="1" customHeight="1" thickBot="1" x14ac:dyDescent="0.35">
      <c r="B317" s="64"/>
      <c r="C317" s="26" t="str">
        <f>IF(EXACT(SUBSTITUTE(D317," ",""),SUBSTITUTE(E317," ","")),"O","X")</f>
        <v>O</v>
      </c>
      <c r="D317" s="18" t="s">
        <v>658</v>
      </c>
      <c r="E317" s="11" t="s">
        <v>744</v>
      </c>
      <c r="F317" s="12" t="s">
        <v>659</v>
      </c>
    </row>
    <row r="318" spans="2:6" ht="35.1" hidden="1" customHeight="1" thickBot="1" x14ac:dyDescent="0.35">
      <c r="B318" s="76"/>
      <c r="C318" s="26" t="str">
        <f>IF(EXACT(SUBSTITUTE(D318," ",""),SUBSTITUTE(E318," ","")),"O","X")</f>
        <v>O</v>
      </c>
      <c r="D318" s="82" t="s">
        <v>1731</v>
      </c>
      <c r="E318" s="45" t="s">
        <v>1731</v>
      </c>
      <c r="F318" s="11" t="s">
        <v>1736</v>
      </c>
    </row>
    <row r="319" spans="2:6" ht="35.1" hidden="1" customHeight="1" thickBot="1" x14ac:dyDescent="0.35">
      <c r="B319" s="26"/>
      <c r="C319" s="26" t="str">
        <f>IF(EXACT(SUBSTITUTE(D319," ",""),SUBSTITUTE(E319," ","")),"O","X")</f>
        <v>O</v>
      </c>
      <c r="D319" s="18" t="s">
        <v>588</v>
      </c>
      <c r="E319" s="11" t="s">
        <v>723</v>
      </c>
      <c r="F319" s="11" t="s">
        <v>687</v>
      </c>
    </row>
    <row r="320" spans="2:6" ht="35.1" hidden="1" customHeight="1" thickBot="1" x14ac:dyDescent="0.35">
      <c r="B320" s="75"/>
      <c r="C320" s="26" t="str">
        <f>IF(EXACT(SUBSTITUTE(D320," ",""),SUBSTITUTE(E320," ","")),"O","X")</f>
        <v>O</v>
      </c>
      <c r="D320" s="18" t="s">
        <v>671</v>
      </c>
      <c r="E320" s="11" t="s">
        <v>1764</v>
      </c>
      <c r="F320" s="12" t="s">
        <v>693</v>
      </c>
    </row>
    <row r="321" spans="2:6" ht="35.1" hidden="1" customHeight="1" thickBot="1" x14ac:dyDescent="0.35">
      <c r="B321" s="61"/>
      <c r="C321" s="26" t="str">
        <f>IF(EXACT(SUBSTITUTE(D321," ",""),SUBSTITUTE(E321," ","")),"O","X")</f>
        <v>O</v>
      </c>
      <c r="D321" s="81" t="s">
        <v>393</v>
      </c>
      <c r="E321" s="32" t="s">
        <v>1783</v>
      </c>
      <c r="F321" s="32" t="s">
        <v>394</v>
      </c>
    </row>
    <row r="322" spans="2:6" ht="35.1" customHeight="1" thickBot="1" x14ac:dyDescent="0.35">
      <c r="B322" s="90"/>
      <c r="C322" s="26" t="str">
        <f>IF(EXACT(SUBSTITUTE(D322," ",""),SUBSTITUTE(E322," ","")),"O","X")</f>
        <v>X</v>
      </c>
      <c r="D322" s="18" t="s">
        <v>606</v>
      </c>
      <c r="E322" s="11"/>
      <c r="F322" s="11" t="s">
        <v>607</v>
      </c>
    </row>
    <row r="323" spans="2:6" ht="35.1" hidden="1" customHeight="1" thickBot="1" x14ac:dyDescent="0.35">
      <c r="B323" s="68"/>
      <c r="C323" s="26" t="str">
        <f>IF(EXACT(SUBSTITUTE(D323," ",""),SUBSTITUTE(E323," ","")),"O","X")</f>
        <v>O</v>
      </c>
      <c r="D323" s="6" t="s">
        <v>25</v>
      </c>
      <c r="E323" s="27" t="s">
        <v>106</v>
      </c>
      <c r="F323" s="27" t="s">
        <v>94</v>
      </c>
    </row>
    <row r="324" spans="2:6" ht="35.1" hidden="1" customHeight="1" thickBot="1" x14ac:dyDescent="0.35">
      <c r="B324" s="64"/>
      <c r="C324" s="26" t="str">
        <f>IF(EXACT(SUBSTITUTE(D324," ",""),SUBSTITUTE(E324," ","")),"O","X")</f>
        <v>O</v>
      </c>
      <c r="D324" s="6" t="s">
        <v>580</v>
      </c>
      <c r="E324" s="5" t="s">
        <v>1877</v>
      </c>
      <c r="F324" s="5" t="s">
        <v>705</v>
      </c>
    </row>
    <row r="325" spans="2:6" ht="35.1" hidden="1" customHeight="1" thickBot="1" x14ac:dyDescent="0.35">
      <c r="B325" s="77"/>
      <c r="C325" s="26" t="str">
        <f>IF(EXACT(SUBSTITUTE(D325," ",""),SUBSTITUTE(E325," ","")),"O","X")</f>
        <v>O</v>
      </c>
      <c r="D325" s="18" t="s">
        <v>680</v>
      </c>
      <c r="E325" s="11" t="s">
        <v>1777</v>
      </c>
      <c r="F325" s="12" t="s">
        <v>694</v>
      </c>
    </row>
    <row r="326" spans="2:6" ht="35.1" hidden="1" customHeight="1" thickBot="1" x14ac:dyDescent="0.35">
      <c r="B326" s="65"/>
      <c r="C326" s="26" t="str">
        <f>IF(OR(ISNUMBER(SEARCH("GRAYWARE",SUBSTITUTE(UPPER(E326)," ",""))),ISNUMBER(SEARCH("그레이웨어",SUBSTITUTE(E326," ","")))),"O","X")</f>
        <v>O</v>
      </c>
      <c r="D326" s="82" t="s">
        <v>1030</v>
      </c>
      <c r="E326" s="45" t="s">
        <v>1620</v>
      </c>
      <c r="F326" s="32" t="s">
        <v>987</v>
      </c>
    </row>
    <row r="327" spans="2:6" ht="35.1" hidden="1" customHeight="1" thickBot="1" x14ac:dyDescent="0.35">
      <c r="B327" s="65"/>
      <c r="C327" s="26" t="str">
        <f>IF(OR(ISNUMBER(SEARCH("SAAS",SUBSTITUTE(UPPER(E327)," ",""))),ISNUMBER(SEARCH("서비스형소프트웨어",SUBSTITUTE(E327," ","")))),"O","X")</f>
        <v>O</v>
      </c>
      <c r="D327" s="82" t="s">
        <v>1072</v>
      </c>
      <c r="E327" s="45" t="s">
        <v>1624</v>
      </c>
      <c r="F327" s="32" t="s">
        <v>1538</v>
      </c>
    </row>
    <row r="328" spans="2:6" ht="35.1" customHeight="1" thickBot="1" x14ac:dyDescent="0.35">
      <c r="B328" s="90"/>
      <c r="C328" s="26" t="str">
        <f>IF(ISNUMBER(SEARCH("기본형",SUBSTITUTE(E328," ",""))),"O","X")</f>
        <v>X</v>
      </c>
      <c r="D328" s="18" t="s">
        <v>653</v>
      </c>
      <c r="E328" s="11" t="s">
        <v>739</v>
      </c>
      <c r="F328" s="11" t="s">
        <v>656</v>
      </c>
    </row>
    <row r="329" spans="2:6" ht="35.1" hidden="1" customHeight="1" thickBot="1" x14ac:dyDescent="0.35">
      <c r="B329" s="61"/>
      <c r="C329" s="26" t="str">
        <f>IF(EXACT(SUBSTITUTE(D329," ",""),SUBSTITUTE(E329," ","")),"O","X")</f>
        <v>O</v>
      </c>
      <c r="D329" s="81" t="s">
        <v>182</v>
      </c>
      <c r="E329" s="32" t="s">
        <v>1187</v>
      </c>
      <c r="F329" s="32" t="s">
        <v>183</v>
      </c>
    </row>
    <row r="330" spans="2:6" ht="35.1" hidden="1" customHeight="1" thickBot="1" x14ac:dyDescent="0.35">
      <c r="B330" s="61"/>
      <c r="C330" s="26" t="str">
        <f>IF(EXACT(SUBSTITUTE(D330," ",""),SUBSTITUTE(E330," ","")),"O","X")</f>
        <v>O</v>
      </c>
      <c r="D330" s="81" t="s">
        <v>168</v>
      </c>
      <c r="E330" s="32" t="s">
        <v>1180</v>
      </c>
      <c r="F330" s="32" t="s">
        <v>169</v>
      </c>
    </row>
    <row r="331" spans="2:6" ht="35.1" hidden="1" customHeight="1" thickBot="1" x14ac:dyDescent="0.35">
      <c r="B331" s="61"/>
      <c r="C331" s="26" t="str">
        <f>IF(EXACT(SUBSTITUTE(D331," ",""),SUBSTITUTE(E331," ","")),"O","X")</f>
        <v>O</v>
      </c>
      <c r="D331" s="81" t="s">
        <v>174</v>
      </c>
      <c r="E331" s="81" t="s">
        <v>1183</v>
      </c>
      <c r="F331" s="32" t="s">
        <v>175</v>
      </c>
    </row>
    <row r="332" spans="2:6" ht="35.1" hidden="1" customHeight="1" thickBot="1" x14ac:dyDescent="0.35">
      <c r="B332" s="65"/>
      <c r="C332" s="26" t="str">
        <f>IF(ISNUMBER(SEARCH("세션계층",SUBSTITUTE(UPPER(E332)," ",""))),"O","X")</f>
        <v>O</v>
      </c>
      <c r="D332" s="83" t="s">
        <v>931</v>
      </c>
      <c r="E332" s="12" t="s">
        <v>1463</v>
      </c>
      <c r="F332" s="39" t="s">
        <v>1347</v>
      </c>
    </row>
    <row r="333" spans="2:6" ht="35.1" customHeight="1" thickBot="1" x14ac:dyDescent="0.35">
      <c r="B333" s="90"/>
      <c r="C333" s="26" t="str">
        <f>IF(ISNUMBER(SEARCH("흐름제어",SUBSTITUTE(UPPER(E333)," ",""))),"O","X")</f>
        <v>X</v>
      </c>
      <c r="D333" s="83" t="s">
        <v>979</v>
      </c>
      <c r="E333" s="12" t="s">
        <v>1653</v>
      </c>
      <c r="F333" s="39" t="s">
        <v>1521</v>
      </c>
    </row>
    <row r="334" spans="2:6" ht="35.1" hidden="1" customHeight="1" thickBot="1" x14ac:dyDescent="0.35">
      <c r="B334" s="62"/>
      <c r="C334" s="26" t="str">
        <f>IF(EXACT(SUBSTITUTE(D334," ",""),SUBSTITUTE(E334," ","")),"O","X")</f>
        <v>O</v>
      </c>
      <c r="D334" s="81" t="s">
        <v>453</v>
      </c>
      <c r="E334" s="32" t="s">
        <v>1773</v>
      </c>
      <c r="F334" s="32" t="s">
        <v>454</v>
      </c>
    </row>
    <row r="335" spans="2:6" ht="35.1" hidden="1" customHeight="1" thickBot="1" x14ac:dyDescent="0.35">
      <c r="B335" s="64"/>
      <c r="C335" s="26" t="str">
        <f>IF(ISNUMBER(SEARCH("정지-대기",SUBSTITUTE(UPPER(E335)," ",""))),"O","X")</f>
        <v>O</v>
      </c>
      <c r="D335" s="83" t="s">
        <v>980</v>
      </c>
      <c r="E335" s="83" t="s">
        <v>1878</v>
      </c>
      <c r="F335" s="11" t="s">
        <v>1520</v>
      </c>
    </row>
    <row r="336" spans="2:6" ht="35.1" hidden="1" customHeight="1" thickBot="1" x14ac:dyDescent="0.35">
      <c r="B336" s="64"/>
      <c r="C336" s="26" t="str">
        <f>IF(AND(ISNUMBER(SEARCH("cocomo",SUBSTITUTE(E336," ",""))),ISNUMBER(SEARCH("putnam",SUBSTITUTE(E336," ",""))),ISNUMBER(SEARCH("fp",SUBSTITUTE(E336," ","")))),"O","X")</f>
        <v>O</v>
      </c>
      <c r="D336" s="21" t="s">
        <v>684</v>
      </c>
      <c r="E336" s="21" t="s">
        <v>684</v>
      </c>
      <c r="F336" s="11" t="s">
        <v>642</v>
      </c>
    </row>
    <row r="337" spans="2:6" ht="35.1" hidden="1" customHeight="1" thickBot="1" x14ac:dyDescent="0.35">
      <c r="B337" s="65"/>
      <c r="C337" s="26" t="str">
        <f>IF(EXACT(SUBSTITUTE(LOWER(D337)," ",""),SUBSTITUTE(LOWER(E337)," ","")),"O","X")</f>
        <v>O</v>
      </c>
      <c r="D337" s="82" t="s">
        <v>925</v>
      </c>
      <c r="E337" s="45" t="s">
        <v>925</v>
      </c>
      <c r="F337" s="11" t="s">
        <v>1413</v>
      </c>
    </row>
    <row r="338" spans="2:6" ht="35.1" customHeight="1" thickBot="1" x14ac:dyDescent="0.35">
      <c r="B338" s="89"/>
      <c r="C338" s="26" t="str">
        <f>IF(EXACT(SUBSTITUTE(D338," ",""),SUBSTITUTE(E338," ","")),"O","X")</f>
        <v>X</v>
      </c>
      <c r="D338" s="81" t="s">
        <v>471</v>
      </c>
      <c r="E338" s="32" t="s">
        <v>1671</v>
      </c>
      <c r="F338" s="32" t="s">
        <v>472</v>
      </c>
    </row>
    <row r="339" spans="2:6" ht="35.1" customHeight="1" thickBot="1" x14ac:dyDescent="0.35">
      <c r="B339" s="89"/>
      <c r="C339" s="26" t="str">
        <f>IF(EXACT(SUBSTITUTE(D339," ",""),SUBSTITUTE(E339," ","")),"O","X")</f>
        <v>X</v>
      </c>
      <c r="D339" s="6" t="s">
        <v>23</v>
      </c>
      <c r="E339" s="86" t="s">
        <v>103</v>
      </c>
      <c r="F339" s="27" t="s">
        <v>92</v>
      </c>
    </row>
    <row r="340" spans="2:6" ht="35.1" hidden="1" customHeight="1" thickBot="1" x14ac:dyDescent="0.35">
      <c r="B340" s="61"/>
      <c r="C340" s="26" t="str">
        <f>IF(EXACT(LOWER(SUBSTITUTE(D340," ","")),LOWER(SUBSTITUTE(E340," ",""))),"O","X")</f>
        <v>O</v>
      </c>
      <c r="D340" s="81" t="s">
        <v>484</v>
      </c>
      <c r="E340" s="32" t="s">
        <v>1251</v>
      </c>
      <c r="F340" s="32" t="s">
        <v>485</v>
      </c>
    </row>
    <row r="341" spans="2:6" ht="35.1" hidden="1" customHeight="1" thickBot="1" x14ac:dyDescent="0.35">
      <c r="B341" s="61"/>
      <c r="C341" s="26" t="str">
        <f>IF(EXACT(LOWER(SUBSTITUTE(D341," ","")),LOWER(SUBSTITUTE(E341," ",""))),"O","X")</f>
        <v>O</v>
      </c>
      <c r="D341" s="81" t="s">
        <v>482</v>
      </c>
      <c r="E341" s="32" t="s">
        <v>1250</v>
      </c>
      <c r="F341" s="32" t="s">
        <v>483</v>
      </c>
    </row>
    <row r="342" spans="2:6" ht="35.1" hidden="1" customHeight="1" thickBot="1" x14ac:dyDescent="0.35">
      <c r="B342" s="61"/>
      <c r="C342" s="26" t="str">
        <f>IF(EXACT(LOWER(SUBSTITUTE(D342," ","")),LOWER(SUBSTITUTE(E342," ",""))),"O","X")</f>
        <v>O</v>
      </c>
      <c r="D342" s="81" t="s">
        <v>488</v>
      </c>
      <c r="E342" s="32" t="s">
        <v>1252</v>
      </c>
      <c r="F342" s="32" t="s">
        <v>489</v>
      </c>
    </row>
    <row r="343" spans="2:6" ht="35.1" hidden="1" customHeight="1" thickBot="1" x14ac:dyDescent="0.35">
      <c r="B343" s="61"/>
      <c r="C343" s="26" t="str">
        <f>IF(EXACT(SUBSTITUTE(D343," ",""),SUBSTITUTE(E343," ","")),"O","X")</f>
        <v>O</v>
      </c>
      <c r="D343" s="81" t="s">
        <v>557</v>
      </c>
      <c r="E343" s="32" t="s">
        <v>1273</v>
      </c>
      <c r="F343" s="32" t="s">
        <v>578</v>
      </c>
    </row>
    <row r="344" spans="2:6" ht="35.1" hidden="1" customHeight="1" thickBot="1" x14ac:dyDescent="0.35">
      <c r="B344" s="76"/>
      <c r="C344" s="26" t="str">
        <f>IF(EXACT(SUBSTITUTE(D344," ",""),SUBSTITUTE(E344," ","")),"O","X")</f>
        <v>O</v>
      </c>
      <c r="D344" s="18" t="s">
        <v>681</v>
      </c>
      <c r="E344" s="11" t="s">
        <v>1837</v>
      </c>
      <c r="F344" s="12" t="s">
        <v>695</v>
      </c>
    </row>
    <row r="345" spans="2:6" ht="35.1" hidden="1" customHeight="1" thickBot="1" x14ac:dyDescent="0.35">
      <c r="B345" s="65"/>
      <c r="C345" s="26" t="str">
        <f>IF(EXACT(SUBSTITUTE(LOWER(D345)," ",""),SUBSTITUTE(LOWER(E345)," ","")),"O","X")</f>
        <v>O</v>
      </c>
      <c r="D345" s="83" t="s">
        <v>912</v>
      </c>
      <c r="E345" s="12" t="s">
        <v>1452</v>
      </c>
      <c r="F345" s="11" t="s">
        <v>1405</v>
      </c>
    </row>
    <row r="346" spans="2:6" ht="35.1" customHeight="1" thickBot="1" x14ac:dyDescent="0.35">
      <c r="B346" s="89"/>
      <c r="C346" s="26" t="str">
        <f>IF(EXACT(SUBSTITUTE(D346," ",""),SUBSTITUTE(E346," ","")),"O","X")</f>
        <v>X</v>
      </c>
      <c r="D346" s="82" t="s">
        <v>1732</v>
      </c>
      <c r="E346" s="45"/>
      <c r="F346" s="39" t="s">
        <v>1737</v>
      </c>
    </row>
    <row r="347" spans="2:6" ht="35.1" hidden="1" customHeight="1" thickBot="1" x14ac:dyDescent="0.35">
      <c r="B347" s="65"/>
      <c r="C347" s="26" t="str">
        <f>IF(EXACT(SUBSTITUTE(LOWER(D347)," ",""),SUBSTITUTE(LOWER(E347)," ","")),"O","X")</f>
        <v>O</v>
      </c>
      <c r="D347" s="83" t="s">
        <v>947</v>
      </c>
      <c r="E347" s="12" t="s">
        <v>947</v>
      </c>
      <c r="F347" s="11" t="s">
        <v>1360</v>
      </c>
    </row>
    <row r="348" spans="2:6" ht="35.1" hidden="1" customHeight="1" thickBot="1" x14ac:dyDescent="0.35">
      <c r="B348" s="65"/>
      <c r="C348" s="26" t="str">
        <f>IF(ISNUMBER(SEARCH("iot",SUBSTITUTE(LOWER(E348)," ",""))),"O","X")</f>
        <v>O</v>
      </c>
      <c r="D348" s="82" t="s">
        <v>1008</v>
      </c>
      <c r="E348" s="82" t="s">
        <v>1472</v>
      </c>
      <c r="F348" s="32" t="s">
        <v>961</v>
      </c>
    </row>
    <row r="349" spans="2:6" ht="35.1" hidden="1" customHeight="1" thickBot="1" x14ac:dyDescent="0.35">
      <c r="B349" s="64"/>
      <c r="C349" s="26" t="str">
        <f>IF(OR(ISNUMBER(SEARCH("CEP",SUBSTITUTE(UPPER(E349)," ",""))),ISNUMBER(SEARCH("복잡이벤트처리",SUBSTITUTE(E349," ","")))),"O","X")</f>
        <v>O</v>
      </c>
      <c r="D349" s="82" t="s">
        <v>1074</v>
      </c>
      <c r="E349" s="45" t="s">
        <v>1823</v>
      </c>
      <c r="F349" s="32" t="s">
        <v>1574</v>
      </c>
    </row>
    <row r="350" spans="2:6" ht="35.1" hidden="1" customHeight="1" thickBot="1" x14ac:dyDescent="0.35">
      <c r="B350" s="26"/>
      <c r="C350" s="26" t="str">
        <f>IF(EXACT(SUBSTITUTE(D350," ",""),SUBSTITUTE(E350," ","")),"O","X")</f>
        <v>O</v>
      </c>
      <c r="D350" s="18" t="s">
        <v>583</v>
      </c>
      <c r="E350" s="18" t="s">
        <v>583</v>
      </c>
      <c r="F350" s="11" t="s">
        <v>706</v>
      </c>
    </row>
    <row r="351" spans="2:6" ht="35.1" hidden="1" customHeight="1" thickBot="1" x14ac:dyDescent="0.35">
      <c r="B351" s="65"/>
      <c r="C351" s="26" t="str">
        <f>IF(OR(ISNUMBER(SEARCH("AR",SUBSTITUTE(UPPER(E351)," ",""))),ISNUMBER(SEARCH("증강현실",SUBSTITUTE(E351," ","")))),"O","X")</f>
        <v>O</v>
      </c>
      <c r="D351" s="82" t="s">
        <v>1027</v>
      </c>
      <c r="E351" s="45" t="s">
        <v>1612</v>
      </c>
      <c r="F351" s="32" t="s">
        <v>1527</v>
      </c>
    </row>
    <row r="352" spans="2:6" ht="35.1" hidden="1" customHeight="1" thickBot="1" x14ac:dyDescent="0.35">
      <c r="B352" s="64"/>
      <c r="C352" s="26" t="str">
        <f>IF(OR(ISNUMBER(SEARCH("단기작업우선",SUBSTITUTE(E352," ",""))),ISNUMBER(SEARCH("sjf",SUBSTITUTE(LOWER(E352)," ","")))),"O","X")</f>
        <v>O</v>
      </c>
      <c r="D352" s="83" t="s">
        <v>1337</v>
      </c>
      <c r="E352" s="12" t="s">
        <v>1651</v>
      </c>
      <c r="F352" s="39" t="s">
        <v>1408</v>
      </c>
    </row>
    <row r="353" spans="2:6" ht="35.1" hidden="1" customHeight="1" thickBot="1" x14ac:dyDescent="0.35">
      <c r="B353" s="65"/>
      <c r="C353" s="26" t="str">
        <f>IF(EXACT(SUBSTITUTE(LOWER(D353)," ",""),SUBSTITUTE(LOWER(E353)," ","")),"O","X")</f>
        <v>O</v>
      </c>
      <c r="D353" s="83" t="s">
        <v>893</v>
      </c>
      <c r="E353" s="12" t="s">
        <v>1440</v>
      </c>
      <c r="F353" s="39" t="s">
        <v>1403</v>
      </c>
    </row>
    <row r="354" spans="2:6" ht="35.1" hidden="1" customHeight="1" thickBot="1" x14ac:dyDescent="0.35">
      <c r="B354" s="63"/>
      <c r="C354" s="26" t="str">
        <f>IF(EXACT(SUBSTITUTE(D354," ",""),SUBSTITUTE(E354," ","")),"O","X")</f>
        <v>O</v>
      </c>
      <c r="D354" s="6" t="s">
        <v>816</v>
      </c>
      <c r="E354" s="5" t="s">
        <v>816</v>
      </c>
      <c r="F354" s="27" t="s">
        <v>808</v>
      </c>
    </row>
    <row r="355" spans="2:6" ht="35.1" hidden="1" customHeight="1" thickBot="1" x14ac:dyDescent="0.35">
      <c r="B355" s="63"/>
      <c r="C355" s="26" t="str">
        <f>IF(EXACT(SUBSTITUTE(D355," ",""),SUBSTITUTE(E355," ","")),"O","X")</f>
        <v>O</v>
      </c>
      <c r="D355" s="6" t="s">
        <v>37</v>
      </c>
      <c r="E355" s="27" t="s">
        <v>1879</v>
      </c>
      <c r="F355" s="27" t="s">
        <v>65</v>
      </c>
    </row>
    <row r="356" spans="2:6" ht="35.1" hidden="1" customHeight="1" thickBot="1" x14ac:dyDescent="0.35">
      <c r="B356" s="61"/>
      <c r="C356" s="26" t="str">
        <f>IF(EXACT(SUBSTITUTE(D356," ",""),SUBSTITUTE(E356," ","")),"O","X")</f>
        <v>O</v>
      </c>
      <c r="D356" s="81" t="s">
        <v>544</v>
      </c>
      <c r="E356" s="32" t="s">
        <v>1266</v>
      </c>
      <c r="F356" s="32" t="s">
        <v>545</v>
      </c>
    </row>
    <row r="357" spans="2:6" ht="35.1" hidden="1" customHeight="1" thickBot="1" x14ac:dyDescent="0.35">
      <c r="B357" s="61"/>
      <c r="C357" s="26" t="str">
        <f>IF(ISNUMBER(SEARCH("봇넷",SUBSTITUTE(E357," ",""))),"O","X")</f>
        <v>O</v>
      </c>
      <c r="D357" s="81" t="s">
        <v>548</v>
      </c>
      <c r="E357" s="32" t="s">
        <v>1268</v>
      </c>
      <c r="F357" s="32" t="s">
        <v>549</v>
      </c>
    </row>
    <row r="358" spans="2:6" ht="35.1" hidden="1" customHeight="1" thickBot="1" x14ac:dyDescent="0.35">
      <c r="B358" s="63"/>
      <c r="C358" s="26" t="str">
        <f>IF(EXACT(SUBSTITUTE(D358," ",""),SUBSTITUTE(E358," ","")),"O","X")</f>
        <v>O</v>
      </c>
      <c r="D358" s="6" t="s">
        <v>34</v>
      </c>
      <c r="E358" s="27" t="s">
        <v>112</v>
      </c>
      <c r="F358" s="27" t="s">
        <v>62</v>
      </c>
    </row>
    <row r="359" spans="2:6" ht="35.1" hidden="1" customHeight="1" thickBot="1" x14ac:dyDescent="0.35">
      <c r="B359" s="63"/>
      <c r="C359" s="26" t="str">
        <f>IF(EXACT(SUBSTITUTE(D359," ",""),SUBSTITUTE(E359," ","")),"O","X")</f>
        <v>O</v>
      </c>
      <c r="D359" s="6" t="s">
        <v>32</v>
      </c>
      <c r="E359" s="27" t="s">
        <v>110</v>
      </c>
      <c r="F359" s="27" t="s">
        <v>60</v>
      </c>
    </row>
    <row r="360" spans="2:6" ht="35.1" hidden="1" customHeight="1" thickBot="1" x14ac:dyDescent="0.35">
      <c r="B360" s="63"/>
      <c r="C360" s="26" t="str">
        <f>IF(EXACT(SUBSTITUTE(D360," ",""),SUBSTITUTE(E360," ","")),"O","X")</f>
        <v>O</v>
      </c>
      <c r="D360" s="6" t="s">
        <v>33</v>
      </c>
      <c r="E360" s="27" t="s">
        <v>111</v>
      </c>
      <c r="F360" s="27" t="s">
        <v>61</v>
      </c>
    </row>
    <row r="361" spans="2:6" ht="35.1" hidden="1" customHeight="1" thickBot="1" x14ac:dyDescent="0.35">
      <c r="B361" s="61"/>
      <c r="C361" s="26" t="str">
        <f>IF(EXACT(SUBSTITUTE(D361," ",""),SUBSTITUTE(E361," ","")),"O","X")</f>
        <v>O</v>
      </c>
      <c r="D361" s="81" t="s">
        <v>534</v>
      </c>
      <c r="E361" s="32" t="s">
        <v>1263</v>
      </c>
      <c r="F361" s="32" t="s">
        <v>535</v>
      </c>
    </row>
    <row r="362" spans="2:6" ht="35.1" hidden="1" customHeight="1" thickBot="1" x14ac:dyDescent="0.35">
      <c r="B362" s="61"/>
      <c r="C362" s="26" t="str">
        <f>IF(EXACT(SUBSTITUTE(D362," ",""),SUBSTITUTE(E362," ","")),"O","X")</f>
        <v>O</v>
      </c>
      <c r="D362" s="81" t="s">
        <v>830</v>
      </c>
      <c r="E362" s="32" t="s">
        <v>830</v>
      </c>
      <c r="F362" s="39" t="s">
        <v>837</v>
      </c>
    </row>
    <row r="363" spans="2:6" ht="35.1" hidden="1" customHeight="1" thickBot="1" x14ac:dyDescent="0.35">
      <c r="B363" s="61"/>
      <c r="C363" s="26" t="str">
        <f>IF(EXACT(LOWER(SUBSTITUTE(D363," ","")),LOWER(SUBSTITUTE(E363," ",""))),"O","X")</f>
        <v>O</v>
      </c>
      <c r="D363" s="32" t="s">
        <v>500</v>
      </c>
      <c r="E363" s="32" t="s">
        <v>1256</v>
      </c>
      <c r="F363" s="32" t="s">
        <v>501</v>
      </c>
    </row>
    <row r="364" spans="2:6" ht="30.75" hidden="1" thickBot="1" x14ac:dyDescent="0.35">
      <c r="B364" s="65"/>
      <c r="C364" s="26" t="str">
        <f>IF(ISNUMBER(SEARCH("OPT",SUBSTITUTE(E364," ",""))),"O","X")</f>
        <v>O</v>
      </c>
      <c r="D364" s="12" t="s">
        <v>885</v>
      </c>
      <c r="E364" s="12" t="s">
        <v>1438</v>
      </c>
      <c r="F364" s="39" t="s">
        <v>1400</v>
      </c>
    </row>
    <row r="365" spans="2:6" ht="35.1" hidden="1" customHeight="1" thickBot="1" x14ac:dyDescent="0.35">
      <c r="B365" s="65"/>
      <c r="C365" s="26" t="str">
        <f>IF(EXACT(SUBSTITUTE(LOWER(D365)," ",""),SUBSTITUTE(LOWER(E365)," ","")),"O","X")</f>
        <v>O</v>
      </c>
      <c r="D365" s="12" t="s">
        <v>865</v>
      </c>
      <c r="E365" s="12" t="s">
        <v>1880</v>
      </c>
      <c r="F365" s="11" t="s">
        <v>1388</v>
      </c>
    </row>
    <row r="366" spans="2:6" ht="35.1" hidden="1" customHeight="1" thickBot="1" x14ac:dyDescent="0.35">
      <c r="B366" s="65"/>
      <c r="C366" s="26" t="str">
        <f>IF(EXACT(SUBSTITUTE(LOWER(D366)," ",""),SUBSTITUTE(LOWER(E366)," ","")),"O","X")</f>
        <v>O</v>
      </c>
      <c r="D366" s="12" t="s">
        <v>867</v>
      </c>
      <c r="E366" s="12" t="s">
        <v>1881</v>
      </c>
      <c r="F366" s="11" t="s">
        <v>868</v>
      </c>
    </row>
    <row r="367" spans="2:6" ht="35.1" customHeight="1" thickBot="1" x14ac:dyDescent="0.35">
      <c r="B367" s="89"/>
      <c r="C367" s="26" t="str">
        <f>IF(EXACT(SUBSTITUTE(D367," ",""),SUBSTITUTE(E367," ","")),"O","X")</f>
        <v>X</v>
      </c>
      <c r="D367" s="27" t="s">
        <v>783</v>
      </c>
      <c r="E367" s="27"/>
      <c r="F367" s="11" t="s">
        <v>1677</v>
      </c>
    </row>
    <row r="368" spans="2:6" ht="35.1" hidden="1" customHeight="1" thickBot="1" x14ac:dyDescent="0.35">
      <c r="B368" s="75"/>
      <c r="C368" s="26" t="str">
        <f>IF(OR(ISNUMBER(SEARCH("OGSA",SUBSTITUTE(UPPER(E368)," ",""))),ISNUMBER(SEARCH("오픈그리드서비스아키텍처",SUBSTITUTE(E368," ","")))),"O","X")</f>
        <v>O</v>
      </c>
      <c r="D368" s="45" t="s">
        <v>1034</v>
      </c>
      <c r="E368" s="45" t="s">
        <v>1669</v>
      </c>
      <c r="F368" s="32" t="s">
        <v>1537</v>
      </c>
    </row>
    <row r="369" spans="2:6" ht="35.1" customHeight="1" thickBot="1" x14ac:dyDescent="0.35">
      <c r="B369" s="89"/>
      <c r="C369" s="26" t="str">
        <f>IF(OR(ISNUMBER(SEARCH("스카우터",SUBSTITUTE(E369," ",""))),ISNUMBER(SEARCH("Scouter",SUBSTITUTE(E369," ","")))),"O","X")</f>
        <v>X</v>
      </c>
      <c r="D369" s="27" t="s">
        <v>801</v>
      </c>
      <c r="E369" s="27" t="s">
        <v>1721</v>
      </c>
      <c r="F369" s="11" t="s">
        <v>804</v>
      </c>
    </row>
    <row r="370" spans="2:6" ht="35.1" hidden="1" customHeight="1" thickBot="1" x14ac:dyDescent="0.35">
      <c r="B370" s="63"/>
      <c r="C370" s="26" t="str">
        <f>IF(EXACT(SUBSTITUTE(D370," ",""),SUBSTITUTE(E370," ","")),"O","X")</f>
        <v>O</v>
      </c>
      <c r="D370" s="27" t="s">
        <v>781</v>
      </c>
      <c r="E370" s="27" t="s">
        <v>781</v>
      </c>
      <c r="F370" s="39" t="s">
        <v>1683</v>
      </c>
    </row>
    <row r="371" spans="2:6" ht="35.1" hidden="1" customHeight="1" thickBot="1" x14ac:dyDescent="0.35">
      <c r="B371" s="62"/>
      <c r="C371" s="26" t="str">
        <f>IF(EXACT(SUBSTITUTE(D371," ",""),SUBSTITUTE(E371," ","")),"O","X")</f>
        <v>O</v>
      </c>
      <c r="D371" s="27" t="s">
        <v>1722</v>
      </c>
      <c r="E371" s="27" t="s">
        <v>1722</v>
      </c>
      <c r="F371" s="11" t="s">
        <v>1703</v>
      </c>
    </row>
    <row r="372" spans="2:6" ht="35.1" hidden="1" customHeight="1" thickBot="1" x14ac:dyDescent="0.35">
      <c r="B372" s="68"/>
      <c r="C372" s="26" t="str">
        <f>IF(EXACT(SUBSTITUTE(D372," ",""),SUBSTITUTE(E372," ","")),"O","X")</f>
        <v>O</v>
      </c>
      <c r="D372" s="27" t="s">
        <v>796</v>
      </c>
      <c r="E372" s="27" t="s">
        <v>1717</v>
      </c>
      <c r="F372" s="39" t="s">
        <v>1707</v>
      </c>
    </row>
    <row r="373" spans="2:6" ht="35.1" hidden="1" customHeight="1" thickBot="1" x14ac:dyDescent="0.35">
      <c r="B373" s="61"/>
      <c r="C373" s="26" t="str">
        <f>IF(AND(ISNUMBER(SEARCH("SEED",SUBSTITUTE(E373," ",""))),ISNUMBER(SEARCH("ARIA",SUBSTITUTE(E373," ",""))),ISNUMBER(SEARCH("AES",SUBSTITUTE(E373," ",""))),ISNUMBER(SEARCH("RSA",SUBSTITUTE(E373," ",""))),ISNUMBER(SEARCH("DES",SUBSTITUTE(E373," ","")))),"O","X")</f>
        <v>O</v>
      </c>
      <c r="D373" s="32" t="s">
        <v>502</v>
      </c>
      <c r="E373" s="32" t="s">
        <v>1882</v>
      </c>
      <c r="F373" s="32" t="s">
        <v>503</v>
      </c>
    </row>
    <row r="374" spans="2:6" ht="35.1" hidden="1" customHeight="1" thickBot="1" x14ac:dyDescent="0.35">
      <c r="B374" s="65"/>
      <c r="C374" s="26" t="str">
        <f>IF(OR(ISNUMBER(SEARCH("QKD",SUBSTITUTE(UPPER(E374)," ",""))),ISNUMBER(SEARCH("양자암호키분배",SUBSTITUTE(E374," ","")))),"O","X")</f>
        <v>O</v>
      </c>
      <c r="D374" s="45" t="s">
        <v>1066</v>
      </c>
      <c r="E374" s="45" t="s">
        <v>1616</v>
      </c>
      <c r="F374" s="32" t="s">
        <v>1531</v>
      </c>
    </row>
    <row r="375" spans="2:6" ht="35.1" hidden="1" customHeight="1" thickBot="1" x14ac:dyDescent="0.35">
      <c r="B375" s="61"/>
      <c r="C375" s="26" t="str">
        <f>IF(EXACT(SUBSTITUTE(D375," ",""),SUBSTITUTE(E375," ","")),"O","X")</f>
        <v>O</v>
      </c>
      <c r="D375" s="32" t="s">
        <v>205</v>
      </c>
      <c r="E375" s="32" t="s">
        <v>1197</v>
      </c>
      <c r="F375" s="32" t="s">
        <v>206</v>
      </c>
    </row>
    <row r="376" spans="2:6" ht="35.1" hidden="1" customHeight="1" thickBot="1" x14ac:dyDescent="0.35">
      <c r="B376" s="61"/>
      <c r="C376" s="26" t="str">
        <f>IF(EXACT(SUBSTITUTE(D376," ",""),SUBSTITUTE(E376," ","")),"O","X")</f>
        <v>O</v>
      </c>
      <c r="D376" s="32" t="s">
        <v>371</v>
      </c>
      <c r="E376" s="32" t="s">
        <v>1123</v>
      </c>
      <c r="F376" s="32" t="s">
        <v>372</v>
      </c>
    </row>
    <row r="377" spans="2:6" ht="35.1" hidden="1" customHeight="1" thickBot="1" x14ac:dyDescent="0.35">
      <c r="B377" s="61"/>
      <c r="C377" s="26" t="str">
        <f>IF(EXACT(SUBSTITUTE(D377," ",""),SUBSTITUTE(E377," ","")),"O","X")</f>
        <v>O</v>
      </c>
      <c r="D377" s="32" t="s">
        <v>345</v>
      </c>
      <c r="E377" s="32" t="s">
        <v>1110</v>
      </c>
      <c r="F377" s="32" t="s">
        <v>346</v>
      </c>
    </row>
    <row r="378" spans="2:6" ht="35.1" hidden="1" customHeight="1" thickBot="1" x14ac:dyDescent="0.35">
      <c r="B378" s="61"/>
      <c r="C378" s="26" t="str">
        <f>IF(EXACT(SUBSTITUTE(D378," ",""),SUBSTITUTE(E378," ","")),"O","X")</f>
        <v>O</v>
      </c>
      <c r="D378" s="32" t="s">
        <v>369</v>
      </c>
      <c r="E378" s="32" t="s">
        <v>1122</v>
      </c>
      <c r="F378" s="32" t="s">
        <v>370</v>
      </c>
    </row>
    <row r="379" spans="2:6" ht="35.1" hidden="1" customHeight="1" thickBot="1" x14ac:dyDescent="0.35">
      <c r="B379" s="61"/>
      <c r="C379" s="26" t="str">
        <f>IF(EXACT(SUBSTITUTE(D379," ",""),SUBSTITUTE(E379," ","")),"O","X")</f>
        <v>O</v>
      </c>
      <c r="D379" s="32" t="s">
        <v>347</v>
      </c>
      <c r="E379" s="32" t="s">
        <v>1111</v>
      </c>
      <c r="F379" s="32" t="s">
        <v>348</v>
      </c>
    </row>
    <row r="380" spans="2:6" ht="35.1" hidden="1" customHeight="1" thickBot="1" x14ac:dyDescent="0.35">
      <c r="B380" s="61"/>
      <c r="C380" s="26" t="str">
        <f>IF(EXACT(SUBSTITUTE(D380," ",""),SUBSTITUTE(E380," ","")),"O","X")</f>
        <v>O</v>
      </c>
      <c r="D380" s="32" t="s">
        <v>449</v>
      </c>
      <c r="E380" s="32" t="s">
        <v>1159</v>
      </c>
      <c r="F380" s="32" t="s">
        <v>450</v>
      </c>
    </row>
    <row r="381" spans="2:6" ht="35.1" hidden="1" customHeight="1" thickBot="1" x14ac:dyDescent="0.35">
      <c r="B381" s="61"/>
      <c r="C381" s="26" t="str">
        <f>IF(EXACT(LOWER(SUBSTITUTE(D381," ","")),LOWER(SUBSTITUTE(E381," ",""))),"O","X")</f>
        <v>O</v>
      </c>
      <c r="D381" s="32" t="s">
        <v>518</v>
      </c>
      <c r="E381" s="32" t="s">
        <v>518</v>
      </c>
      <c r="F381" s="32" t="s">
        <v>519</v>
      </c>
    </row>
    <row r="382" spans="2:6" ht="35.1" hidden="1" customHeight="1" thickBot="1" x14ac:dyDescent="0.35">
      <c r="B382" s="75"/>
      <c r="C382" s="26" t="str">
        <f>IF(OR(ISNUMBER(SEARCH("PICONET",SUBSTITUTE(UPPER(E382)," ",""))),ISNUMBER(SEARCH("피코넷",SUBSTITUTE(E382," ","")))),"O","X")</f>
        <v>O</v>
      </c>
      <c r="D382" s="45" t="s">
        <v>1019</v>
      </c>
      <c r="E382" s="45" t="s">
        <v>1832</v>
      </c>
      <c r="F382" s="32" t="s">
        <v>1485</v>
      </c>
    </row>
    <row r="383" spans="2:6" ht="35.1" hidden="1" customHeight="1" thickBot="1" x14ac:dyDescent="0.35">
      <c r="B383" s="75"/>
      <c r="C383" s="26" t="str">
        <f>IF(EXACT(SUBSTITUTE(LOWER(D383)," ",""),SUBSTITUTE(LOWER(E383)," ","")),"O","X")</f>
        <v>O</v>
      </c>
      <c r="D383" s="45" t="s">
        <v>1075</v>
      </c>
      <c r="E383" s="45" t="s">
        <v>1075</v>
      </c>
      <c r="F383" s="32" t="s">
        <v>1575</v>
      </c>
    </row>
    <row r="384" spans="2:6" ht="35.1" hidden="1" customHeight="1" thickBot="1" x14ac:dyDescent="0.35">
      <c r="B384" s="61"/>
      <c r="C384" s="26" t="str">
        <f>IF(EXACT(SUBSTITUTE(D384," ",""),SUBSTITUTE(E384," ","")),"O","X")</f>
        <v>O</v>
      </c>
      <c r="D384" s="32" t="s">
        <v>433</v>
      </c>
      <c r="E384" s="32" t="s">
        <v>1151</v>
      </c>
      <c r="F384" s="32" t="s">
        <v>434</v>
      </c>
    </row>
    <row r="385" spans="1:6" ht="35.1" hidden="1" customHeight="1" thickBot="1" x14ac:dyDescent="0.35">
      <c r="B385" s="61"/>
      <c r="C385" s="26" t="str">
        <f>IF(OR(ISNUMBER(SEARCH(LOWER("분산서비스거부"),SUBSTITUTE(LOWER(E385)," ",""))),ISNUMBER(SEARCH(LOWER("DDos"),SUBSTITUTE(LOWER(E385)," ","")))),"O","X")</f>
        <v>O</v>
      </c>
      <c r="D385" s="32" t="s">
        <v>516</v>
      </c>
      <c r="E385" s="32" t="s">
        <v>1883</v>
      </c>
      <c r="F385" s="32" t="s">
        <v>517</v>
      </c>
    </row>
    <row r="386" spans="1:6" ht="35.1" hidden="1" customHeight="1" thickBot="1" x14ac:dyDescent="0.35">
      <c r="B386" s="68"/>
      <c r="C386" s="26" t="str">
        <f>IF(EXACT(SUBSTITUTE(D386," ",""),SUBSTITUTE(E386," ","")),"O","X")</f>
        <v>O</v>
      </c>
      <c r="D386" s="5" t="s">
        <v>16</v>
      </c>
      <c r="E386" s="27" t="s">
        <v>101</v>
      </c>
      <c r="F386" s="27" t="s">
        <v>87</v>
      </c>
    </row>
    <row r="387" spans="1:6" ht="35.1" hidden="1" customHeight="1" thickBot="1" x14ac:dyDescent="0.35">
      <c r="B387" s="26"/>
      <c r="C387" s="26" t="str">
        <f>IF(EXACT(SUBSTITUTE(D387," ",""),SUBSTITUTE(E387," ","")),"O","X")</f>
        <v>O</v>
      </c>
      <c r="D387" s="11" t="s">
        <v>584</v>
      </c>
      <c r="E387" s="11" t="s">
        <v>582</v>
      </c>
      <c r="F387" s="11" t="s">
        <v>707</v>
      </c>
    </row>
    <row r="388" spans="1:6" ht="35.1" hidden="1" customHeight="1" thickBot="1" x14ac:dyDescent="0.35">
      <c r="B388" s="61"/>
      <c r="C388" s="26" t="str">
        <f>IF(EXACT(SUBSTITUTE(D388," ",""),SUBSTITUTE(E388," ","")),"O","X")</f>
        <v>O</v>
      </c>
      <c r="D388" s="32" t="s">
        <v>465</v>
      </c>
      <c r="E388" s="32" t="s">
        <v>1164</v>
      </c>
      <c r="F388" s="32" t="s">
        <v>466</v>
      </c>
    </row>
    <row r="389" spans="1:6" ht="35.1" hidden="1" customHeight="1" thickBot="1" x14ac:dyDescent="0.35">
      <c r="B389" s="26"/>
      <c r="C389" s="26" t="str">
        <f>IF(EXACT(SUBSTITUTE(D389," ",""),SUBSTITUTE(E389," ","")),"O","X")</f>
        <v>O</v>
      </c>
      <c r="D389" s="11" t="s">
        <v>637</v>
      </c>
      <c r="E389" s="11" t="s">
        <v>737</v>
      </c>
      <c r="F389" s="12" t="s">
        <v>638</v>
      </c>
    </row>
    <row r="390" spans="1:6" ht="35.1" hidden="1" customHeight="1" thickBot="1" x14ac:dyDescent="0.35">
      <c r="B390" s="65"/>
      <c r="C390" s="26" t="str">
        <f>IF(OR(ISNUMBER(SEARCH("TAJO",SUBSTITUTE(UPPER(E390)," ",""))),ISNUMBER(SEARCH("타조",SUBSTITUTE(E390," ","")))),"O","X")</f>
        <v>O</v>
      </c>
      <c r="D390" s="45" t="s">
        <v>1048</v>
      </c>
      <c r="E390" s="45" t="s">
        <v>1641</v>
      </c>
      <c r="F390" s="32" t="s">
        <v>1555</v>
      </c>
    </row>
    <row r="391" spans="1:6" ht="35.1" customHeight="1" thickBot="1" x14ac:dyDescent="0.35">
      <c r="B391" s="90"/>
      <c r="C391" s="26" t="str">
        <f>IF(OR(ISNUMBER(SEARCH("HADOOP",SUBSTITUTE(UPPER(E391)," ",""))),ISNUMBER(SEARCH("하둡",SUBSTITUTE(E391," ","")))),"O","X")</f>
        <v>X</v>
      </c>
      <c r="D391" s="45" t="s">
        <v>1046</v>
      </c>
      <c r="E391" s="45" t="s">
        <v>1840</v>
      </c>
      <c r="F391" s="32" t="s">
        <v>1553</v>
      </c>
    </row>
    <row r="392" spans="1:6" ht="35.1" hidden="1" customHeight="1" thickBot="1" x14ac:dyDescent="0.35">
      <c r="B392" s="61"/>
      <c r="C392" s="26" t="str">
        <f>IF(EXACT(SUBSTITUTE(D392," ",""),SUBSTITUTE(E392," ","")),"O","X")</f>
        <v>O</v>
      </c>
      <c r="D392" s="32" t="s">
        <v>287</v>
      </c>
      <c r="E392" s="32" t="s">
        <v>1086</v>
      </c>
      <c r="F392" s="32" t="s">
        <v>288</v>
      </c>
    </row>
    <row r="393" spans="1:6" ht="35.1" hidden="1" customHeight="1" thickBot="1" x14ac:dyDescent="0.35">
      <c r="B393" s="26"/>
      <c r="C393" s="26" t="str">
        <f>IF(EXACT(SUBSTITUTE(D393," ",""),SUBSTITUTE(E393," ","")),"O","X")</f>
        <v>O</v>
      </c>
      <c r="D393" s="11" t="s">
        <v>587</v>
      </c>
      <c r="E393" s="11" t="s">
        <v>722</v>
      </c>
      <c r="F393" s="11" t="s">
        <v>708</v>
      </c>
    </row>
    <row r="394" spans="1:6" ht="35.1" hidden="1" customHeight="1" thickBot="1" x14ac:dyDescent="0.35">
      <c r="A394" s="1" t="s">
        <v>1810</v>
      </c>
      <c r="B394" s="26"/>
      <c r="C394" s="26" t="str">
        <f>IF(EXACT(SUBSTITUTE(LOWER(D394)," ",""),SUBSTITUTE(LOWER(E394)," ","")),"O","X")</f>
        <v>O</v>
      </c>
      <c r="D394" s="11" t="s">
        <v>589</v>
      </c>
      <c r="E394" s="11" t="s">
        <v>1798</v>
      </c>
      <c r="F394" s="12" t="s">
        <v>709</v>
      </c>
    </row>
    <row r="395" spans="1:6" ht="35.1" hidden="1" customHeight="1" thickBot="1" x14ac:dyDescent="0.35">
      <c r="B395" s="64"/>
      <c r="C395" s="26" t="str">
        <f>IF(AND(ISNUMBER(SEARCH("기능",SUBSTITUTE(E395," ",""))),ISNUMBER(SEARCH("비기능",SUBSTITUTE(E395," ",""))),ISNUMBER(SEARCH("사용자",SUBSTITUTE(E395," ",""))),ISNUMBER(SEARCH("시스템",SUBSTITUTE(E395," ","")))),"O","X")</f>
        <v>O</v>
      </c>
      <c r="D395" s="11" t="s">
        <v>609</v>
      </c>
      <c r="E395" s="11" t="s">
        <v>1799</v>
      </c>
      <c r="F395" s="11" t="s">
        <v>608</v>
      </c>
    </row>
    <row r="396" spans="1:6" ht="35.1" customHeight="1" thickBot="1" x14ac:dyDescent="0.35">
      <c r="B396" s="90"/>
      <c r="C396" s="26" t="str">
        <f>IF(EXACT(SUBSTITUTE(D396," ",""),SUBSTITUTE(E396," ","")),"O","X")</f>
        <v>X</v>
      </c>
      <c r="D396" s="11" t="s">
        <v>639</v>
      </c>
      <c r="E396" s="11"/>
      <c r="F396" s="11" t="s">
        <v>692</v>
      </c>
    </row>
    <row r="397" spans="1:6" ht="35.1" hidden="1" customHeight="1" thickBot="1" x14ac:dyDescent="0.35">
      <c r="B397" s="61"/>
      <c r="C397" s="26" t="str">
        <f>IF(EXACT(SUBSTITUTE(D397," ",""),SUBSTITUTE(E397," ","")),"O","X")</f>
        <v>O</v>
      </c>
      <c r="D397" s="32" t="s">
        <v>447</v>
      </c>
      <c r="E397" s="32" t="s">
        <v>1158</v>
      </c>
      <c r="F397" s="32" t="s">
        <v>448</v>
      </c>
    </row>
    <row r="398" spans="1:6" ht="35.1" hidden="1" customHeight="1" thickBot="1" x14ac:dyDescent="0.35">
      <c r="B398" s="65"/>
      <c r="C398" s="26" t="str">
        <f>IF(EXACT(SUBSTITUTE(LOWER(D398)," ",""),SUBSTITUTE(LOWER(E398)," ","")),"O","X")</f>
        <v>O</v>
      </c>
      <c r="D398" s="45" t="s">
        <v>917</v>
      </c>
      <c r="E398" s="45" t="s">
        <v>917</v>
      </c>
      <c r="F398" s="32" t="s">
        <v>916</v>
      </c>
    </row>
    <row r="399" spans="1:6" ht="35.1" hidden="1" customHeight="1" thickBot="1" x14ac:dyDescent="0.35">
      <c r="B399" s="75"/>
      <c r="C399" s="26" t="str">
        <f>IF(OR(ISNUMBER(SEARCH("프로세스제어블록",SUBSTITUTE(E399," ",""))),ISNUMBER(SEARCH("PCB",SUBSTITUTE(E399," ","")))),"O","X")</f>
        <v>O</v>
      </c>
      <c r="D399" s="12" t="s">
        <v>894</v>
      </c>
      <c r="E399" s="12" t="s">
        <v>1831</v>
      </c>
      <c r="F399" s="39" t="s">
        <v>1404</v>
      </c>
    </row>
    <row r="400" spans="1:6" ht="35.1" hidden="1" customHeight="1" thickBot="1" x14ac:dyDescent="0.35">
      <c r="B400" s="63"/>
      <c r="C400" s="26" t="str">
        <f>IF(EXACT(SUBSTITUTE(D400," ",""),SUBSTITUTE(E400," ","")),"O","X")</f>
        <v>O</v>
      </c>
      <c r="D400" s="5" t="s">
        <v>768</v>
      </c>
      <c r="E400" s="5" t="s">
        <v>768</v>
      </c>
      <c r="F400" s="11" t="s">
        <v>1675</v>
      </c>
    </row>
    <row r="401" spans="2:6" ht="35.1" hidden="1" customHeight="1" thickBot="1" x14ac:dyDescent="0.35">
      <c r="B401" s="63"/>
      <c r="C401" s="26" t="str">
        <f>IF(OR(ISNUMBER(SEARCH("RPC",SUBSTITUTE(E401," ",""))),ISNUMBER(SEARCH("원격프로시저호출",SUBSTITUTE(E401," ","")))),"O","X")</f>
        <v>O</v>
      </c>
      <c r="D401" s="5" t="s">
        <v>771</v>
      </c>
      <c r="E401" s="5" t="s">
        <v>1884</v>
      </c>
      <c r="F401" s="11" t="s">
        <v>1692</v>
      </c>
    </row>
    <row r="402" spans="2:6" ht="35.1" hidden="1" customHeight="1" thickBot="1" x14ac:dyDescent="0.35">
      <c r="B402" s="61"/>
      <c r="C402" s="26" t="str">
        <f>IF(EXACT(SUBSTITUTE(D402," ",""),SUBSTITUTE(E402," ","")),"O","X")</f>
        <v>O</v>
      </c>
      <c r="D402" s="32" t="s">
        <v>423</v>
      </c>
      <c r="E402" s="32" t="s">
        <v>1145</v>
      </c>
      <c r="F402" s="32" t="s">
        <v>424</v>
      </c>
    </row>
    <row r="403" spans="2:6" ht="35.1" hidden="1" customHeight="1" thickBot="1" x14ac:dyDescent="0.35">
      <c r="B403" s="63"/>
      <c r="C403" s="26" t="str">
        <f>IF(EXACT(SUBSTITUTE(D403," ",""),SUBSTITUTE(E403," ","")),"O","X")</f>
        <v>O</v>
      </c>
      <c r="D403" s="5" t="s">
        <v>0</v>
      </c>
      <c r="E403" s="27" t="s">
        <v>1310</v>
      </c>
      <c r="F403" s="27" t="s">
        <v>77</v>
      </c>
    </row>
    <row r="404" spans="2:6" ht="35.1" hidden="1" customHeight="1" thickBot="1" x14ac:dyDescent="0.35">
      <c r="B404" s="61"/>
      <c r="C404" s="26" t="str">
        <f>IF(EXACT(SUBSTITUTE(D404," ",""),SUBSTITUTE(E404," ","")),"O","X")</f>
        <v>O</v>
      </c>
      <c r="D404" s="32" t="s">
        <v>178</v>
      </c>
      <c r="E404" s="32" t="s">
        <v>1185</v>
      </c>
      <c r="F404" s="32" t="s">
        <v>179</v>
      </c>
    </row>
    <row r="405" spans="2:6" ht="35.1" hidden="1" customHeight="1" thickBot="1" x14ac:dyDescent="0.35">
      <c r="B405" s="65"/>
      <c r="C405" s="26" t="str">
        <f>IF(EXACT(SUBSTITUTE(LOWER(D405)," ",""),SUBSTITUTE(LOWER(E405)," ","")),"O","X")</f>
        <v>O</v>
      </c>
      <c r="D405" s="12" t="s">
        <v>946</v>
      </c>
      <c r="E405" s="12" t="s">
        <v>946</v>
      </c>
      <c r="F405" s="39" t="s">
        <v>1359</v>
      </c>
    </row>
    <row r="406" spans="2:6" ht="35.1" hidden="1" customHeight="1" thickBot="1" x14ac:dyDescent="0.35">
      <c r="B406" s="65"/>
      <c r="C406" s="26" t="str">
        <f>IF(ISNUMBER(SEARCH("WBAN",SUBSTITUTE(UPPER(E406)," ",""))),"O","X")</f>
        <v>O</v>
      </c>
      <c r="D406" s="42" t="s">
        <v>1055</v>
      </c>
      <c r="E406" s="42" t="s">
        <v>1581</v>
      </c>
      <c r="F406" s="32" t="s">
        <v>1486</v>
      </c>
    </row>
    <row r="407" spans="2:6" ht="35.1" hidden="1" customHeight="1" thickBot="1" x14ac:dyDescent="0.35">
      <c r="B407" s="61"/>
      <c r="C407" s="26" t="str">
        <f>IF(EXACT(SUBSTITUTE(D407," ",""),SUBSTITUTE(E407," ","")),"O","X")</f>
        <v>O</v>
      </c>
      <c r="D407" s="32" t="s">
        <v>567</v>
      </c>
      <c r="E407" s="32" t="s">
        <v>1277</v>
      </c>
      <c r="F407" s="32" t="s">
        <v>568</v>
      </c>
    </row>
    <row r="408" spans="2:6" ht="35.1" customHeight="1" thickBot="1" x14ac:dyDescent="0.35">
      <c r="B408" s="89"/>
      <c r="C408" s="26" t="str">
        <f>IF(EXACT(SUBSTITUTE(D408," ",""),SUBSTITUTE(E408," ","")),"O","X")</f>
        <v>X</v>
      </c>
      <c r="D408" s="27" t="s">
        <v>792</v>
      </c>
      <c r="E408" s="27" t="s">
        <v>1885</v>
      </c>
      <c r="F408" s="11" t="s">
        <v>1688</v>
      </c>
    </row>
    <row r="409" spans="2:6" ht="35.1" hidden="1" customHeight="1" thickBot="1" x14ac:dyDescent="0.35">
      <c r="B409" s="76"/>
      <c r="C409" s="26" t="str">
        <f>IF(ISNUMBER(SEARCH("WSDL",SUBSTITUTE(E409," ",""))),"O","X")</f>
        <v>O</v>
      </c>
      <c r="D409" s="32" t="s">
        <v>765</v>
      </c>
      <c r="E409" s="32" t="s">
        <v>763</v>
      </c>
      <c r="F409" s="32" t="s">
        <v>767</v>
      </c>
    </row>
    <row r="410" spans="2:6" ht="35.1" hidden="1" customHeight="1" thickBot="1" x14ac:dyDescent="0.35">
      <c r="B410" s="76"/>
      <c r="C410" s="26" t="str">
        <f>IF(EXACT(SUBSTITUTE(D410," ",""),SUBSTITUTE(E410," ","")),"O","X")</f>
        <v>O</v>
      </c>
      <c r="D410" s="27" t="s">
        <v>763</v>
      </c>
      <c r="E410" s="27" t="s">
        <v>763</v>
      </c>
      <c r="F410" s="11" t="s">
        <v>1685</v>
      </c>
    </row>
    <row r="411" spans="2:6" ht="35.1" hidden="1" customHeight="1" thickBot="1" x14ac:dyDescent="0.35">
      <c r="B411" s="61"/>
      <c r="C411" s="26" t="str">
        <f>IF(EXACT(SUBSTITUTE(D411," ",""),SUBSTITUTE(E411," ","")),"O","X")</f>
        <v>O</v>
      </c>
      <c r="D411" s="32" t="s">
        <v>540</v>
      </c>
      <c r="E411" s="32" t="s">
        <v>1303</v>
      </c>
      <c r="F411" s="32" t="s">
        <v>541</v>
      </c>
    </row>
    <row r="412" spans="2:6" ht="35.1" hidden="1" customHeight="1" thickBot="1" x14ac:dyDescent="0.35">
      <c r="B412" s="68"/>
      <c r="C412" s="26" t="str">
        <f>IF(EXACT(SUBSTITUTE(D412," ",""),SUBSTITUTE(E412," ","")),"O","X")</f>
        <v>O</v>
      </c>
      <c r="D412" s="32" t="s">
        <v>538</v>
      </c>
      <c r="E412" s="32" t="s">
        <v>1265</v>
      </c>
      <c r="F412" s="32" t="s">
        <v>539</v>
      </c>
    </row>
    <row r="413" spans="2:6" ht="35.1" hidden="1" customHeight="1" thickBot="1" x14ac:dyDescent="0.35">
      <c r="B413" s="64"/>
      <c r="C413" s="26" t="str">
        <f>IF(OR(ISNUMBER(SEARCH("MASHUP",SUBSTITUTE(UPPER(E413)," ",""))),ISNUMBER(SEARCH("매시업",SUBSTITUTE(E413," ","")))),"O","X")</f>
        <v>O</v>
      </c>
      <c r="D413" s="45" t="s">
        <v>1031</v>
      </c>
      <c r="E413" s="45" t="s">
        <v>1822</v>
      </c>
      <c r="F413" s="32" t="s">
        <v>1534</v>
      </c>
    </row>
    <row r="414" spans="2:6" ht="35.1" hidden="1" customHeight="1" thickBot="1" x14ac:dyDescent="0.35">
      <c r="B414" s="68"/>
      <c r="C414" s="26" t="str">
        <f>IF(EXACT(SUBSTITUTE(D414," ",""),SUBSTITUTE(E414," ","")),"O","X")</f>
        <v>O</v>
      </c>
      <c r="D414" s="32" t="s">
        <v>365</v>
      </c>
      <c r="E414" s="32" t="s">
        <v>1120</v>
      </c>
      <c r="F414" s="32" t="s">
        <v>366</v>
      </c>
    </row>
    <row r="415" spans="2:6" ht="35.1" customHeight="1" thickBot="1" x14ac:dyDescent="0.35">
      <c r="B415" s="89"/>
      <c r="C415" s="26" t="str">
        <f>IF(EXACT(SUBSTITUTE(D415," ",""),SUBSTITUTE(E415," ","")),"O","X")</f>
        <v>X</v>
      </c>
      <c r="D415" s="32" t="s">
        <v>311</v>
      </c>
      <c r="E415" s="32" t="s">
        <v>1886</v>
      </c>
      <c r="F415" s="32" t="s">
        <v>312</v>
      </c>
    </row>
    <row r="416" spans="2:6" ht="35.1" hidden="1" customHeight="1" thickBot="1" x14ac:dyDescent="0.35">
      <c r="B416" s="65"/>
      <c r="C416" s="26" t="str">
        <f>IF(ISNUMBER(SEARCH("표현계층",SUBSTITUTE(UPPER(E416)," ",""))),"O","X")</f>
        <v>O</v>
      </c>
      <c r="D416" s="12" t="s">
        <v>932</v>
      </c>
      <c r="E416" s="12" t="s">
        <v>1464</v>
      </c>
      <c r="F416" s="39" t="s">
        <v>1348</v>
      </c>
    </row>
    <row r="417" spans="2:6" ht="35.1" hidden="1" customHeight="1" thickBot="1" x14ac:dyDescent="0.35">
      <c r="B417" s="61"/>
      <c r="C417" s="26" t="str">
        <f>IF(EXACT(SUBSTITUTE(D417," ",""),SUBSTITUTE(E417," ","")),"O","X")</f>
        <v>O</v>
      </c>
      <c r="D417" s="32" t="s">
        <v>126</v>
      </c>
      <c r="E417" s="32" t="s">
        <v>1170</v>
      </c>
      <c r="F417" s="32" t="s">
        <v>127</v>
      </c>
    </row>
    <row r="418" spans="2:6" ht="35.1" hidden="1" customHeight="1" thickBot="1" x14ac:dyDescent="0.35">
      <c r="B418" s="61"/>
      <c r="C418" s="26" t="str">
        <f>IF(EXACT(SUBSTITUTE(D418," ",""),SUBSTITUTE(E418," ","")),"O","X")</f>
        <v>O</v>
      </c>
      <c r="D418" s="32" t="s">
        <v>128</v>
      </c>
      <c r="E418" s="32" t="s">
        <v>1171</v>
      </c>
      <c r="F418" s="32" t="s">
        <v>129</v>
      </c>
    </row>
    <row r="419" spans="2:6" ht="35.1" hidden="1" customHeight="1" thickBot="1" x14ac:dyDescent="0.35">
      <c r="B419" s="62"/>
      <c r="C419" s="26" t="str">
        <f>IF(EXACT(SUBSTITUTE(D419," ",""),SUBSTITUTE(E419," ","")),"O","X")</f>
        <v>O</v>
      </c>
      <c r="D419" s="32" t="s">
        <v>335</v>
      </c>
      <c r="E419" s="32" t="s">
        <v>1772</v>
      </c>
      <c r="F419" s="32" t="s">
        <v>336</v>
      </c>
    </row>
    <row r="420" spans="2:6" ht="35.1" hidden="1" customHeight="1" thickBot="1" x14ac:dyDescent="0.35">
      <c r="B420" s="65"/>
      <c r="C420" s="26" t="str">
        <f>IF(EXACT(SUBSTITUTE(LOWER(D420)," ",""),SUBSTITUTE(LOWER(E420)," ","")),"O","X")</f>
        <v>O</v>
      </c>
      <c r="D420" s="12" t="s">
        <v>872</v>
      </c>
      <c r="E420" s="12" t="s">
        <v>1430</v>
      </c>
      <c r="F420" s="11" t="s">
        <v>1395</v>
      </c>
    </row>
    <row r="421" spans="2:6" ht="35.1" hidden="1" customHeight="1" thickBot="1" x14ac:dyDescent="0.35">
      <c r="B421" s="61"/>
      <c r="C421" s="26" t="str">
        <f>IF(EXACT(SUBSTITUTE(D421," ",""),SUBSTITUTE(E421," ","")),"O","X")</f>
        <v>O</v>
      </c>
      <c r="D421" s="32" t="s">
        <v>257</v>
      </c>
      <c r="E421" s="32" t="s">
        <v>1206</v>
      </c>
      <c r="F421" s="32" t="s">
        <v>258</v>
      </c>
    </row>
    <row r="422" spans="2:6" ht="35.1" hidden="1" customHeight="1" thickBot="1" x14ac:dyDescent="0.35">
      <c r="B422" s="68"/>
      <c r="C422" s="26" t="str">
        <f>IF(EXACT(SUBSTITUTE(D422," ",""),SUBSTITUTE(E422," ","")),"O","X")</f>
        <v>O</v>
      </c>
      <c r="D422" s="32" t="s">
        <v>269</v>
      </c>
      <c r="E422" s="32" t="s">
        <v>1887</v>
      </c>
      <c r="F422" s="32" t="s">
        <v>270</v>
      </c>
    </row>
    <row r="423" spans="2:6" ht="35.1" hidden="1" customHeight="1" thickBot="1" x14ac:dyDescent="0.35">
      <c r="B423" s="61"/>
      <c r="C423" s="26" t="str">
        <f>IF(EXACT(SUBSTITUTE(LOWER(D423)," ",""),SUBSTITUTE(LOWER(E423)," ","")),"O","X")</f>
        <v>O</v>
      </c>
      <c r="D423" s="32" t="s">
        <v>525</v>
      </c>
      <c r="E423" s="32" t="s">
        <v>1796</v>
      </c>
      <c r="F423" s="32" t="s">
        <v>526</v>
      </c>
    </row>
    <row r="424" spans="2:6" ht="35.1" hidden="1" customHeight="1" thickBot="1" x14ac:dyDescent="0.35">
      <c r="B424" s="61"/>
      <c r="C424" s="26" t="str">
        <f>IF(EXACT(LOWER(SUBSTITUTE(D424," ","")),LOWER(SUBSTITUTE(E424," ",""))),"O","X")</f>
        <v>O</v>
      </c>
      <c r="D424" s="32" t="s">
        <v>486</v>
      </c>
      <c r="E424" s="32" t="s">
        <v>1249</v>
      </c>
      <c r="F424" s="32" t="s">
        <v>487</v>
      </c>
    </row>
    <row r="425" spans="2:6" ht="35.1" hidden="1" customHeight="1" thickBot="1" x14ac:dyDescent="0.35">
      <c r="B425" s="65"/>
      <c r="C425" s="26" t="str">
        <f>IF(ISNUMBER(SEARCH("딥러닝",SUBSTITUTE(UPPER(E425)," ",""))),"O","X")</f>
        <v>O</v>
      </c>
      <c r="D425" s="45" t="s">
        <v>1025</v>
      </c>
      <c r="E425" s="45" t="s">
        <v>1610</v>
      </c>
      <c r="F425" s="32" t="s">
        <v>1525</v>
      </c>
    </row>
    <row r="426" spans="2:6" ht="35.1" hidden="1" customHeight="1" thickBot="1" x14ac:dyDescent="0.35">
      <c r="B426" s="65"/>
      <c r="C426" s="26" t="str">
        <f>IF(OR(ISNUMBER(SEARCH("AI",SUBSTITUTE(UPPER(E426)," ",""))),ISNUMBER(SEARCH("인공지능",SUBSTITUTE(E426," ","")))),"O","X")</f>
        <v>O</v>
      </c>
      <c r="D426" s="45" t="s">
        <v>1023</v>
      </c>
      <c r="E426" s="45" t="s">
        <v>1888</v>
      </c>
      <c r="F426" s="32" t="s">
        <v>1523</v>
      </c>
    </row>
    <row r="427" spans="2:6" ht="35.1" hidden="1" customHeight="1" thickBot="1" x14ac:dyDescent="0.35">
      <c r="B427" s="62"/>
      <c r="C427" s="26"/>
      <c r="D427" s="5" t="s">
        <v>21</v>
      </c>
      <c r="E427" s="27"/>
      <c r="F427" s="27" t="s">
        <v>54</v>
      </c>
    </row>
    <row r="428" spans="2:6" ht="35.1" hidden="1" customHeight="1" thickBot="1" x14ac:dyDescent="0.35">
      <c r="B428" s="61"/>
      <c r="C428" s="26" t="str">
        <f>IF(EXACT(SUBSTITUTE(D428," ",""),SUBSTITUTE(E428," ","")),"O","X")</f>
        <v>O</v>
      </c>
      <c r="D428" s="32" t="s">
        <v>439</v>
      </c>
      <c r="E428" s="32" t="s">
        <v>1154</v>
      </c>
      <c r="F428" s="32" t="s">
        <v>440</v>
      </c>
    </row>
    <row r="429" spans="2:6" ht="35.1" hidden="1" customHeight="1" thickBot="1" x14ac:dyDescent="0.35">
      <c r="B429" s="61"/>
      <c r="C429" s="26" t="str">
        <f>IF(EXACT(SUBSTITUTE(D429," ",""),SUBSTITUTE(E429," ","")),"O","X")</f>
        <v>O</v>
      </c>
      <c r="D429" s="32" t="s">
        <v>261</v>
      </c>
      <c r="E429" s="32" t="s">
        <v>1791</v>
      </c>
      <c r="F429" s="32" t="s">
        <v>262</v>
      </c>
    </row>
    <row r="430" spans="2:6" ht="35.1" hidden="1" customHeight="1" thickBot="1" x14ac:dyDescent="0.35">
      <c r="B430" s="61"/>
      <c r="C430" s="26" t="str">
        <f>IF(EXACT(SUBSTITUTE(D430," ",""),SUBSTITUTE(E430," ","")),"O","X")</f>
        <v>O</v>
      </c>
      <c r="D430" s="32" t="s">
        <v>555</v>
      </c>
      <c r="E430" s="32" t="s">
        <v>1272</v>
      </c>
      <c r="F430" s="32" t="s">
        <v>556</v>
      </c>
    </row>
    <row r="431" spans="2:6" ht="35.1" hidden="1" customHeight="1" thickBot="1" x14ac:dyDescent="0.35">
      <c r="B431" s="65"/>
      <c r="C431" s="26" t="str">
        <f>IF(EXACT(SUBSTITUTE(LOWER(D431)," ",""),SUBSTITUTE(LOWER(E431)," ","")),"O","X")</f>
        <v>O</v>
      </c>
      <c r="D431" s="12" t="s">
        <v>919</v>
      </c>
      <c r="E431" s="12" t="s">
        <v>1889</v>
      </c>
      <c r="F431" s="11" t="s">
        <v>1411</v>
      </c>
    </row>
    <row r="432" spans="2:6" ht="35.1" hidden="1" customHeight="1" thickBot="1" x14ac:dyDescent="0.35">
      <c r="B432" s="63"/>
      <c r="C432" s="26"/>
      <c r="D432" s="35"/>
      <c r="E432" s="35"/>
      <c r="F432" s="11" t="s">
        <v>789</v>
      </c>
    </row>
    <row r="433" spans="2:6" ht="35.1" hidden="1" customHeight="1" thickBot="1" x14ac:dyDescent="0.35">
      <c r="B433" s="62"/>
      <c r="C433" s="26" t="str">
        <f>IF(EXACT(SUBSTITUTE(D433," ",""),SUBSTITUTE(E433," ","")),"O","X")</f>
        <v>O</v>
      </c>
      <c r="D433" s="32" t="s">
        <v>417</v>
      </c>
      <c r="E433" s="32" t="s">
        <v>1753</v>
      </c>
      <c r="F433" s="32" t="s">
        <v>418</v>
      </c>
    </row>
    <row r="434" spans="2:6" ht="35.1" hidden="1" customHeight="1" thickBot="1" x14ac:dyDescent="0.35">
      <c r="B434" s="68"/>
      <c r="C434" s="26" t="str">
        <f>IF(EXACT(SUBSTITUTE(D434," ",""),SUBSTITUTE(E434," ","")),"O","X")</f>
        <v>O</v>
      </c>
      <c r="D434" s="27" t="s">
        <v>786</v>
      </c>
      <c r="E434" s="27" t="s">
        <v>786</v>
      </c>
      <c r="F434" s="39" t="s">
        <v>1680</v>
      </c>
    </row>
    <row r="435" spans="2:6" ht="35.1" hidden="1" customHeight="1" thickBot="1" x14ac:dyDescent="0.35">
      <c r="B435" s="62"/>
      <c r="C435" s="26" t="str">
        <f>IF(EXACT(SUBSTITUTE(D435," ",""),SUBSTITUTE(E435," ","")),"O","X")</f>
        <v>O</v>
      </c>
      <c r="D435" s="32" t="s">
        <v>467</v>
      </c>
      <c r="E435" s="32" t="s">
        <v>1751</v>
      </c>
      <c r="F435" s="32" t="s">
        <v>468</v>
      </c>
    </row>
    <row r="436" spans="2:6" ht="35.1" hidden="1" customHeight="1" thickBot="1" x14ac:dyDescent="0.35">
      <c r="B436" s="65"/>
      <c r="C436" s="26" t="str">
        <f>IF(OR(ISNUMBER(SEARCH("METADATA",SUBSTITUTE(UPPER(E436)," ",""))),ISNUMBER(SEARCH("메타데이터",SUBSTITUTE(E436," ","")))),"O","X")</f>
        <v>O</v>
      </c>
      <c r="D436" s="45" t="s">
        <v>1044</v>
      </c>
      <c r="E436" s="45" t="s">
        <v>1890</v>
      </c>
      <c r="F436" s="32" t="s">
        <v>1551</v>
      </c>
    </row>
    <row r="437" spans="2:6" ht="35.1" hidden="1" customHeight="1" thickBot="1" x14ac:dyDescent="0.35">
      <c r="B437" s="65"/>
      <c r="C437" s="26" t="str">
        <f>IF(ISNUMBER(SEARCH("뉴럴링크",SUBSTITUTE(UPPER(E437)," ",""))),"O","X")</f>
        <v>O</v>
      </c>
      <c r="D437" s="45" t="s">
        <v>1024</v>
      </c>
      <c r="E437" s="45" t="s">
        <v>1609</v>
      </c>
      <c r="F437" s="32" t="s">
        <v>1524</v>
      </c>
    </row>
    <row r="438" spans="2:6" ht="35.1" hidden="1" customHeight="1" thickBot="1" x14ac:dyDescent="0.35">
      <c r="B438" s="65"/>
      <c r="C438" s="26" t="str">
        <f>IF(OR(ISNUMBER(SEARCH("BLE",SUBSTITUTE(UPPER(E438)," ",""))),ISNUMBER(SEARCH("저전력블루투스기술",SUBSTITUTE(E438," ","")))),"O","X")</f>
        <v>O</v>
      </c>
      <c r="D438" s="54" t="s">
        <v>1747</v>
      </c>
      <c r="E438" s="45" t="s">
        <v>1586</v>
      </c>
      <c r="F438" s="32" t="s">
        <v>1492</v>
      </c>
    </row>
    <row r="439" spans="2:6" ht="35.1" hidden="1" customHeight="1" thickBot="1" x14ac:dyDescent="0.35">
      <c r="B439" s="65"/>
      <c r="C439" s="26" t="str">
        <f>IF(ISNUMBER(SEARCH("유틸리티프로그램",SUBSTITUTE(E439," ",""))),"O","X")</f>
        <v>O</v>
      </c>
      <c r="D439" s="12" t="s">
        <v>863</v>
      </c>
      <c r="E439" s="12" t="s">
        <v>1422</v>
      </c>
      <c r="F439" s="11" t="s">
        <v>1386</v>
      </c>
    </row>
    <row r="440" spans="2:6" ht="35.1" customHeight="1" thickBot="1" x14ac:dyDescent="0.35">
      <c r="B440" s="89"/>
      <c r="C440" s="26" t="str">
        <f>IF(AND(ISNUMBER(SEARCH("union",SUBSTITUTE(E440," ",""))),ISNUMBER(SEARCH("intersection",SUBSTITUTE(E440," ",""))),ISNUMBER(SEARCH("cartesianproduct",SUBSTITUTE(E440," ",""))),ISNUMBER(SEARCH("difference",SUBSTITUTE(E440," ","")))),"O","X")</f>
        <v>X</v>
      </c>
      <c r="D440" s="29" t="s">
        <v>274</v>
      </c>
      <c r="E440" s="30" t="s">
        <v>1891</v>
      </c>
      <c r="F440" s="32" t="s">
        <v>188</v>
      </c>
    </row>
    <row r="441" spans="2:6" ht="35.1" hidden="1" customHeight="1" thickBot="1" x14ac:dyDescent="0.35">
      <c r="B441" s="61"/>
      <c r="C441" s="26" t="str">
        <f>IF(EXACT(SUBSTITUTE(D441," ",""),SUBSTITUTE(E441," ","")),"O","X")</f>
        <v>O</v>
      </c>
      <c r="D441" s="32" t="s">
        <v>532</v>
      </c>
      <c r="E441" s="32" t="s">
        <v>1262</v>
      </c>
      <c r="F441" s="32" t="s">
        <v>533</v>
      </c>
    </row>
    <row r="442" spans="2:6" ht="35.1" hidden="1" customHeight="1" thickBot="1" x14ac:dyDescent="0.35">
      <c r="B442" s="61"/>
      <c r="C442" s="26" t="str">
        <f>IF(OR(ISNUMBER(SEARCH(LOWER("해시"),SUBSTITUTE(LOWER(E442)," ",""))),ISNUMBER(SEARCH(LOWER("HASH"),SUBSTITUTE(LOWER(E442)," ","")))),"O","X")</f>
        <v>O</v>
      </c>
      <c r="D442" s="32" t="s">
        <v>504</v>
      </c>
      <c r="E442" s="32" t="s">
        <v>1257</v>
      </c>
      <c r="F442" s="32" t="s">
        <v>505</v>
      </c>
    </row>
    <row r="443" spans="2:6" ht="35.1" hidden="1" customHeight="1" thickBot="1" x14ac:dyDescent="0.35">
      <c r="B443" s="65"/>
      <c r="C443" s="26" t="str">
        <f>IF(OR(ISNUMBER(SEARCH("HASH",SUBSTITUTE(UPPER(E443)," ",""))),ISNUMBER(SEARCH("해시",SUBSTITUTE(E443," ","")))),"O","X")</f>
        <v>O</v>
      </c>
      <c r="D443" s="45" t="s">
        <v>1029</v>
      </c>
      <c r="E443" s="45" t="s">
        <v>1257</v>
      </c>
      <c r="F443" s="32" t="s">
        <v>1530</v>
      </c>
    </row>
    <row r="444" spans="2:6" ht="35.1" hidden="1" customHeight="1" thickBot="1" x14ac:dyDescent="0.35">
      <c r="B444" s="61"/>
      <c r="C444" s="26" t="str">
        <f>IF(EXACT(SUBSTITUTE(D444," ",""),SUBSTITUTE(E444," ","")),"O","X")</f>
        <v>O</v>
      </c>
      <c r="D444" s="32" t="s">
        <v>244</v>
      </c>
      <c r="E444" s="32" t="s">
        <v>1241</v>
      </c>
      <c r="F444" s="32" t="s">
        <v>1242</v>
      </c>
    </row>
    <row r="445" spans="2:6" ht="35.1" hidden="1" customHeight="1" thickBot="1" x14ac:dyDescent="0.35">
      <c r="B445" s="65"/>
      <c r="C445" s="26" t="str">
        <f>IF(EXACT(SUBSTITUTE(LOWER(D445)," ",""),SUBSTITUTE(LOWER(E445)," ","")),"O","X")</f>
        <v>O</v>
      </c>
      <c r="D445" s="12" t="s">
        <v>909</v>
      </c>
      <c r="E445" s="12" t="s">
        <v>1449</v>
      </c>
      <c r="F445" s="11" t="s">
        <v>1336</v>
      </c>
    </row>
    <row r="446" spans="2:6" ht="35.1" hidden="1" customHeight="1" thickBot="1" x14ac:dyDescent="0.35">
      <c r="B446" s="65"/>
      <c r="C446" s="26" t="str">
        <f>IF(EXACT(SUBSTITUTE(LOWER(D446)," ",""),SUBSTITUTE(LOWER(E446)," ","")),"O","X")</f>
        <v>O</v>
      </c>
      <c r="D446" s="12" t="s">
        <v>910</v>
      </c>
      <c r="E446" s="12" t="s">
        <v>1450</v>
      </c>
      <c r="F446" s="39" t="s">
        <v>913</v>
      </c>
    </row>
    <row r="447" spans="2:6" ht="35.1" hidden="1" customHeight="1" thickBot="1" x14ac:dyDescent="0.35">
      <c r="B447" s="63"/>
      <c r="C447" s="26" t="str">
        <f>IF(EXACT(SUBSTITUTE(D447," ",""),SUBSTITUTE(E447," ","")),"O","X")</f>
        <v>O</v>
      </c>
      <c r="D447" s="5" t="s">
        <v>1314</v>
      </c>
      <c r="E447" s="5" t="s">
        <v>1314</v>
      </c>
      <c r="F447" s="27" t="s">
        <v>75</v>
      </c>
    </row>
    <row r="448" spans="2:6" ht="35.1" hidden="1" customHeight="1" thickBot="1" x14ac:dyDescent="0.35">
      <c r="B448" s="62"/>
      <c r="C448" s="26" t="str">
        <f>IF(EXACT(SUBSTITUTE(D448," ",""),SUBSTITUTE(E448," ","")),"O","X")</f>
        <v>O</v>
      </c>
      <c r="D448" s="5" t="s">
        <v>14</v>
      </c>
      <c r="E448" s="27" t="s">
        <v>1776</v>
      </c>
      <c r="F448" s="27" t="s">
        <v>85</v>
      </c>
    </row>
    <row r="449" spans="1:6" ht="35.1" hidden="1" customHeight="1" thickBot="1" x14ac:dyDescent="0.35">
      <c r="B449" s="61"/>
      <c r="C449" s="26" t="str">
        <f>IF(EXACT(SUBSTITUTE(D449," ",""),SUBSTITUTE(E449," ","")),"O","X")</f>
        <v>O</v>
      </c>
      <c r="D449" s="32" t="s">
        <v>451</v>
      </c>
      <c r="E449" s="32" t="s">
        <v>1160</v>
      </c>
      <c r="F449" s="32" t="s">
        <v>452</v>
      </c>
    </row>
    <row r="450" spans="1:6" ht="35.1" hidden="1" customHeight="1" thickBot="1" x14ac:dyDescent="0.35">
      <c r="B450" s="62"/>
      <c r="C450" s="26" t="str">
        <f>IF(EXACT(SUBSTITUTE(D450," ",""),SUBSTITUTE(E450," ","")),"O","X")</f>
        <v>O</v>
      </c>
      <c r="D450" s="32" t="s">
        <v>323</v>
      </c>
      <c r="E450" s="32" t="s">
        <v>1749</v>
      </c>
      <c r="F450" s="32" t="s">
        <v>324</v>
      </c>
    </row>
    <row r="451" spans="1:6" ht="35.1" hidden="1" customHeight="1" thickBot="1" x14ac:dyDescent="0.35">
      <c r="B451" s="61"/>
      <c r="C451" s="26" t="str">
        <f>IF(EXACT(SUBSTITUTE(D451," ",""),SUBSTITUTE(E451," ","")),"O","X")</f>
        <v>O</v>
      </c>
      <c r="D451" s="32" t="s">
        <v>395</v>
      </c>
      <c r="E451" s="32" t="s">
        <v>1133</v>
      </c>
      <c r="F451" s="32" t="s">
        <v>396</v>
      </c>
    </row>
    <row r="452" spans="1:6" ht="35.1" hidden="1" customHeight="1" thickBot="1" x14ac:dyDescent="0.35">
      <c r="A452" s="1" t="s">
        <v>1818</v>
      </c>
      <c r="B452" s="78"/>
      <c r="C452" s="26" t="str">
        <f>IF(EXACT(SUBSTITUTE(D452," ",""),SUBSTITUTE(E452," ","")),"O","X")</f>
        <v>O</v>
      </c>
      <c r="D452" s="5" t="s">
        <v>1839</v>
      </c>
      <c r="E452" s="5" t="s">
        <v>1839</v>
      </c>
      <c r="F452" s="27" t="s">
        <v>97</v>
      </c>
    </row>
    <row r="453" spans="1:6" ht="35.1" hidden="1" customHeight="1" thickBot="1" x14ac:dyDescent="0.35">
      <c r="B453" s="63"/>
      <c r="C453" s="26" t="str">
        <f>IF(EXACT(SUBSTITUTE(D453," ",""),SUBSTITUTE(E453," ","")),"O","X")</f>
        <v>O</v>
      </c>
      <c r="D453" s="5" t="s">
        <v>43</v>
      </c>
      <c r="E453" s="5" t="s">
        <v>119</v>
      </c>
      <c r="F453" s="27" t="s">
        <v>72</v>
      </c>
    </row>
    <row r="454" spans="1:6" ht="35.1" hidden="1" customHeight="1" thickBot="1" x14ac:dyDescent="0.35">
      <c r="B454" s="61"/>
      <c r="C454" s="26" t="str">
        <f>IF(EXACT(SUBSTITUTE(D454," ",""),SUBSTITUTE(E454," ","")),"O","X")</f>
        <v>O</v>
      </c>
      <c r="D454" s="32" t="s">
        <v>331</v>
      </c>
      <c r="E454" s="32" t="s">
        <v>1104</v>
      </c>
      <c r="F454" s="32" t="s">
        <v>332</v>
      </c>
    </row>
    <row r="455" spans="1:6" ht="35.1" hidden="1" customHeight="1" thickBot="1" x14ac:dyDescent="0.35">
      <c r="B455" s="68"/>
      <c r="C455" s="26" t="str">
        <f>IF(ISNUMBER(SEARCH("ARP스푸핑",SUBSTITUTE(E455," ",""))),"O","X")</f>
        <v>O</v>
      </c>
      <c r="D455" s="32" t="s">
        <v>579</v>
      </c>
      <c r="E455" s="32" t="s">
        <v>1286</v>
      </c>
      <c r="F455" s="32" t="s">
        <v>529</v>
      </c>
    </row>
    <row r="456" spans="1:6" ht="35.1" hidden="1" customHeight="1" thickBot="1" x14ac:dyDescent="0.35">
      <c r="B456" s="61"/>
      <c r="C456" s="26" t="str">
        <f>IF(EXACT(SUBSTITUTE(D456," ",""),SUBSTITUTE(E456," ","")),"O","X")</f>
        <v>O</v>
      </c>
      <c r="D456" s="32" t="s">
        <v>333</v>
      </c>
      <c r="E456" s="32" t="s">
        <v>1105</v>
      </c>
      <c r="F456" s="32" t="s">
        <v>334</v>
      </c>
    </row>
    <row r="457" spans="1:6" ht="30.75" hidden="1" thickBot="1" x14ac:dyDescent="0.35">
      <c r="B457" s="65"/>
      <c r="C457" s="26" t="str">
        <f>IF(ISNUMBER(SEARCH("EGP",SUBSTITUTE(UPPER(E457)," ",""))),"O","X")</f>
        <v>O</v>
      </c>
      <c r="D457" s="12" t="s">
        <v>1064</v>
      </c>
      <c r="E457" s="12" t="s">
        <v>1605</v>
      </c>
      <c r="F457" s="39" t="s">
        <v>1518</v>
      </c>
    </row>
    <row r="458" spans="1:6" ht="35.1" hidden="1" customHeight="1" thickBot="1" x14ac:dyDescent="0.35">
      <c r="A458" s="1" t="s">
        <v>1810</v>
      </c>
      <c r="B458" s="61"/>
      <c r="C458" s="26" t="str">
        <f>IF(EXACT(SUBSTITUTE(D458," ",""),SUBSTITUTE(E458," ","")),"O","X")</f>
        <v>O</v>
      </c>
      <c r="D458" s="32" t="s">
        <v>419</v>
      </c>
      <c r="E458" s="32" t="s">
        <v>1144</v>
      </c>
      <c r="F458" s="32" t="s">
        <v>420</v>
      </c>
    </row>
    <row r="459" spans="1:6" ht="35.1" customHeight="1" thickBot="1" x14ac:dyDescent="0.35">
      <c r="B459" s="89"/>
      <c r="C459" s="26" t="str">
        <f>IF(EXACT(SUBSTITUTE(D459," ",""),SUBSTITUTE(E459," ","")),"O","X")</f>
        <v>X</v>
      </c>
      <c r="D459" s="5" t="s">
        <v>40</v>
      </c>
      <c r="E459" s="5" t="s">
        <v>1797</v>
      </c>
      <c r="F459" s="27" t="s">
        <v>68</v>
      </c>
    </row>
    <row r="460" spans="1:6" ht="35.1" customHeight="1" thickBot="1" x14ac:dyDescent="0.35">
      <c r="B460" s="89"/>
      <c r="C460" s="26" t="str">
        <f>IF(EXACT(SUBSTITUTE(D460," ",""),SUBSTITUTE(E460," ","")),"O","X")</f>
        <v>X</v>
      </c>
      <c r="D460" s="5" t="s">
        <v>39</v>
      </c>
      <c r="E460" s="5" t="s">
        <v>1892</v>
      </c>
      <c r="F460" s="27" t="s">
        <v>67</v>
      </c>
    </row>
    <row r="461" spans="1:6" ht="30.75" hidden="1" thickBot="1" x14ac:dyDescent="0.35">
      <c r="B461" s="65"/>
      <c r="C461" s="26" t="str">
        <f>IF(OR(ISNUMBER(SEARCH("제출",SUBSTITUTE(E461," ",""))),ISNUMBER(SEARCH("submit",SUBSTITUTE(LOWER(E461)," ","")))),"O","X")</f>
        <v>O</v>
      </c>
      <c r="D461" s="12" t="s">
        <v>897</v>
      </c>
      <c r="E461" s="12" t="s">
        <v>1442</v>
      </c>
      <c r="F461" s="39" t="s">
        <v>906</v>
      </c>
    </row>
    <row r="462" spans="1:6" ht="30.75" hidden="1" thickBot="1" x14ac:dyDescent="0.35">
      <c r="B462" s="75"/>
      <c r="C462" s="26" t="str">
        <f>IF(ISNUMBER(SEARCH("와이선",SUBSTITUTE(LOWER(E462)," ",""))),"O","X")</f>
        <v>O</v>
      </c>
      <c r="D462" s="45" t="s">
        <v>1015</v>
      </c>
      <c r="E462" s="45" t="s">
        <v>1480</v>
      </c>
      <c r="F462" s="32" t="s">
        <v>1379</v>
      </c>
    </row>
    <row r="463" spans="1:6" ht="30.75" hidden="1" thickBot="1" x14ac:dyDescent="0.35">
      <c r="B463" s="61"/>
      <c r="C463" s="26" t="str">
        <f>IF(EXACT(SUBSTITUTE(D463," ",""),SUBSTITUTE(E463," ","")),"O","X")</f>
        <v>O</v>
      </c>
      <c r="D463" s="32" t="s">
        <v>827</v>
      </c>
      <c r="E463" s="32" t="s">
        <v>827</v>
      </c>
      <c r="F463" s="11" t="s">
        <v>834</v>
      </c>
    </row>
    <row r="464" spans="1:6" ht="35.1" hidden="1" customHeight="1" thickBot="1" x14ac:dyDescent="0.35">
      <c r="B464" s="68"/>
      <c r="C464" s="26" t="str">
        <f>IF(OR(ISNUMBER(SEARCH(LOWER("디지털저작권관리"),SUBSTITUTE(LOWER(E464)," ",""))),ISNUMBER(SEARCH(LOWER("DRM"),SUBSTITUTE(LOWER(E464)," ","")))),"O","X")</f>
        <v>O</v>
      </c>
      <c r="D464" s="11" t="s">
        <v>826</v>
      </c>
      <c r="E464" s="11" t="s">
        <v>832</v>
      </c>
      <c r="F464" s="39" t="s">
        <v>1728</v>
      </c>
    </row>
    <row r="465" spans="2:6" ht="35.1" hidden="1" customHeight="1" thickBot="1" x14ac:dyDescent="0.35">
      <c r="B465" s="62"/>
      <c r="C465" s="26" t="str">
        <f>IF(OR(ISNUMBER(SEARCH(LOWER("동기화"),SUBSTITUTE(LOWER(E465)," ",""))),ISNUMBER(SEARCH(LOWER("update"),SUBSTITUTE(LOWER(E465)," ","")))),"O","X")</f>
        <v>O</v>
      </c>
      <c r="D465" s="11" t="s">
        <v>848</v>
      </c>
      <c r="E465" s="11" t="s">
        <v>1770</v>
      </c>
      <c r="F465" s="39" t="s">
        <v>1729</v>
      </c>
    </row>
    <row r="466" spans="2:6" ht="30.75" hidden="1" thickBot="1" x14ac:dyDescent="0.35">
      <c r="B466" s="63"/>
      <c r="C466" s="26" t="str">
        <f>IF(OR(ISNUMBER(SEARCH("제니퍼",SUBSTITUTE(E466," ",""))),ISNUMBER(SEARCH("Jennifer",SUBSTITUTE(E466," ","")))),"O","X")</f>
        <v>O</v>
      </c>
      <c r="D466" s="27" t="s">
        <v>802</v>
      </c>
      <c r="E466" s="27" t="s">
        <v>1721</v>
      </c>
      <c r="F466" s="11" t="s">
        <v>803</v>
      </c>
    </row>
    <row r="467" spans="2:6" ht="35.1" hidden="1" customHeight="1" thickBot="1" x14ac:dyDescent="0.35">
      <c r="B467" s="65"/>
      <c r="C467" s="26" t="str">
        <f>IF(EXACT(SUBSTITUTE(LOWER(D467)," ",""),SUBSTITUTE(LOWER(E467)," ","")),"O","X")</f>
        <v>O</v>
      </c>
      <c r="D467" s="45" t="s">
        <v>918</v>
      </c>
      <c r="E467" s="45" t="s">
        <v>1455</v>
      </c>
      <c r="F467" s="11" t="s">
        <v>1410</v>
      </c>
    </row>
    <row r="468" spans="2:6" ht="30.75" hidden="1" thickBot="1" x14ac:dyDescent="0.35">
      <c r="B468" s="64"/>
      <c r="C468" s="26" t="str">
        <f>IF(EXACT(SUBSTITUTE(LOWER(D468)," ",""),SUBSTITUTE(LOWER(E468)," ","")),"O","X")</f>
        <v>O</v>
      </c>
      <c r="D468" s="12" t="s">
        <v>973</v>
      </c>
      <c r="E468" s="12" t="s">
        <v>1820</v>
      </c>
      <c r="F468" s="11" t="s">
        <v>1569</v>
      </c>
    </row>
    <row r="469" spans="2:6" ht="30.75" hidden="1" thickBot="1" x14ac:dyDescent="0.35">
      <c r="B469" s="77"/>
      <c r="C469" s="26" t="str">
        <f>IF(ISNUMBER(SEARCH("트래픽제어",SUBSTITUTE(UPPER(E469)," ",""))),"O","X")</f>
        <v>O</v>
      </c>
      <c r="D469" s="12" t="s">
        <v>978</v>
      </c>
      <c r="E469" s="12" t="s">
        <v>1653</v>
      </c>
      <c r="F469" s="11" t="s">
        <v>1519</v>
      </c>
    </row>
    <row r="470" spans="2:6" ht="30.75" hidden="1" thickBot="1" x14ac:dyDescent="0.35">
      <c r="B470" s="65"/>
      <c r="C470" s="26" t="str">
        <f>IF(ISNUMBER(SEARCH("물리계층",SUBSTITUTE(UPPER(E470)," ",""))),"O","X")</f>
        <v>O</v>
      </c>
      <c r="D470" s="12" t="s">
        <v>927</v>
      </c>
      <c r="E470" s="12" t="s">
        <v>1459</v>
      </c>
      <c r="F470" s="39" t="s">
        <v>1343</v>
      </c>
    </row>
    <row r="471" spans="2:6" ht="30.75" thickBot="1" x14ac:dyDescent="0.35">
      <c r="B471" s="90"/>
      <c r="C471" s="26" t="str">
        <f>IF(OR(ISNUMBER(SEARCH("구문",SUBSTITUTE(E471," ",""))),ISNUMBER(SEARCH("syntax",SUBSTITUTE(LOWER(E471)," ","")))),"O","X")</f>
        <v>X</v>
      </c>
      <c r="D471" s="12" t="s">
        <v>937</v>
      </c>
      <c r="E471" s="12" t="s">
        <v>947</v>
      </c>
      <c r="F471" s="39" t="s">
        <v>1353</v>
      </c>
    </row>
    <row r="472" spans="2:6" ht="57" hidden="1" customHeight="1" thickBot="1" x14ac:dyDescent="0.35">
      <c r="B472" s="65"/>
      <c r="C472" s="26" t="str">
        <f>IF(EXACT(SUBSTITUTE(LOWER(D472)," ",""),SUBSTITUTE(LOWER(E472)," ","")),"O","X")</f>
        <v>O</v>
      </c>
      <c r="D472" s="12" t="s">
        <v>950</v>
      </c>
      <c r="E472" s="12" t="s">
        <v>950</v>
      </c>
      <c r="F472" s="11" t="s">
        <v>1363</v>
      </c>
    </row>
    <row r="473" spans="2:6" ht="35.1" hidden="1" customHeight="1" thickBot="1" x14ac:dyDescent="0.35">
      <c r="B473" s="61"/>
      <c r="C473" s="26" t="str">
        <f>IF(EXACT(SUBSTITUTE(D473," ",""),SUBSTITUTE(E473," ","")),"O","X")</f>
        <v>O</v>
      </c>
      <c r="D473" s="32" t="s">
        <v>267</v>
      </c>
      <c r="E473" s="32" t="s">
        <v>1211</v>
      </c>
      <c r="F473" s="32" t="s">
        <v>268</v>
      </c>
    </row>
    <row r="474" spans="2:6" ht="58.5" hidden="1" customHeight="1" thickBot="1" x14ac:dyDescent="0.35">
      <c r="B474" s="65"/>
      <c r="C474" s="26" t="str">
        <f>IF(EXACT(SUBSTITUTE(LOWER(D474)," ",""),SUBSTITUTE(LOWER(E474)," ","")),"O","X")</f>
        <v>O</v>
      </c>
      <c r="D474" s="12" t="s">
        <v>942</v>
      </c>
      <c r="E474" s="12" t="s">
        <v>942</v>
      </c>
      <c r="F474" s="39" t="s">
        <v>1416</v>
      </c>
    </row>
    <row r="475" spans="2:6" ht="57" customHeight="1" thickBot="1" x14ac:dyDescent="0.35">
      <c r="B475" s="90"/>
      <c r="C475" s="26" t="str">
        <f>IF(EXACT(SUBSTITUTE(LOWER(D475)," ",""),SUBSTITUTE(LOWER(E475)," ","")),"O","X")</f>
        <v>X</v>
      </c>
      <c r="D475" s="12">
        <v>802.1</v>
      </c>
      <c r="E475" s="12"/>
      <c r="F475" s="11" t="s">
        <v>1499</v>
      </c>
    </row>
    <row r="476" spans="2:6" ht="30.75" thickBot="1" x14ac:dyDescent="0.35">
      <c r="B476" s="89"/>
      <c r="C476" s="26" t="str">
        <f>IF(EXACT(SUBSTITUTE(D476," ",""),SUBSTITUTE(E476," ","")),"O","X")</f>
        <v>X</v>
      </c>
      <c r="D476" s="32" t="s">
        <v>441</v>
      </c>
      <c r="E476" s="32" t="s">
        <v>1149</v>
      </c>
      <c r="F476" s="32" t="s">
        <v>442</v>
      </c>
    </row>
    <row r="477" spans="2:6" ht="35.1" hidden="1" customHeight="1" thickBot="1" x14ac:dyDescent="0.35">
      <c r="B477" s="68"/>
      <c r="C477" s="26" t="str">
        <f>IF(EXACT(SUBSTITUTE(D477," ",""),SUBSTITUTE(E477," ","")),"O","X")</f>
        <v>O</v>
      </c>
      <c r="D477" s="32" t="s">
        <v>242</v>
      </c>
      <c r="E477" s="32" t="s">
        <v>1240</v>
      </c>
      <c r="F477" s="32" t="s">
        <v>243</v>
      </c>
    </row>
    <row r="478" spans="2:6" ht="35.1" hidden="1" customHeight="1" thickBot="1" x14ac:dyDescent="0.35">
      <c r="B478" s="68"/>
      <c r="C478" s="26"/>
      <c r="D478" s="30"/>
      <c r="E478" s="49"/>
      <c r="F478" s="32" t="s">
        <v>237</v>
      </c>
    </row>
    <row r="479" spans="2:6" ht="35.1" hidden="1" customHeight="1" thickBot="1" x14ac:dyDescent="0.35">
      <c r="B479" s="61"/>
      <c r="C479" s="26" t="str">
        <f>IF(EXACT(SUBSTITUTE(D479," ",""),SUBSTITUTE(E479," ","")),"O","X")</f>
        <v>O</v>
      </c>
      <c r="D479" s="32" t="s">
        <v>233</v>
      </c>
      <c r="E479" s="32" t="s">
        <v>1237</v>
      </c>
      <c r="F479" s="32" t="s">
        <v>234</v>
      </c>
    </row>
    <row r="480" spans="2:6" ht="35.1" hidden="1" customHeight="1" thickBot="1" x14ac:dyDescent="0.35">
      <c r="B480" s="61"/>
      <c r="C480" s="26" t="str">
        <f>IF(EXACT(SUBSTITUTE(D480," ",""),SUBSTITUTE(E480," ","")),"O","X")</f>
        <v>O</v>
      </c>
      <c r="D480" s="32" t="s">
        <v>193</v>
      </c>
      <c r="E480" s="32" t="s">
        <v>758</v>
      </c>
      <c r="F480" s="32" t="s">
        <v>194</v>
      </c>
    </row>
    <row r="481" spans="2:6" ht="35.1" hidden="1" customHeight="1" thickBot="1" x14ac:dyDescent="0.35">
      <c r="B481" s="62"/>
      <c r="C481" s="26" t="str">
        <f>IF(EXACT(SUBSTITUTE(D481," ",""),SUBSTITUTE(E481," ","")),"O","X")</f>
        <v>O</v>
      </c>
      <c r="D481" s="32" t="s">
        <v>319</v>
      </c>
      <c r="E481" s="32" t="s">
        <v>1893</v>
      </c>
      <c r="F481" s="32" t="s">
        <v>320</v>
      </c>
    </row>
    <row r="482" spans="2:6" ht="35.1" customHeight="1" thickBot="1" x14ac:dyDescent="0.35">
      <c r="B482" s="90"/>
      <c r="C482" s="26" t="str">
        <f>IF(OR(ISNUMBER(SEARCH("SOA",SUBSTITUTE(UPPER(E482)," ",""))),ISNUMBER(SEARCH("서비스지향아키텍처",SUBSTITUTE(E482," ","")))),"O","X")</f>
        <v>X</v>
      </c>
      <c r="D482" s="45" t="s">
        <v>1071</v>
      </c>
      <c r="E482" s="45"/>
      <c r="F482" s="32" t="s">
        <v>1573</v>
      </c>
    </row>
    <row r="483" spans="2:6" ht="35.1" hidden="1" customHeight="1" thickBot="1" x14ac:dyDescent="0.35">
      <c r="B483" s="65"/>
      <c r="C483" s="26" t="str">
        <f>IF(OR(ISNUMBER(SEARCH("CC",SUBSTITUTE(UPPER(E483)," ",""))),ISNUMBER(SEARCH("공통평가기술",SUBSTITUTE(E483," ","")))),"O","X")</f>
        <v>O</v>
      </c>
      <c r="D483" s="45" t="s">
        <v>1068</v>
      </c>
      <c r="E483" s="45" t="s">
        <v>1618</v>
      </c>
      <c r="F483" s="32" t="s">
        <v>1533</v>
      </c>
    </row>
    <row r="484" spans="2:6" ht="35.1" hidden="1" customHeight="1" thickBot="1" x14ac:dyDescent="0.35">
      <c r="B484" s="61"/>
      <c r="C484" s="26" t="str">
        <f>IF(EXACT(SUBSTITUTE(D484," ",""),SUBSTITUTE(E484," ","")),"O","X")</f>
        <v>O</v>
      </c>
      <c r="D484" s="32" t="s">
        <v>558</v>
      </c>
      <c r="E484" s="32" t="s">
        <v>1305</v>
      </c>
      <c r="F484" s="32" t="s">
        <v>559</v>
      </c>
    </row>
    <row r="485" spans="2:6" ht="35.1" customHeight="1" thickBot="1" x14ac:dyDescent="0.35">
      <c r="B485" s="89"/>
      <c r="C485" s="26" t="str">
        <f>IF(ISNUMBER(SEARCH("관리",SUBSTITUTE(E485," ",""))),"O","X")</f>
        <v>X</v>
      </c>
      <c r="D485" s="11" t="s">
        <v>677</v>
      </c>
      <c r="E485" s="11" t="s">
        <v>1894</v>
      </c>
      <c r="F485" s="11" t="s">
        <v>701</v>
      </c>
    </row>
    <row r="486" spans="2:6" ht="35.1" hidden="1" customHeight="1" thickBot="1" x14ac:dyDescent="0.35">
      <c r="B486" s="61"/>
      <c r="C486" s="26" t="str">
        <f>IF(EXACT(SUBSTITUTE(D486," ",""),SUBSTITUTE(E486," ","")),"O","X")</f>
        <v>O</v>
      </c>
      <c r="D486" s="32" t="s">
        <v>235</v>
      </c>
      <c r="E486" s="32" t="s">
        <v>1203</v>
      </c>
      <c r="F486" s="32" t="s">
        <v>236</v>
      </c>
    </row>
    <row r="487" spans="2:6" ht="35.1" hidden="1" customHeight="1" thickBot="1" x14ac:dyDescent="0.35">
      <c r="B487" s="61"/>
      <c r="C487" s="26" t="str">
        <f>IF(EXACT(SUBSTITUTE(D487," ",""),SUBSTITUTE(E487," ","")),"O","X")</f>
        <v>O</v>
      </c>
      <c r="D487" s="32" t="s">
        <v>253</v>
      </c>
      <c r="E487" s="32" t="s">
        <v>1204</v>
      </c>
      <c r="F487" s="32" t="s">
        <v>254</v>
      </c>
    </row>
    <row r="488" spans="2:6" ht="35.1" hidden="1" customHeight="1" thickBot="1" x14ac:dyDescent="0.35">
      <c r="B488" s="62"/>
      <c r="C488" s="26" t="str">
        <f>IF(EXACT(SUBSTITUTE(D488," ",""),SUBSTITUTE(E488," ","")),"O","X")</f>
        <v>O</v>
      </c>
      <c r="D488" s="5" t="s">
        <v>2</v>
      </c>
      <c r="E488" s="5" t="s">
        <v>1756</v>
      </c>
      <c r="F488" s="27" t="s">
        <v>49</v>
      </c>
    </row>
    <row r="489" spans="2:6" ht="35.1" hidden="1" customHeight="1" thickBot="1" x14ac:dyDescent="0.35">
      <c r="B489" s="65"/>
      <c r="C489" s="26" t="str">
        <f>IF(OR(ISNUMBER(SEARCH("접수",SUBSTITUTE(E489," ",""))),ISNUMBER(SEARCH("hold",SUBSTITUTE(LOWER(E489)," ","")))),"O","X")</f>
        <v>O</v>
      </c>
      <c r="D489" s="12" t="s">
        <v>898</v>
      </c>
      <c r="E489" s="12" t="s">
        <v>1811</v>
      </c>
      <c r="F489" s="11" t="s">
        <v>905</v>
      </c>
    </row>
    <row r="490" spans="2:6" ht="35.1" hidden="1" customHeight="1" thickBot="1" x14ac:dyDescent="0.35">
      <c r="B490" s="62"/>
      <c r="C490" s="26" t="str">
        <f>IF(ISNUMBER(SEARCH("조건",SUBSTITUTE(E490," ",""))),"O","X")</f>
        <v>O</v>
      </c>
      <c r="D490" s="5" t="s">
        <v>9</v>
      </c>
      <c r="E490" s="27" t="s">
        <v>1775</v>
      </c>
      <c r="F490" s="27" t="s">
        <v>82</v>
      </c>
    </row>
    <row r="491" spans="2:6" ht="35.1" hidden="1" customHeight="1" thickBot="1" x14ac:dyDescent="0.35">
      <c r="B491" s="76"/>
      <c r="C491" s="26" t="str">
        <f>IF(EXACT(SUBSTITUTE(D491," ",""),SUBSTITUTE(E491," ","")),"O","X")</f>
        <v>O</v>
      </c>
      <c r="D491" s="11" t="s">
        <v>683</v>
      </c>
      <c r="E491" s="11" t="s">
        <v>1838</v>
      </c>
      <c r="F491" s="11" t="s">
        <v>698</v>
      </c>
    </row>
    <row r="492" spans="2:6" ht="35.1" hidden="1" customHeight="1" thickBot="1" x14ac:dyDescent="0.35">
      <c r="B492" s="61"/>
      <c r="C492" s="26" t="str">
        <f>IF(ISNUMBER(SEARCH("APT",SUBSTITUTE(E492," ",""))),"O","X")</f>
        <v>O</v>
      </c>
      <c r="D492" s="32" t="s">
        <v>575</v>
      </c>
      <c r="E492" s="32" t="s">
        <v>1302</v>
      </c>
      <c r="F492" s="32" t="s">
        <v>576</v>
      </c>
    </row>
    <row r="493" spans="2:6" ht="35.1" hidden="1" customHeight="1" thickBot="1" x14ac:dyDescent="0.35">
      <c r="B493" s="26"/>
      <c r="C493" s="26" t="str">
        <f>IF(EXACT(SUBSTITUTE(D493," ",""),SUBSTITUTE(E493," ","")),"O","X")</f>
        <v>O</v>
      </c>
      <c r="D493" s="11" t="s">
        <v>646</v>
      </c>
      <c r="E493" s="11" t="s">
        <v>740</v>
      </c>
      <c r="F493" s="12" t="s">
        <v>649</v>
      </c>
    </row>
    <row r="494" spans="2:6" ht="35.1" hidden="1" customHeight="1" thickBot="1" x14ac:dyDescent="0.35">
      <c r="B494" s="65"/>
      <c r="C494" s="26" t="str">
        <f>IF(EXACT(SUBSTITUTE(LOWER(D494)," ",""),SUBSTITUTE(LOWER(E494)," ","")),"O","X")</f>
        <v>O</v>
      </c>
      <c r="D494" s="12">
        <v>802.9</v>
      </c>
      <c r="E494" s="12">
        <v>802.9</v>
      </c>
      <c r="F494" s="11" t="s">
        <v>1505</v>
      </c>
    </row>
    <row r="495" spans="2:6" ht="35.1" hidden="1" customHeight="1" thickBot="1" x14ac:dyDescent="0.35">
      <c r="B495" s="75"/>
      <c r="C495" s="26" t="str">
        <f>IF(OR(ISNUMBER(SEARCH("SON",SUBSTITUTE(UPPER(E495)," ",""))),ISNUMBER(SEARCH("자동구성네트워크",SUBSTITUTE(E495," ","")))),"O","X")</f>
        <v>O</v>
      </c>
      <c r="D495" s="42" t="s">
        <v>1053</v>
      </c>
      <c r="E495" s="45" t="s">
        <v>1584</v>
      </c>
      <c r="F495" s="32" t="s">
        <v>1489</v>
      </c>
    </row>
    <row r="496" spans="2:6" ht="35.1" customHeight="1" thickBot="1" x14ac:dyDescent="0.35">
      <c r="B496" s="89"/>
      <c r="C496" s="26" t="str">
        <f>IF(EXACT(SUBSTITUTE(D496," ",""),SUBSTITUTE(E496," ","")),"O","X")</f>
        <v>X</v>
      </c>
      <c r="D496" s="11" t="s">
        <v>664</v>
      </c>
      <c r="E496" s="11" t="s">
        <v>1895</v>
      </c>
      <c r="F496" s="11" t="s">
        <v>717</v>
      </c>
    </row>
    <row r="497" spans="2:6" ht="35.1" hidden="1" customHeight="1" thickBot="1" x14ac:dyDescent="0.35">
      <c r="B497" s="62"/>
      <c r="C497" s="26" t="str">
        <f>IF(EXACT(SUBSTITUTE(D497," ",""),SUBSTITUTE(E497," ","")),"O","X")</f>
        <v>O</v>
      </c>
      <c r="D497" s="32" t="s">
        <v>229</v>
      </c>
      <c r="E497" s="32" t="s">
        <v>1896</v>
      </c>
      <c r="F497" s="32" t="s">
        <v>230</v>
      </c>
    </row>
    <row r="498" spans="2:6" ht="35.1" hidden="1" customHeight="1" thickBot="1" x14ac:dyDescent="0.35">
      <c r="B498" s="62"/>
      <c r="C498" s="26" t="str">
        <f>IF(EXACT(SUBSTITUTE(D498," ",""),SUBSTITUTE(E498," ","")),"O","X")</f>
        <v>O</v>
      </c>
      <c r="D498" s="32" t="s">
        <v>227</v>
      </c>
      <c r="E498" s="32" t="s">
        <v>1897</v>
      </c>
      <c r="F498" s="32" t="s">
        <v>228</v>
      </c>
    </row>
    <row r="499" spans="2:6" ht="35.1" hidden="1" customHeight="1" thickBot="1" x14ac:dyDescent="0.35">
      <c r="B499" s="61"/>
      <c r="C499" s="26" t="str">
        <f>IF(OR(ISNUMBER(SEARCH("강제접근통제",SUBSTITUTE(E499," ",""))),ISNUMBER(SEARCH("MAC",SUBSTITUTE(E499," ","")))),"O","X")</f>
        <v>O</v>
      </c>
      <c r="D499" s="32" t="s">
        <v>223</v>
      </c>
      <c r="E499" s="32" t="s">
        <v>1200</v>
      </c>
      <c r="F499" s="32" t="s">
        <v>224</v>
      </c>
    </row>
    <row r="500" spans="2:6" ht="35.1" hidden="1" customHeight="1" thickBot="1" x14ac:dyDescent="0.35">
      <c r="B500" s="65"/>
      <c r="C500" s="26" t="str">
        <f>IF(EXACT(SUBSTITUTE(LOWER(D500)," ",""),SUBSTITUTE(LOWER(E500)," ","")),"O","X")</f>
        <v>O</v>
      </c>
      <c r="D500" s="12" t="s">
        <v>908</v>
      </c>
      <c r="E500" s="12" t="s">
        <v>1815</v>
      </c>
      <c r="F500" s="11" t="s">
        <v>1335</v>
      </c>
    </row>
    <row r="501" spans="2:6" ht="35.1" hidden="1" customHeight="1" thickBot="1" x14ac:dyDescent="0.35">
      <c r="B501" s="65"/>
      <c r="C501" s="26" t="str">
        <f>IF(OR(ISNUMBER(SEARCH("선입선출",SUBSTITUTE(E501," ",""))),ISNUMBER(SEARCH("fcfs",SUBSTITUTE(LOWER(E501)," ","")))),"O","X")</f>
        <v>O</v>
      </c>
      <c r="D501" s="12" t="s">
        <v>914</v>
      </c>
      <c r="E501" s="12" t="s">
        <v>1453</v>
      </c>
      <c r="F501" s="39" t="s">
        <v>1407</v>
      </c>
    </row>
    <row r="502" spans="2:6" ht="35.1" hidden="1" customHeight="1" thickBot="1" x14ac:dyDescent="0.35">
      <c r="B502" s="65"/>
      <c r="C502" s="26" t="str">
        <f>IF(OR(ISNUMBER(SEARCH("실행",SUBSTITUTE(E502," ",""))),ISNUMBER(SEARCH("run",SUBSTITUTE(LOWER(E502)," ","")))),"O","X")</f>
        <v>O</v>
      </c>
      <c r="D502" s="12" t="s">
        <v>900</v>
      </c>
      <c r="E502" s="12" t="s">
        <v>1898</v>
      </c>
      <c r="F502" s="11" t="s">
        <v>904</v>
      </c>
    </row>
    <row r="503" spans="2:6" ht="30.75" hidden="1" thickBot="1" x14ac:dyDescent="0.35">
      <c r="B503" s="78"/>
      <c r="C503" s="26" t="str">
        <f>IF(EXACT(SUBSTITUTE(D503," ",""),SUBSTITUTE(E503," ","")),"O","X")</f>
        <v>O</v>
      </c>
      <c r="D503" s="5" t="s">
        <v>99</v>
      </c>
      <c r="E503" s="5" t="s">
        <v>99</v>
      </c>
      <c r="F503" s="27" t="s">
        <v>71</v>
      </c>
    </row>
    <row r="504" spans="2:6" ht="35.1" hidden="1" customHeight="1" thickBot="1" x14ac:dyDescent="0.35">
      <c r="B504" s="65"/>
      <c r="C504" s="26" t="str">
        <f>IF(OR(ISNUMBER(SEARCH("DLT",SUBSTITUTE(UPPER(E504)," ",""))),ISNUMBER(SEARCH("분장원장기술",SUBSTITUTE(E504," ","")))),"O","X")</f>
        <v>O</v>
      </c>
      <c r="D504" s="45" t="s">
        <v>1065</v>
      </c>
      <c r="E504" s="45" t="s">
        <v>1614</v>
      </c>
      <c r="F504" s="32" t="s">
        <v>1529</v>
      </c>
    </row>
    <row r="505" spans="2:6" ht="35.1" hidden="1" customHeight="1" thickBot="1" x14ac:dyDescent="0.35">
      <c r="B505" s="61"/>
      <c r="C505" s="26" t="str">
        <f>IF(EXACT(LOWER(SUBSTITUTE(D505," ","")),LOWER(SUBSTITUTE(E505," ",""))),"O","X")</f>
        <v>O</v>
      </c>
      <c r="D505" s="32" t="s">
        <v>494</v>
      </c>
      <c r="E505" s="32" t="s">
        <v>1255</v>
      </c>
      <c r="F505" s="32" t="s">
        <v>495</v>
      </c>
    </row>
    <row r="506" spans="2:6" ht="35.1" customHeight="1" thickBot="1" x14ac:dyDescent="0.35">
      <c r="B506" s="90"/>
      <c r="C506" s="26" t="str">
        <f>IF(ISNUMBER(SEARCH("그리드컴퓨팅",SUBSTITUTE(LOWER(E506)," ",""))),"O","X")</f>
        <v>X</v>
      </c>
      <c r="D506" s="45" t="s">
        <v>1012</v>
      </c>
      <c r="E506" s="45"/>
      <c r="F506" s="32" t="s">
        <v>1375</v>
      </c>
    </row>
    <row r="507" spans="2:6" ht="35.1" hidden="1" customHeight="1" thickBot="1" x14ac:dyDescent="0.35">
      <c r="B507" s="65"/>
      <c r="C507" s="26" t="str">
        <f>IF(OR(ISNUMBER(SEARCH("GIS",SUBSTITUTE(UPPER(E507)," ",""))),ISNUMBER(SEARCH("지리정보시스템",SUBSTITUTE(E507," ","")))),"O","X")</f>
        <v>O</v>
      </c>
      <c r="D507" s="42" t="s">
        <v>1056</v>
      </c>
      <c r="E507" s="42" t="s">
        <v>1582</v>
      </c>
      <c r="F507" s="32" t="s">
        <v>1487</v>
      </c>
    </row>
    <row r="508" spans="2:6" ht="35.1" hidden="1" customHeight="1" thickBot="1" x14ac:dyDescent="0.35">
      <c r="B508" s="61"/>
      <c r="C508" s="26" t="str">
        <f>IF(EXACT(SUBSTITUTE(D508," ",""),SUBSTITUTE(E508," ","")),"O","X")</f>
        <v>O</v>
      </c>
      <c r="D508" s="32" t="s">
        <v>247</v>
      </c>
      <c r="E508" s="32" t="s">
        <v>1244</v>
      </c>
      <c r="F508" s="32" t="s">
        <v>248</v>
      </c>
    </row>
    <row r="509" spans="2:6" ht="35.1" hidden="1" customHeight="1" thickBot="1" x14ac:dyDescent="0.35">
      <c r="B509" s="75"/>
      <c r="C509" s="26" t="str">
        <f>IF(OR(ISNUMBER(SEARCH("UWB",SUBSTITUTE(UPPER(E509)," ",""))),ISNUMBER(SEARCH("초광대역",SUBSTITUTE(E509," ","")))),"O","X")</f>
        <v>O</v>
      </c>
      <c r="D509" s="45" t="s">
        <v>1018</v>
      </c>
      <c r="E509" s="45" t="s">
        <v>1579</v>
      </c>
      <c r="F509" s="32" t="s">
        <v>1484</v>
      </c>
    </row>
    <row r="510" spans="2:6" ht="35.1" hidden="1" customHeight="1" thickBot="1" x14ac:dyDescent="0.35">
      <c r="B510" s="65"/>
      <c r="C510" s="26" t="str">
        <f>IF(EXACT(SUBSTITUTE(LOWER(D510)," ",""),SUBSTITUTE(LOWER(E510)," ","")),"O","X")</f>
        <v>O</v>
      </c>
      <c r="D510" s="45" t="s">
        <v>991</v>
      </c>
      <c r="E510" s="45" t="s">
        <v>1629</v>
      </c>
      <c r="F510" s="32" t="s">
        <v>1576</v>
      </c>
    </row>
    <row r="511" spans="2:6" ht="35.1" hidden="1" customHeight="1" thickBot="1" x14ac:dyDescent="0.35">
      <c r="B511" s="65"/>
      <c r="C511" s="26" t="str">
        <f>IF(ISNUMBER(SEARCH("메시네트워크",SUBSTITUTE(LOWER(E511)," ",""))),"O","X")</f>
        <v>O</v>
      </c>
      <c r="D511" s="45" t="s">
        <v>1014</v>
      </c>
      <c r="E511" s="45" t="s">
        <v>1479</v>
      </c>
      <c r="F511" s="32" t="s">
        <v>1378</v>
      </c>
    </row>
    <row r="512" spans="2:6" ht="35.1" hidden="1" customHeight="1" thickBot="1" x14ac:dyDescent="0.35">
      <c r="B512" s="61"/>
      <c r="C512" s="26" t="str">
        <f>IF(EXACT(SUBSTITUTE(D512," ",""),SUBSTITUTE(E512," ","")),"O","X")</f>
        <v>O</v>
      </c>
      <c r="D512" s="32" t="s">
        <v>255</v>
      </c>
      <c r="E512" s="32" t="s">
        <v>1790</v>
      </c>
      <c r="F512" s="32" t="s">
        <v>256</v>
      </c>
    </row>
    <row r="513" spans="2:6" ht="35.1" hidden="1" customHeight="1" thickBot="1" x14ac:dyDescent="0.35">
      <c r="B513" s="61"/>
      <c r="C513" s="26" t="str">
        <f>IF(EXACT(SUBSTITUTE(D513," ",""),SUBSTITUTE(E513," ","")),"O","X")</f>
        <v>O</v>
      </c>
      <c r="D513" s="11" t="s">
        <v>825</v>
      </c>
      <c r="E513" s="11" t="s">
        <v>1741</v>
      </c>
      <c r="F513" s="11" t="s">
        <v>1727</v>
      </c>
    </row>
    <row r="514" spans="2:6" ht="30.75" hidden="1" thickBot="1" x14ac:dyDescent="0.35">
      <c r="B514" s="62"/>
      <c r="C514" s="26" t="str">
        <f>IF(OR(ISNUMBER(SEARCH(LOWER("체크인"),SUBSTITUTE(LOWER(E514)," ",""))),ISNUMBER(SEARCH(LOWER("check-in"),SUBSTITUTE(LOWER(E514)," ","")))),"O","X")</f>
        <v>O</v>
      </c>
      <c r="D514" s="11" t="s">
        <v>846</v>
      </c>
      <c r="E514" s="11" t="s">
        <v>1825</v>
      </c>
      <c r="F514" s="39" t="s">
        <v>850</v>
      </c>
    </row>
    <row r="515" spans="2:6" ht="35.1" hidden="1" customHeight="1" thickBot="1" x14ac:dyDescent="0.35">
      <c r="B515" s="61"/>
      <c r="C515" s="26" t="str">
        <f>IF(OR(ISNUMBER(SEARCH(LOWER("커밋"),SUBSTITUTE(LOWER(E515)," ",""))),ISNUMBER(SEARCH(LOWER("commit"),SUBSTITUTE(LOWER(E515)," ","")))),"O","X")</f>
        <v>O</v>
      </c>
      <c r="D515" s="11" t="s">
        <v>847</v>
      </c>
      <c r="E515" s="11" t="s">
        <v>1769</v>
      </c>
      <c r="F515" s="11" t="s">
        <v>849</v>
      </c>
    </row>
    <row r="516" spans="2:6" ht="35.1" hidden="1" customHeight="1" thickBot="1" x14ac:dyDescent="0.35">
      <c r="B516" s="65"/>
      <c r="C516" s="26" t="str">
        <f>IF(ISNUMBER(SEARCH("BGP",SUBSTITUTE(UPPER(E516)," ",""))),"O","X")</f>
        <v>O</v>
      </c>
      <c r="D516" s="12" t="s">
        <v>977</v>
      </c>
      <c r="E516" s="12" t="s">
        <v>1606</v>
      </c>
      <c r="F516" s="11" t="s">
        <v>1570</v>
      </c>
    </row>
    <row r="517" spans="2:6" ht="35.1" customHeight="1" thickBot="1" x14ac:dyDescent="0.35">
      <c r="B517" s="90"/>
      <c r="C517" s="26" t="str">
        <f>IF(EXACT(SUBSTITUTE(D517," ",""),SUBSTITUTE(E517," ","")),"O","X")</f>
        <v>X</v>
      </c>
      <c r="D517" s="11" t="s">
        <v>647</v>
      </c>
      <c r="E517" s="11" t="s">
        <v>743</v>
      </c>
      <c r="F517" s="11" t="s">
        <v>648</v>
      </c>
    </row>
    <row r="518" spans="2:6" ht="35.1" hidden="1" customHeight="1" thickBot="1" x14ac:dyDescent="0.35">
      <c r="B518" s="64"/>
      <c r="C518" s="26" t="str">
        <f>IF(OR(ISNUMBER(SEARCH("MEMS",SUBSTITUTE(UPPER(E518)," ",""))),ISNUMBER(SEARCH("멤스",SUBSTITUTE(E518," ","")))),"O","X")</f>
        <v>O</v>
      </c>
      <c r="D518" s="42" t="s">
        <v>1077</v>
      </c>
      <c r="E518" s="42" t="s">
        <v>1655</v>
      </c>
      <c r="F518" s="32" t="s">
        <v>1546</v>
      </c>
    </row>
    <row r="519" spans="2:6" ht="66" hidden="1" customHeight="1" thickBot="1" x14ac:dyDescent="0.35">
      <c r="B519" s="65"/>
      <c r="C519" s="26" t="str">
        <f>IF(EXACT(SUBSTITUTE(LOWER(D519)," ",""),SUBSTITUTE(LOWER(E519)," ","")),"O","X")</f>
        <v>O</v>
      </c>
      <c r="D519" s="45" t="s">
        <v>887</v>
      </c>
      <c r="E519" s="45" t="s">
        <v>887</v>
      </c>
      <c r="F519" s="39" t="s">
        <v>1401</v>
      </c>
    </row>
    <row r="520" spans="2:6" ht="30.75" hidden="1" thickBot="1" x14ac:dyDescent="0.35">
      <c r="B520" s="65"/>
      <c r="C520" s="26" t="str">
        <f>IF(EXACT(SUBSTITUTE(LOWER(D520)," ",""),SUBSTITUTE(LOWER(E520)," ","")),"O","X")</f>
        <v>O</v>
      </c>
      <c r="D520" s="45" t="s">
        <v>889</v>
      </c>
      <c r="E520" s="45" t="s">
        <v>889</v>
      </c>
      <c r="F520" s="11" t="s">
        <v>891</v>
      </c>
    </row>
    <row r="521" spans="2:6" ht="64.5" hidden="1" customHeight="1" thickBot="1" x14ac:dyDescent="0.35">
      <c r="B521" s="61"/>
      <c r="C521" s="26" t="str">
        <f>IF(EXACT(SUBSTITUTE(D521," ",""),SUBSTITUTE(E521," ","")),"O","X")</f>
        <v>O</v>
      </c>
      <c r="D521" s="32" t="s">
        <v>259</v>
      </c>
      <c r="E521" s="32" t="s">
        <v>1207</v>
      </c>
      <c r="F521" s="32" t="s">
        <v>260</v>
      </c>
    </row>
    <row r="522" spans="2:6" ht="60.75" customHeight="1" thickBot="1" x14ac:dyDescent="0.35">
      <c r="B522" s="89"/>
      <c r="C522" s="26" t="str">
        <f>IF(OR(ISNUMBER(SEARCH(LOWER("저장소"),SUBSTITUTE(LOWER(E522)," ",""))),ISNUMBER(SEARCH(LOWER("Repository"),SUBSTITUTE(LOWER(E522)," ","")))),"O","X")</f>
        <v>X</v>
      </c>
      <c r="D522" s="11" t="s">
        <v>843</v>
      </c>
      <c r="E522" s="11" t="s">
        <v>1899</v>
      </c>
      <c r="F522" s="11" t="s">
        <v>853</v>
      </c>
    </row>
    <row r="523" spans="2:6" ht="30.75" hidden="1" thickBot="1" x14ac:dyDescent="0.35">
      <c r="B523" s="61"/>
      <c r="C523" s="26" t="str">
        <f>IF(EXACT(SUBSTITUTE(D523," ",""),SUBSTITUTE(E523," ","")),"O","X")</f>
        <v>O</v>
      </c>
      <c r="D523" s="32" t="s">
        <v>397</v>
      </c>
      <c r="E523" s="32" t="s">
        <v>1134</v>
      </c>
      <c r="F523" s="32" t="s">
        <v>398</v>
      </c>
    </row>
    <row r="524" spans="2:6" ht="60.75" hidden="1" customHeight="1" thickBot="1" x14ac:dyDescent="0.35">
      <c r="B524" s="61"/>
      <c r="C524" s="26" t="str">
        <f>IF(EXACT(SUBSTITUTE(D524," ",""),SUBSTITUTE(E524," ","")),"O","X")</f>
        <v>O</v>
      </c>
      <c r="D524" s="32" t="s">
        <v>553</v>
      </c>
      <c r="E524" s="32" t="s">
        <v>1271</v>
      </c>
      <c r="F524" s="32" t="s">
        <v>554</v>
      </c>
    </row>
    <row r="525" spans="2:6" ht="30.75" hidden="1" thickBot="1" x14ac:dyDescent="0.35">
      <c r="B525" s="61"/>
      <c r="C525" s="26" t="str">
        <f>IF(OR(ISNUMBER(SEARCH(LOWER("침입탐지시스템"),SUBSTITUTE(LOWER(E525)," ",""))),ISNUMBER(SEARCH(LOWER("IDS"),SUBSTITUTE(LOWER(E525)," ","")))),"O","X")</f>
        <v>O</v>
      </c>
      <c r="D525" s="32" t="s">
        <v>561</v>
      </c>
      <c r="E525" s="32" t="s">
        <v>1274</v>
      </c>
      <c r="F525" s="32" t="s">
        <v>562</v>
      </c>
    </row>
    <row r="526" spans="2:6" ht="30.75" hidden="1" thickBot="1" x14ac:dyDescent="0.35">
      <c r="B526" s="75"/>
      <c r="C526" s="26" t="str">
        <f>IF(OR(ISNUMBER(SEARCH("SEMANTICWEB",SUBSTITUTE(UPPER(E526)," ",""))),ISNUMBER(SEARCH("시맨틱웹",SUBSTITUTE(E526," ","")))),"O","X")</f>
        <v>O</v>
      </c>
      <c r="D526" s="45" t="s">
        <v>1032</v>
      </c>
      <c r="E526" s="45" t="s">
        <v>1622</v>
      </c>
      <c r="F526" s="32" t="s">
        <v>1535</v>
      </c>
    </row>
    <row r="527" spans="2:6" ht="30.75" hidden="1" thickBot="1" x14ac:dyDescent="0.35">
      <c r="B527" s="65"/>
      <c r="C527" s="26" t="str">
        <f>IF(EXACT(SUBSTITUTE(LOWER(D527)," ",""),SUBSTITUTE(LOWER(E527)," ","")),"O","X")</f>
        <v>O</v>
      </c>
      <c r="D527" s="12" t="s">
        <v>941</v>
      </c>
      <c r="E527" s="12" t="s">
        <v>1471</v>
      </c>
      <c r="F527" s="11" t="s">
        <v>1355</v>
      </c>
    </row>
    <row r="528" spans="2:6" ht="35.1" hidden="1" customHeight="1" thickBot="1" x14ac:dyDescent="0.35">
      <c r="B528" s="63"/>
      <c r="C528" s="26" t="str">
        <f>IF(EXACT(SUBSTITUTE(D528," ",""),SUBSTITUTE(E528," ","")),"O","X")</f>
        <v>O</v>
      </c>
      <c r="D528" s="5" t="s">
        <v>36</v>
      </c>
      <c r="E528" s="27" t="s">
        <v>113</v>
      </c>
      <c r="F528" s="27" t="s">
        <v>64</v>
      </c>
    </row>
    <row r="529" spans="2:6" ht="35.1" hidden="1" customHeight="1" thickBot="1" x14ac:dyDescent="0.35">
      <c r="B529" s="61"/>
      <c r="C529" s="26" t="str">
        <f>IF(EXACT(SUBSTITUTE(D529," ",""),SUBSTITUTE(E529," ","")),"O","X")</f>
        <v>O</v>
      </c>
      <c r="D529" s="32" t="s">
        <v>401</v>
      </c>
      <c r="E529" s="32" t="s">
        <v>1900</v>
      </c>
      <c r="F529" s="32" t="s">
        <v>402</v>
      </c>
    </row>
    <row r="530" spans="2:6" ht="35.1" customHeight="1" thickBot="1" x14ac:dyDescent="0.35">
      <c r="B530" s="89"/>
      <c r="C530" s="26" t="str">
        <f>IF(EXACT(SUBSTITUTE(D530," ",""),SUBSTITUTE(E530," ","")),"O","X")</f>
        <v>X</v>
      </c>
      <c r="D530" s="32" t="s">
        <v>403</v>
      </c>
      <c r="E530" s="32" t="s">
        <v>1901</v>
      </c>
      <c r="F530" s="32" t="s">
        <v>404</v>
      </c>
    </row>
    <row r="531" spans="2:6" ht="62.25" hidden="1" customHeight="1" thickBot="1" x14ac:dyDescent="0.35">
      <c r="B531" s="61"/>
      <c r="C531" s="26" t="str">
        <f>IF(EXACT(SUBSTITUTE(D531," ",""),SUBSTITUTE(E531," ","")),"O","X")</f>
        <v>O</v>
      </c>
      <c r="D531" s="32" t="s">
        <v>405</v>
      </c>
      <c r="E531" s="32" t="s">
        <v>1138</v>
      </c>
      <c r="F531" s="32" t="s">
        <v>406</v>
      </c>
    </row>
    <row r="532" spans="2:6" ht="30.75" hidden="1" thickBot="1" x14ac:dyDescent="0.35">
      <c r="B532" s="61"/>
      <c r="C532" s="26" t="str">
        <f>IF(EXACT(SUBSTITUTE(D532," ",""),SUBSTITUTE(E532," ","")),"O","X")</f>
        <v>O</v>
      </c>
      <c r="D532" s="32" t="s">
        <v>407</v>
      </c>
      <c r="E532" s="32" t="s">
        <v>1139</v>
      </c>
      <c r="F532" s="32" t="s">
        <v>408</v>
      </c>
    </row>
    <row r="533" spans="2:6" ht="30.75" hidden="1" thickBot="1" x14ac:dyDescent="0.35">
      <c r="B533" s="63"/>
      <c r="C533" s="26" t="str">
        <f>IF(OR(ISNUMBER(SEARCH("ORB",SUBSTITUTE(E533," ",""))),ISNUMBER(SEARCH("객체요청브로커",SUBSTITUTE(E533," ","")))),"O","X")</f>
        <v>O</v>
      </c>
      <c r="D533" s="5" t="s">
        <v>774</v>
      </c>
      <c r="E533" s="5" t="s">
        <v>1710</v>
      </c>
      <c r="F533" s="11" t="s">
        <v>1695</v>
      </c>
    </row>
    <row r="534" spans="2:6" ht="64.5" hidden="1" customHeight="1" thickBot="1" x14ac:dyDescent="0.35">
      <c r="B534" s="61"/>
      <c r="C534" s="26" t="str">
        <f>IF(EXACT(SUBSTITUTE(D534," ",""),SUBSTITUTE(E534," ","")),"O","X")</f>
        <v>O</v>
      </c>
      <c r="D534" s="32" t="s">
        <v>833</v>
      </c>
      <c r="E534" s="32" t="s">
        <v>833</v>
      </c>
      <c r="F534" s="39" t="s">
        <v>840</v>
      </c>
    </row>
    <row r="535" spans="2:6" ht="30.75" hidden="1" thickBot="1" x14ac:dyDescent="0.35">
      <c r="B535" s="75"/>
      <c r="C535" s="26" t="str">
        <f>IF(ISNUMBER(SEARCH("ndn",SUBSTITUTE(LOWER(E535)," ",""))),"O","X")</f>
        <v>O</v>
      </c>
      <c r="D535" s="45" t="s">
        <v>1016</v>
      </c>
      <c r="E535" s="45" t="s">
        <v>1665</v>
      </c>
      <c r="F535" s="32" t="s">
        <v>1380</v>
      </c>
    </row>
    <row r="536" spans="2:6" ht="35.1" hidden="1" customHeight="1" thickBot="1" x14ac:dyDescent="0.35">
      <c r="B536" s="61"/>
      <c r="C536" s="26" t="str">
        <f>IF(EXACT(SUBSTITUTE(D536," ",""),SUBSTITUTE(E536," ","")),"O","X")</f>
        <v>O</v>
      </c>
      <c r="D536" s="32" t="s">
        <v>831</v>
      </c>
      <c r="E536" s="32" t="s">
        <v>831</v>
      </c>
      <c r="F536" s="11" t="s">
        <v>838</v>
      </c>
    </row>
    <row r="537" spans="2:6" ht="30.75" hidden="1" thickBot="1" x14ac:dyDescent="0.35">
      <c r="B537" s="61"/>
      <c r="C537" s="26" t="str">
        <f>IF(EXACT(SUBSTITUTE(D537," ",""),SUBSTITUTE(E537," ","")),"O","X")</f>
        <v>O</v>
      </c>
      <c r="D537" s="32" t="s">
        <v>829</v>
      </c>
      <c r="E537" s="32" t="s">
        <v>829</v>
      </c>
      <c r="F537" s="11" t="s">
        <v>836</v>
      </c>
    </row>
    <row r="538" spans="2:6" ht="35.1" hidden="1" customHeight="1" thickBot="1" x14ac:dyDescent="0.35">
      <c r="B538" s="61"/>
      <c r="C538" s="26" t="str">
        <f>IF(EXACT(SUBSTITUTE(D538," ",""),SUBSTITUTE(E538," ","")),"O","X")</f>
        <v>O</v>
      </c>
      <c r="D538" s="32" t="s">
        <v>828</v>
      </c>
      <c r="E538" s="32" t="s">
        <v>828</v>
      </c>
      <c r="F538" s="11" t="s">
        <v>835</v>
      </c>
    </row>
    <row r="539" spans="2:6" ht="30.75" hidden="1" thickBot="1" x14ac:dyDescent="0.35">
      <c r="B539" s="65"/>
      <c r="C539" s="26" t="str">
        <f>IF(ISNUMBER(SEARCH("모바일클라우드컴퓨팅",SUBSTITUTE(LOWER(E539)," ",""))),"O","X")</f>
        <v>O</v>
      </c>
      <c r="D539" s="45" t="s">
        <v>1013</v>
      </c>
      <c r="E539" s="45" t="s">
        <v>1477</v>
      </c>
      <c r="F539" s="32" t="s">
        <v>1376</v>
      </c>
    </row>
    <row r="540" spans="2:6" ht="35.1" hidden="1" customHeight="1" thickBot="1" x14ac:dyDescent="0.35">
      <c r="B540" s="63"/>
      <c r="C540" s="26" t="str">
        <f>IF(EXACT(SUBSTITUTE(D540," ",""),SUBSTITUTE(E540," ","")),"O","X")</f>
        <v>O</v>
      </c>
      <c r="D540" s="5" t="s">
        <v>770</v>
      </c>
      <c r="E540" s="5" t="s">
        <v>770</v>
      </c>
      <c r="F540" s="27" t="s">
        <v>1698</v>
      </c>
    </row>
    <row r="541" spans="2:6" ht="35.1" hidden="1" customHeight="1" thickBot="1" x14ac:dyDescent="0.35">
      <c r="B541" s="79"/>
      <c r="C541" s="26" t="str">
        <f>IF(AND(ISNUMBER(SEARCH("클래스",SUBSTITUTE(E541," ",""))),ISNUMBER(SEARCH("관계",SUBSTITUTE(E541," ",""))),ISNUMBER(SEARCH("제약조건",SUBSTITUTE(E541," ","")))),"O","X")</f>
        <v>O</v>
      </c>
      <c r="D541" s="5" t="s">
        <v>636</v>
      </c>
      <c r="E541" s="5" t="s">
        <v>1327</v>
      </c>
      <c r="F541" s="11" t="s">
        <v>755</v>
      </c>
    </row>
    <row r="542" spans="2:6" ht="30.75" hidden="1" thickBot="1" x14ac:dyDescent="0.35">
      <c r="B542" s="61"/>
      <c r="C542" s="26" t="str">
        <f>IF(EXACT(SUBSTITUTE(D542," ",""),SUBSTITUTE(E542," ","")),"O","X")</f>
        <v>O</v>
      </c>
      <c r="D542" s="32" t="s">
        <v>427</v>
      </c>
      <c r="E542" s="32" t="s">
        <v>1902</v>
      </c>
      <c r="F542" s="32" t="s">
        <v>428</v>
      </c>
    </row>
    <row r="543" spans="2:6" ht="35.1" hidden="1" customHeight="1" thickBot="1" x14ac:dyDescent="0.35">
      <c r="B543" s="61"/>
      <c r="C543" s="26" t="str">
        <f>IF(EXACT(SUBSTITUTE(D543," ",""),SUBSTITUTE(E543," ","")),"O","X")</f>
        <v>O</v>
      </c>
      <c r="D543" s="32" t="s">
        <v>443</v>
      </c>
      <c r="E543" s="32" t="s">
        <v>1156</v>
      </c>
      <c r="F543" s="32" t="s">
        <v>444</v>
      </c>
    </row>
    <row r="544" spans="2:6" ht="35.1" hidden="1" customHeight="1" thickBot="1" x14ac:dyDescent="0.35">
      <c r="B544" s="61"/>
      <c r="C544" s="26" t="str">
        <f>IF(EXACT(SUBSTITUTE(D544," ",""),SUBSTITUTE(E544," ","")),"O","X")</f>
        <v>O</v>
      </c>
      <c r="D544" s="32" t="s">
        <v>415</v>
      </c>
      <c r="E544" s="32" t="s">
        <v>1903</v>
      </c>
      <c r="F544" s="32" t="s">
        <v>416</v>
      </c>
    </row>
    <row r="545" spans="2:6" ht="35.1" customHeight="1" thickBot="1" x14ac:dyDescent="0.35">
      <c r="B545" s="90"/>
      <c r="C545" s="26" t="str">
        <f>IF(EXACT(SUBSTITUTE(D545," ",""),SUBSTITUTE(E545," ","")),"O","X")</f>
        <v>X</v>
      </c>
      <c r="D545" s="11" t="s">
        <v>634</v>
      </c>
      <c r="E545" s="11" t="s">
        <v>1856</v>
      </c>
      <c r="F545" s="11" t="s">
        <v>635</v>
      </c>
    </row>
    <row r="546" spans="2:6" ht="63.75" hidden="1" customHeight="1" thickBot="1" x14ac:dyDescent="0.35">
      <c r="B546" s="61"/>
      <c r="C546" s="26" t="str">
        <f>IF(EXACT(SUBSTITUTE(D546," ",""),SUBSTITUTE(E546," ","")),"O","X")</f>
        <v>O</v>
      </c>
      <c r="D546" s="32" t="s">
        <v>265</v>
      </c>
      <c r="E546" s="32" t="s">
        <v>1904</v>
      </c>
      <c r="F546" s="32" t="s">
        <v>266</v>
      </c>
    </row>
    <row r="547" spans="2:6" ht="30.75" hidden="1" thickBot="1" x14ac:dyDescent="0.35">
      <c r="B547" s="75"/>
      <c r="C547" s="26" t="str">
        <f>IF(EXACT(SUBSTITUTE(LOWER(D547)," ",""),SUBSTITUTE(LOWER(E547)," ","")),"O","X")</f>
        <v>O</v>
      </c>
      <c r="D547" s="12" t="s">
        <v>1005</v>
      </c>
      <c r="E547" s="12" t="s">
        <v>1647</v>
      </c>
      <c r="F547" s="11" t="s">
        <v>1567</v>
      </c>
    </row>
    <row r="548" spans="2:6" ht="30.75" thickBot="1" x14ac:dyDescent="0.35">
      <c r="B548" s="89"/>
      <c r="C548" s="26" t="str">
        <f>IF(EXACT(SUBSTITUTE(D548," ",""),SUBSTITUTE(E548," ","")),"O","X")</f>
        <v>X</v>
      </c>
      <c r="D548" s="5" t="s">
        <v>1</v>
      </c>
      <c r="E548" s="27" t="s">
        <v>1762</v>
      </c>
      <c r="F548" s="27" t="s">
        <v>78</v>
      </c>
    </row>
    <row r="549" spans="2:6" ht="30.75" hidden="1" thickBot="1" x14ac:dyDescent="0.35">
      <c r="B549" s="61"/>
      <c r="C549" s="26" t="str">
        <f>IF(EXACT(SUBSTITUTE(D549," ",""),SUBSTITUTE(E549," ","")),"O","X")</f>
        <v>O</v>
      </c>
      <c r="D549" s="32" t="s">
        <v>191</v>
      </c>
      <c r="E549" s="32" t="s">
        <v>1191</v>
      </c>
      <c r="F549" s="32" t="s">
        <v>192</v>
      </c>
    </row>
    <row r="550" spans="2:6" ht="35.1" customHeight="1" thickBot="1" x14ac:dyDescent="0.35">
      <c r="B550" s="90"/>
      <c r="C550" s="26" t="str">
        <f>IF(EXACT(SUBSTITUTE(LOWER(D550)," ",""),SUBSTITUTE(LOWER(E550)," ","")),"O","X")</f>
        <v>X</v>
      </c>
      <c r="D550" s="12">
        <v>802.5</v>
      </c>
      <c r="E550" s="12">
        <v>802.4</v>
      </c>
      <c r="F550" s="11" t="s">
        <v>1503</v>
      </c>
    </row>
    <row r="551" spans="2:6" ht="30.75" thickBot="1" x14ac:dyDescent="0.35">
      <c r="B551" s="90"/>
      <c r="C551" s="26" t="str">
        <f>IF(EXACT(SUBSTITUTE(LOWER(D551)," ",""),SUBSTITUTE(LOWER(E551)," ","")),"O","X")</f>
        <v>X</v>
      </c>
      <c r="D551" s="12">
        <v>802.4</v>
      </c>
      <c r="E551" s="12">
        <v>802.3</v>
      </c>
      <c r="F551" s="11" t="s">
        <v>1502</v>
      </c>
    </row>
    <row r="552" spans="2:6" ht="30.75" hidden="1" thickBot="1" x14ac:dyDescent="0.35">
      <c r="B552" s="62"/>
      <c r="C552" s="26" t="str">
        <f>IF(AND(ISNUMBER(SEARCH("비점진",SUBSTITUTE(E552," ",""))),ISNUMBER(SEARCH("점진적",SUBSTITUTE(E552," ","")))),"O","X")</f>
        <v>O</v>
      </c>
      <c r="D552" s="14" t="s">
        <v>28</v>
      </c>
      <c r="E552" s="31" t="s">
        <v>1760</v>
      </c>
      <c r="F552" s="27" t="s">
        <v>56</v>
      </c>
    </row>
    <row r="553" spans="2:6" ht="30.75" hidden="1" thickBot="1" x14ac:dyDescent="0.35">
      <c r="B553" s="63"/>
      <c r="C553" s="26" t="str">
        <f>IF(EXACT(SUBSTITUTE(D553," ",""),SUBSTITUTE(E553," ","")),"O","X")</f>
        <v>O</v>
      </c>
      <c r="D553" s="5" t="s">
        <v>31</v>
      </c>
      <c r="E553" s="27" t="s">
        <v>109</v>
      </c>
      <c r="F553" s="27" t="s">
        <v>59</v>
      </c>
    </row>
    <row r="554" spans="2:6" ht="30.75" hidden="1" thickBot="1" x14ac:dyDescent="0.35">
      <c r="B554" s="65"/>
      <c r="C554" s="26"/>
      <c r="D554" s="44"/>
      <c r="E554" s="44"/>
      <c r="F554" s="11" t="s">
        <v>1571</v>
      </c>
    </row>
    <row r="555" spans="2:6" ht="30.75" hidden="1" thickBot="1" x14ac:dyDescent="0.35">
      <c r="B555" s="63"/>
      <c r="C555" s="26" t="str">
        <f>IF(OR(ISNUMBER(SEARCH("TP-monitor",SUBSTITUTE(E555," ",""))),ISNUMBER(SEARCH("트랜잭션처리모니터",SUBSTITUTE(E555," ","")))),"O","X")</f>
        <v>O</v>
      </c>
      <c r="D555" s="14" t="s">
        <v>773</v>
      </c>
      <c r="E555" s="14" t="s">
        <v>1905</v>
      </c>
      <c r="F555" s="11" t="s">
        <v>1694</v>
      </c>
    </row>
    <row r="556" spans="2:6" ht="35.1" hidden="1" customHeight="1" thickBot="1" x14ac:dyDescent="0.35">
      <c r="B556" s="61"/>
      <c r="C556" s="26" t="str">
        <f>IF(EXACT(SUBSTITUTE(D556," ",""),SUBSTITUTE(E556," ","")),"O","X")</f>
        <v>O</v>
      </c>
      <c r="D556" s="32" t="s">
        <v>201</v>
      </c>
      <c r="E556" s="32" t="s">
        <v>1195</v>
      </c>
      <c r="F556" s="32" t="s">
        <v>1788</v>
      </c>
    </row>
    <row r="557" spans="2:6" ht="35.1" hidden="1" customHeight="1" thickBot="1" x14ac:dyDescent="0.35">
      <c r="B557" s="61"/>
      <c r="C557" s="26" t="str">
        <f>IF(EXACT(SUBSTITUTE(D557," ",""),SUBSTITUTE(E557," ","")),"O","X")</f>
        <v>O</v>
      </c>
      <c r="D557" s="32" t="s">
        <v>203</v>
      </c>
      <c r="E557" s="32" t="s">
        <v>1196</v>
      </c>
      <c r="F557" s="32" t="s">
        <v>204</v>
      </c>
    </row>
    <row r="558" spans="2:6" ht="35.1" hidden="1" customHeight="1" thickBot="1" x14ac:dyDescent="0.35">
      <c r="B558" s="75"/>
      <c r="C558" s="26" t="str">
        <f>IF(OR(ISNUMBER(SEARCH("IMMEDIATEUPDATE",SUBSTITUTE(UPPER(E558)," ",""))),ISNUMBER(SEARCH("즉각갱신기법",SUBSTITUTE(E558," ","")))),"O","X")</f>
        <v>O</v>
      </c>
      <c r="D558" s="12" t="s">
        <v>998</v>
      </c>
      <c r="E558" s="12" t="s">
        <v>1659</v>
      </c>
      <c r="F558" s="11" t="s">
        <v>1560</v>
      </c>
    </row>
    <row r="559" spans="2:6" ht="30.75" hidden="1" thickBot="1" x14ac:dyDescent="0.35">
      <c r="B559" s="64"/>
      <c r="C559" s="26" t="str">
        <f>IF(OR(ISNUMBER(SEARCH("DEFERREDUPDATE",SUBSTITUTE(UPPER(E559)," ",""))),ISNUMBER(SEARCH("연기갱신기법",SUBSTITUTE(E559," ","")))),"O","X")</f>
        <v>O</v>
      </c>
      <c r="D559" s="12" t="s">
        <v>997</v>
      </c>
      <c r="E559" s="12" t="s">
        <v>1658</v>
      </c>
      <c r="F559" s="11" t="s">
        <v>1559</v>
      </c>
    </row>
    <row r="560" spans="2:6" ht="35.1" hidden="1" customHeight="1" thickBot="1" x14ac:dyDescent="0.35">
      <c r="B560" s="75"/>
      <c r="C560" s="26" t="str">
        <f>IF(ISNUMBER(SEARCH("타임스탬프순서",SUBSTITUTE(UPPER(E560)," ",""))),"O","X")</f>
        <v>O</v>
      </c>
      <c r="D560" s="44" t="s">
        <v>1004</v>
      </c>
      <c r="E560" s="44" t="s">
        <v>1662</v>
      </c>
      <c r="F560" s="39" t="s">
        <v>1565</v>
      </c>
    </row>
    <row r="561" spans="2:6" ht="35.1" hidden="1" customHeight="1" thickBot="1" x14ac:dyDescent="0.35">
      <c r="B561" s="65"/>
      <c r="C561" s="26" t="str">
        <f>IF(OR(ISNUMBER(SEARCH("LOCKING",SUBSTITUTE(UPPER(E561)," ",""))),ISNUMBER(SEARCH("로킹",SUBSTITUTE(E561," ","")))),"O","X")</f>
        <v>O</v>
      </c>
      <c r="D561" s="12" t="s">
        <v>1003</v>
      </c>
      <c r="E561" s="12" t="s">
        <v>1646</v>
      </c>
      <c r="F561" s="11" t="s">
        <v>1564</v>
      </c>
    </row>
    <row r="562" spans="2:6" ht="35.1" hidden="1" customHeight="1" thickBot="1" x14ac:dyDescent="0.35">
      <c r="B562" s="61"/>
      <c r="C562" s="26" t="str">
        <f>IF(EXACT(SUBSTITUTE(D562," ",""),SUBSTITUTE(E562," ","")),"O","X")</f>
        <v>O</v>
      </c>
      <c r="D562" s="32" t="s">
        <v>761</v>
      </c>
      <c r="E562" s="32" t="s">
        <v>761</v>
      </c>
      <c r="F562" s="32" t="s">
        <v>766</v>
      </c>
    </row>
    <row r="563" spans="2:6" ht="35.1" hidden="1" customHeight="1" thickBot="1" x14ac:dyDescent="0.35">
      <c r="B563" s="65"/>
      <c r="C563" s="26" t="str">
        <f>IF(ISNUMBER(SEARCH("전문가시스템",SUBSTITUTE(UPPER(E563)," ",""))),"O","X")</f>
        <v>O</v>
      </c>
      <c r="D563" s="45" t="s">
        <v>1026</v>
      </c>
      <c r="E563" s="45" t="s">
        <v>1611</v>
      </c>
      <c r="F563" s="32" t="s">
        <v>1526</v>
      </c>
    </row>
    <row r="564" spans="2:6" ht="30.75" hidden="1" thickBot="1" x14ac:dyDescent="0.35">
      <c r="B564" s="61"/>
      <c r="C564" s="26" t="str">
        <f>IF(EXACT(SUBSTITUTE(D564," ",""),SUBSTITUTE(E564," ","")),"O","X")</f>
        <v>O</v>
      </c>
      <c r="D564" s="28" t="s">
        <v>249</v>
      </c>
      <c r="E564" s="66" t="s">
        <v>1245</v>
      </c>
      <c r="F564" s="66" t="s">
        <v>250</v>
      </c>
    </row>
    <row r="565" spans="2:6" ht="30.75" hidden="1" thickBot="1" x14ac:dyDescent="0.35">
      <c r="B565" s="61"/>
      <c r="C565" s="26" t="str">
        <f>IF(EXACT(SUBSTITUTE(D565," ",""),SUBSTITUTE(E565," ","")),"O","X")</f>
        <v>O</v>
      </c>
      <c r="D565" s="32" t="s">
        <v>363</v>
      </c>
      <c r="E565" s="32" t="s">
        <v>1119</v>
      </c>
      <c r="F565" s="32" t="s">
        <v>364</v>
      </c>
    </row>
    <row r="566" spans="2:6" ht="35.1" hidden="1" customHeight="1" thickBot="1" x14ac:dyDescent="0.35">
      <c r="B566" s="65"/>
      <c r="C566" s="26" t="str">
        <f>IF(EXACT(SUBSTITUTE(LOWER(D566)," ",""),SUBSTITUTE(LOWER(E566)," ","")),"O","X")</f>
        <v>O</v>
      </c>
      <c r="D566" s="45" t="s">
        <v>989</v>
      </c>
      <c r="E566" s="45" t="s">
        <v>1628</v>
      </c>
      <c r="F566" s="32" t="s">
        <v>990</v>
      </c>
    </row>
    <row r="567" spans="2:6" ht="35.1" hidden="1" customHeight="1" thickBot="1" x14ac:dyDescent="0.35">
      <c r="B567" s="61"/>
      <c r="C567" s="26" t="str">
        <f>IF(EXACT(SUBSTITUTE(D567," ",""),SUBSTITUTE(E567," ","")),"O","X")</f>
        <v>O</v>
      </c>
      <c r="D567" s="32" t="s">
        <v>455</v>
      </c>
      <c r="E567" s="32" t="s">
        <v>1161</v>
      </c>
      <c r="F567" s="32" t="s">
        <v>456</v>
      </c>
    </row>
    <row r="568" spans="2:6" ht="35.1" hidden="1" customHeight="1" thickBot="1" x14ac:dyDescent="0.35">
      <c r="B568" s="65"/>
      <c r="C568" s="26" t="str">
        <f>IF(OR(ISNUMBER(SEARCH("VAPORWARE",SUBSTITUTE(UPPER(E568)," ",""))),ISNUMBER(SEARCH("증발품",SUBSTITUTE(E568," ","")))),"O","X")</f>
        <v>O</v>
      </c>
      <c r="D568" s="45" t="s">
        <v>1033</v>
      </c>
      <c r="E568" s="45" t="s">
        <v>1623</v>
      </c>
      <c r="F568" s="32" t="s">
        <v>1536</v>
      </c>
    </row>
    <row r="569" spans="2:6" ht="35.1" hidden="1" customHeight="1" thickBot="1" x14ac:dyDescent="0.35">
      <c r="B569" s="64"/>
      <c r="C569" s="26" t="str">
        <f>IF(AND(ISNUMBER(SEARCH("패키지",SUBSTITUTE(E569," ",""))),ISNUMBER(SEARCH("객체",SUBSTITUTE(E569," ",""))),ISNUMBER(SEARCH("의존관계",SUBSTITUTE(E569," ","")))),"O","X")</f>
        <v>O</v>
      </c>
      <c r="D569" s="11" t="s">
        <v>641</v>
      </c>
      <c r="E569" s="11" t="s">
        <v>1906</v>
      </c>
      <c r="F569" s="11" t="s">
        <v>640</v>
      </c>
    </row>
    <row r="570" spans="2:6" ht="81.75" hidden="1" thickBot="1" x14ac:dyDescent="0.35">
      <c r="B570" s="78"/>
      <c r="C570" s="26" t="str">
        <f>IF(EXACT(SUBSTITUTE(D570," ",""),SUBSTITUTE(E570," ","")),"O","X")</f>
        <v>O</v>
      </c>
      <c r="D570" s="40" t="s">
        <v>824</v>
      </c>
      <c r="E570" s="40" t="s">
        <v>1844</v>
      </c>
      <c r="F570" s="11" t="s">
        <v>1726</v>
      </c>
    </row>
    <row r="571" spans="2:6" ht="35.1" hidden="1" customHeight="1" thickBot="1" x14ac:dyDescent="0.35">
      <c r="B571" s="75"/>
      <c r="C571" s="26" t="str">
        <f>IF(EXACT(SUBSTITUTE(LOWER(D571)," ",""),SUBSTITUTE(LOWER(E571)," ","")),"O","X")</f>
        <v>O</v>
      </c>
      <c r="D571" s="12" t="s">
        <v>958</v>
      </c>
      <c r="E571" s="12" t="s">
        <v>958</v>
      </c>
      <c r="F571" s="39" t="s">
        <v>1370</v>
      </c>
    </row>
    <row r="572" spans="2:6" ht="35.1" hidden="1" customHeight="1" thickBot="1" x14ac:dyDescent="0.35">
      <c r="B572" s="61"/>
      <c r="C572" s="26" t="str">
        <f>IF(EXACT(LOWER(SUBSTITUTE(D572," ","")),LOWER(SUBSTITUTE(E572," ",""))),"O","X")</f>
        <v>O</v>
      </c>
      <c r="D572" s="32" t="s">
        <v>514</v>
      </c>
      <c r="E572" s="32" t="s">
        <v>1907</v>
      </c>
      <c r="F572" s="32" t="s">
        <v>515</v>
      </c>
    </row>
    <row r="573" spans="2:6" ht="35.1" hidden="1" customHeight="1" thickBot="1" x14ac:dyDescent="0.35">
      <c r="B573" s="61"/>
      <c r="C573" s="26" t="str">
        <f>IF(ISNUMBER(SEARCH("죽음의핑",SUBSTITUTE(E573," ",""))),"O","X")</f>
        <v>O</v>
      </c>
      <c r="D573" s="32" t="s">
        <v>509</v>
      </c>
      <c r="E573" s="32" t="s">
        <v>1258</v>
      </c>
      <c r="F573" s="32" t="s">
        <v>510</v>
      </c>
    </row>
    <row r="574" spans="2:6" ht="35.1" hidden="1" customHeight="1" thickBot="1" x14ac:dyDescent="0.35">
      <c r="B574" s="65"/>
      <c r="C574" s="26" t="str">
        <f>IF(EXACT(SUBSTITUTE(LOWER(D574)," ",""),SUBSTITUTE(LOWER(E574)," ","")),"O","X")</f>
        <v>O</v>
      </c>
      <c r="D574" s="12" t="s">
        <v>884</v>
      </c>
      <c r="E574" s="12" t="s">
        <v>1437</v>
      </c>
      <c r="F574" s="11" t="s">
        <v>1399</v>
      </c>
    </row>
    <row r="575" spans="2:6" ht="35.1" hidden="1" customHeight="1" thickBot="1" x14ac:dyDescent="0.35">
      <c r="B575" s="65"/>
      <c r="C575" s="26" t="str">
        <f>IF(ISNUMBER(SEARCH("페이지프레임",SUBSTITUTE(E575," ",""))),"O","X")</f>
        <v>O</v>
      </c>
      <c r="D575" s="12" t="s">
        <v>881</v>
      </c>
      <c r="E575" s="12" t="s">
        <v>1434</v>
      </c>
      <c r="F575" s="11" t="s">
        <v>1396</v>
      </c>
    </row>
    <row r="576" spans="2:6" ht="35.1" hidden="1" customHeight="1" thickBot="1" x14ac:dyDescent="0.35">
      <c r="B576" s="26"/>
      <c r="C576" s="26" t="str">
        <f>IF(OR(ISNUMBER(SEARCH("포함",SUBSTITUTE(E576," ",""))),ISNUMBER(SEARCH("Composition",SUBSTITUTE(E576," ","")))),"O","X")</f>
        <v>O</v>
      </c>
      <c r="D576" s="11" t="s">
        <v>622</v>
      </c>
      <c r="E576" s="11" t="s">
        <v>1802</v>
      </c>
      <c r="F576" s="11" t="s">
        <v>629</v>
      </c>
    </row>
    <row r="577" spans="2:6" ht="35.1" hidden="1" customHeight="1" thickBot="1" x14ac:dyDescent="0.35">
      <c r="B577" s="64"/>
      <c r="C577" s="26" t="str">
        <f>IF(EXACT(SUBSTITUTE(LOWER(D577)," ",""),SUBSTITUTE(LOWER(E577)," ","")),"O","X")</f>
        <v>O</v>
      </c>
      <c r="D577" s="12" t="s">
        <v>985</v>
      </c>
      <c r="E577" s="12" t="s">
        <v>1765</v>
      </c>
      <c r="F577" s="11" t="s">
        <v>984</v>
      </c>
    </row>
    <row r="578" spans="2:6" ht="35.1" hidden="1" customHeight="1" thickBot="1" x14ac:dyDescent="0.35">
      <c r="B578" s="65"/>
      <c r="C578" s="26" t="str">
        <f>IF(OR(ISNUMBER(SEARCH("PHABLET",SUBSTITUTE(UPPER(E578)," ",""))),ISNUMBER(SEARCH("패블릿",SUBSTITUTE(E578," ","")))),"O","X")</f>
        <v>O</v>
      </c>
      <c r="D578" s="45" t="s">
        <v>1039</v>
      </c>
      <c r="E578" s="45" t="s">
        <v>1633</v>
      </c>
      <c r="F578" s="32" t="s">
        <v>1544</v>
      </c>
    </row>
    <row r="579" spans="2:6" ht="35.1" hidden="1" customHeight="1" thickBot="1" x14ac:dyDescent="0.35">
      <c r="B579" s="26"/>
      <c r="C579" s="26" t="str">
        <f>IF(EXACT(SUBSTITUTE(D579," ",""),SUBSTITUTE(E579," ","")),"O","X")</f>
        <v>O</v>
      </c>
      <c r="D579" s="11" t="s">
        <v>611</v>
      </c>
      <c r="E579" s="11" t="s">
        <v>731</v>
      </c>
      <c r="F579" s="12" t="s">
        <v>688</v>
      </c>
    </row>
    <row r="580" spans="2:6" ht="35.1" hidden="1" customHeight="1" thickBot="1" x14ac:dyDescent="0.35">
      <c r="B580" s="26"/>
      <c r="C580" s="26" t="str">
        <f>IF(OR(ISNUMBER(SEARCH("리팩토링",SUBSTITUTE(E580," ",""))),ISNUMBER(SEARCH("Refactoring",SUBSTITUTE(E580," ","")))),"O","X")</f>
        <v>O</v>
      </c>
      <c r="D580" s="11" t="s">
        <v>597</v>
      </c>
      <c r="E580" s="11" t="s">
        <v>728</v>
      </c>
      <c r="F580" s="11" t="s">
        <v>600</v>
      </c>
    </row>
    <row r="581" spans="2:6" ht="35.1" hidden="1" customHeight="1" thickBot="1" x14ac:dyDescent="0.35">
      <c r="B581" s="78"/>
      <c r="C581" s="26" t="str">
        <f>IF(EXACT(SUBSTITUTE(D581," ",""),SUBSTITUTE(E581," ","")),"O","X")</f>
        <v>O</v>
      </c>
      <c r="D581" s="5" t="s">
        <v>1841</v>
      </c>
      <c r="E581" s="5" t="s">
        <v>1841</v>
      </c>
      <c r="F581" s="27" t="s">
        <v>98</v>
      </c>
    </row>
    <row r="582" spans="2:6" ht="35.1" customHeight="1" thickBot="1" x14ac:dyDescent="0.35">
      <c r="B582" s="89"/>
      <c r="C582" s="26" t="str">
        <f>IF(EXACT(SUBSTITUTE(D582," ",""),SUBSTITUTE(E582," ","")),"O","X")</f>
        <v>X</v>
      </c>
      <c r="D582" s="5" t="s">
        <v>3</v>
      </c>
      <c r="E582" s="5" t="s">
        <v>1908</v>
      </c>
      <c r="F582" s="27" t="s">
        <v>79</v>
      </c>
    </row>
    <row r="583" spans="2:6" ht="35.1" hidden="1" customHeight="1" thickBot="1" x14ac:dyDescent="0.35">
      <c r="B583" s="65"/>
      <c r="C583" s="26" t="str">
        <f>IF(ISNUMBER(SEARCH("페이징기법",SUBSTITUTE(E583," ",""))),"O","X")</f>
        <v>O</v>
      </c>
      <c r="D583" s="12" t="s">
        <v>879</v>
      </c>
      <c r="E583" s="12" t="s">
        <v>1432</v>
      </c>
      <c r="F583" s="11" t="s">
        <v>1393</v>
      </c>
    </row>
    <row r="584" spans="2:6" ht="35.1" hidden="1" customHeight="1" thickBot="1" x14ac:dyDescent="0.35">
      <c r="B584" s="78"/>
      <c r="C584" s="26" t="str">
        <f>IF(EXACT(SUBSTITUTE(D584," ",""),SUBSTITUTE(E584," ","")),"O","X")</f>
        <v>O</v>
      </c>
      <c r="D584" s="5" t="s">
        <v>1840</v>
      </c>
      <c r="E584" s="5" t="s">
        <v>1840</v>
      </c>
      <c r="F584" s="27" t="s">
        <v>1842</v>
      </c>
    </row>
    <row r="585" spans="2:6" ht="35.1" hidden="1" customHeight="1" thickBot="1" x14ac:dyDescent="0.35">
      <c r="B585" s="65"/>
      <c r="C585" s="26" t="str">
        <f>IF(EXACT(SUBSTITUTE(LOWER(D585)," ",""),SUBSTITUTE(LOWER(E585)," ","")),"O","X")</f>
        <v>O</v>
      </c>
      <c r="D585" s="12" t="s">
        <v>882</v>
      </c>
      <c r="E585" s="12" t="s">
        <v>1435</v>
      </c>
      <c r="F585" s="11" t="s">
        <v>1397</v>
      </c>
    </row>
    <row r="586" spans="2:6" ht="35.1" hidden="1" customHeight="1" thickBot="1" x14ac:dyDescent="0.35">
      <c r="B586" s="65"/>
      <c r="C586" s="26" t="str">
        <f>IF(EXACT(SUBSTITUTE(LOWER(D586)," ",""),SUBSTITUTE(LOWER(E586)," ","")),"O","X")</f>
        <v>O</v>
      </c>
      <c r="D586" s="12" t="s">
        <v>883</v>
      </c>
      <c r="E586" s="12" t="s">
        <v>1436</v>
      </c>
      <c r="F586" s="39" t="s">
        <v>1398</v>
      </c>
    </row>
    <row r="587" spans="2:6" ht="35.1" hidden="1" customHeight="1" thickBot="1" x14ac:dyDescent="0.35">
      <c r="B587" s="62"/>
      <c r="C587" s="26" t="str">
        <f>IF(OR(ISNUMBER(SEARCH(LOWER("체크아웃"),SUBSTITUTE(LOWER(E587)," ",""))),ISNUMBER(SEARCH(LOWER("check-out"),SUBSTITUTE(LOWER(E587)," ","")))),"O","X")</f>
        <v>O</v>
      </c>
      <c r="D587" s="11" t="s">
        <v>845</v>
      </c>
      <c r="E587" s="11" t="s">
        <v>1780</v>
      </c>
      <c r="F587" s="11" t="s">
        <v>1781</v>
      </c>
    </row>
    <row r="588" spans="2:6" ht="35.1" hidden="1" customHeight="1" thickBot="1" x14ac:dyDescent="0.35">
      <c r="B588" s="65"/>
      <c r="C588" s="26" t="str">
        <f>IF(ISNUMBER(SEARCH("페이지",SUBSTITUTE(E588," ",""))),"O","X")</f>
        <v>O</v>
      </c>
      <c r="D588" s="12" t="s">
        <v>880</v>
      </c>
      <c r="E588" s="12" t="s">
        <v>1433</v>
      </c>
      <c r="F588" s="39" t="s">
        <v>1392</v>
      </c>
    </row>
    <row r="589" spans="2:6" ht="35.1" hidden="1" customHeight="1" thickBot="1" x14ac:dyDescent="0.35">
      <c r="B589" s="62"/>
      <c r="C589" s="26" t="str">
        <f>IF(EXACT(SUBSTITUTE(D589," ",""),SUBSTITUTE(E589," ","")),"O","X")</f>
        <v>O</v>
      </c>
      <c r="D589" s="5" t="s">
        <v>4</v>
      </c>
      <c r="E589" s="5" t="s">
        <v>1757</v>
      </c>
      <c r="F589" s="27" t="s">
        <v>80</v>
      </c>
    </row>
    <row r="590" spans="2:6" ht="35.1" hidden="1" customHeight="1" thickBot="1" x14ac:dyDescent="0.35">
      <c r="B590" s="62"/>
      <c r="C590" s="26" t="str">
        <f>IF(EXACT(SUBSTITUTE(D590," ",""),SUBSTITUTE(E590," ","")),"O","X")</f>
        <v>O</v>
      </c>
      <c r="D590" s="5" t="s">
        <v>13</v>
      </c>
      <c r="E590" s="27" t="s">
        <v>1909</v>
      </c>
      <c r="F590" s="27" t="s">
        <v>84</v>
      </c>
    </row>
    <row r="591" spans="2:6" ht="35.1" hidden="1" customHeight="1" thickBot="1" x14ac:dyDescent="0.35">
      <c r="B591" s="75"/>
      <c r="C591" s="26" t="str">
        <f>IF(EXACT(SUBSTITUTE(LOWER(D591)," ",""),SUBSTITUTE(LOWER(E591)," ","")),"O","X")</f>
        <v>O</v>
      </c>
      <c r="D591" s="12" t="s">
        <v>870</v>
      </c>
      <c r="E591" s="12" t="s">
        <v>1830</v>
      </c>
      <c r="F591" s="39" t="s">
        <v>1391</v>
      </c>
    </row>
    <row r="592" spans="2:6" ht="35.1" hidden="1" customHeight="1" thickBot="1" x14ac:dyDescent="0.35">
      <c r="B592" s="65"/>
      <c r="C592" s="26" t="str">
        <f>IF(EXACT(SUBSTITUTE(LOWER(D592)," ",""),SUBSTITUTE(LOWER(E592)," ","")),"O","X")</f>
        <v>O</v>
      </c>
      <c r="D592" s="12" t="s">
        <v>871</v>
      </c>
      <c r="E592" s="12" t="s">
        <v>1910</v>
      </c>
      <c r="F592" s="11" t="s">
        <v>873</v>
      </c>
    </row>
    <row r="593" spans="2:6" ht="35.1" hidden="1" customHeight="1" thickBot="1" x14ac:dyDescent="0.35">
      <c r="B593" s="64"/>
      <c r="C593" s="26" t="str">
        <f>IF(EXACT(SUBSTITUTE(LOWER(D593)," ",""),SUBSTITUTE(LOWER(E593)," ","")),"O","X")</f>
        <v>O</v>
      </c>
      <c r="D593" s="45" t="s">
        <v>896</v>
      </c>
      <c r="E593" s="45" t="s">
        <v>1650</v>
      </c>
      <c r="F593" s="11" t="s">
        <v>895</v>
      </c>
    </row>
    <row r="594" spans="2:6" ht="35.1" hidden="1" customHeight="1" thickBot="1" x14ac:dyDescent="0.35">
      <c r="B594" s="64"/>
      <c r="C594" s="26" t="str">
        <f>IF(ISNUMBER(SEARCH("최적화",SUBSTITUTE(E594," ",""))),"O","X")</f>
        <v>O</v>
      </c>
      <c r="D594" s="11" t="s">
        <v>674</v>
      </c>
      <c r="E594" s="11" t="s">
        <v>1809</v>
      </c>
      <c r="F594" s="11" t="s">
        <v>703</v>
      </c>
    </row>
    <row r="595" spans="2:6" ht="35.1" hidden="1" customHeight="1" thickBot="1" x14ac:dyDescent="0.35">
      <c r="B595" s="64"/>
      <c r="C595" s="26" t="str">
        <f>IF(ISNUMBER(SEARCH("불완전",SUBSTITUTE(E595," ",""))),"O","X")</f>
        <v>O</v>
      </c>
      <c r="D595" s="11" t="s">
        <v>679</v>
      </c>
      <c r="E595" s="11" t="s">
        <v>749</v>
      </c>
      <c r="F595" s="11" t="s">
        <v>700</v>
      </c>
    </row>
    <row r="596" spans="2:6" ht="35.1" customHeight="1" thickBot="1" x14ac:dyDescent="0.35">
      <c r="B596" s="90"/>
      <c r="C596" s="26" t="str">
        <f>IF(ISNUMBER(SEARCH("예측",SUBSTITUTE(E596," ",""))),"O","X")</f>
        <v>X</v>
      </c>
      <c r="D596" s="11" t="s">
        <v>675</v>
      </c>
      <c r="E596" s="11" t="s">
        <v>1911</v>
      </c>
      <c r="F596" s="12" t="s">
        <v>748</v>
      </c>
    </row>
    <row r="597" spans="2:6" ht="35.1" customHeight="1" thickBot="1" x14ac:dyDescent="0.35">
      <c r="B597" s="90"/>
      <c r="C597" s="26" t="str">
        <f>IF(ISNUMBER(SEARCH("수행",SUBSTITUTE(E597," ",""))),"O","X")</f>
        <v>X</v>
      </c>
      <c r="D597" s="11" t="s">
        <v>678</v>
      </c>
      <c r="E597" s="11" t="s">
        <v>1808</v>
      </c>
      <c r="F597" s="11" t="s">
        <v>750</v>
      </c>
    </row>
    <row r="598" spans="2:6" ht="35.1" hidden="1" customHeight="1" thickBot="1" x14ac:dyDescent="0.35">
      <c r="B598" s="65"/>
      <c r="C598" s="26" t="str">
        <f>IF(OR(ISNUMBER(SEARCH("준비",SUBSTITUTE(E598," ",""))),ISNUMBER(SEARCH("ready",SUBSTITUTE(LOWER(E598)," ","")))),"O","X")</f>
        <v>O</v>
      </c>
      <c r="D598" s="12" t="s">
        <v>899</v>
      </c>
      <c r="E598" s="12" t="s">
        <v>1812</v>
      </c>
      <c r="F598" s="39" t="s">
        <v>907</v>
      </c>
    </row>
    <row r="599" spans="2:6" ht="35.1" hidden="1" customHeight="1" thickBot="1" x14ac:dyDescent="0.35">
      <c r="B599" s="65"/>
      <c r="C599" s="26" t="str">
        <f>IF(AND(OR(ISNUMBER(SEARCH("대기",SUBSTITUTE(E599," ",""))),ISNUMBER(SEARCH("wait",SUBSTITUTE(LOWER(E599)," ","")))), OR(ISNUMBER(SEARCH("블록",SUBSTITUTE(E599," ",""))),ISNUMBER(SEARCH("block",SUBSTITUTE(LOWER(E599)," ",""))))),"O","X")</f>
        <v>O</v>
      </c>
      <c r="D599" s="12" t="s">
        <v>901</v>
      </c>
      <c r="E599" s="12" t="s">
        <v>1813</v>
      </c>
      <c r="F599" s="11" t="s">
        <v>903</v>
      </c>
    </row>
    <row r="600" spans="2:6" ht="35.1" hidden="1" customHeight="1" thickBot="1" x14ac:dyDescent="0.35">
      <c r="B600" s="61"/>
      <c r="C600" s="26" t="str">
        <f>IF(EXACT(SUBSTITUTE(D600," ",""),SUBSTITUTE(E600," ","")),"O","X")</f>
        <v>O</v>
      </c>
      <c r="D600" s="32" t="s">
        <v>211</v>
      </c>
      <c r="E600" s="32" t="s">
        <v>1912</v>
      </c>
      <c r="F600" s="32" t="s">
        <v>212</v>
      </c>
    </row>
    <row r="601" spans="2:6" ht="35.1" customHeight="1" thickBot="1" x14ac:dyDescent="0.35">
      <c r="B601" s="89"/>
      <c r="C601" s="26" t="str">
        <f>IF(EXACT(SUBSTITUTE(D601," ",""),SUBSTITUTE(E601," ","")),"O","X")</f>
        <v>X</v>
      </c>
      <c r="D601" s="32" t="s">
        <v>209</v>
      </c>
      <c r="E601" s="32" t="s">
        <v>1198</v>
      </c>
      <c r="F601" s="32" t="s">
        <v>210</v>
      </c>
    </row>
    <row r="602" spans="2:6" ht="35.1" customHeight="1" thickBot="1" x14ac:dyDescent="0.35">
      <c r="B602" s="90"/>
      <c r="C602" s="26" t="str">
        <f>IF(EXACT(SUBSTITUTE(LOWER(D602)," ",""),SUBSTITUTE(LOWER(E602)," ","")),"O","X")</f>
        <v>X</v>
      </c>
      <c r="D602" s="12" t="s">
        <v>911</v>
      </c>
      <c r="E602" s="12"/>
      <c r="F602" s="39" t="s">
        <v>1406</v>
      </c>
    </row>
    <row r="603" spans="2:6" ht="35.1" hidden="1" customHeight="1" thickBot="1" x14ac:dyDescent="0.35">
      <c r="B603" s="65"/>
      <c r="C603" s="26" t="str">
        <f>IF(OR(ISNUMBER(SEARCH("종료",SUBSTITUTE(E603," ",""))),ISNUMBER(SEARCH("terminated",SUBSTITUTE(LOWER(E603)," ",""))),ISNUMBER(SEARCH("exit",SUBSTITUTE(LOWER(E603)," ","")))),"O","X")</f>
        <v>O</v>
      </c>
      <c r="D603" s="12" t="s">
        <v>902</v>
      </c>
      <c r="E603" s="12" t="s">
        <v>1814</v>
      </c>
      <c r="F603" s="11" t="s">
        <v>1342</v>
      </c>
    </row>
    <row r="604" spans="2:6" ht="35.1" hidden="1" customHeight="1" thickBot="1" x14ac:dyDescent="0.35">
      <c r="B604" s="65"/>
      <c r="C604" s="26" t="str">
        <f>IF(EXACT(SUBSTITUTE(LOWER(D604)," ",""),SUBSTITUTE(LOWER(E604)," ","")),"O","X")</f>
        <v>O</v>
      </c>
      <c r="D604" s="12" t="s">
        <v>936</v>
      </c>
      <c r="E604" s="12" t="s">
        <v>936</v>
      </c>
      <c r="F604" s="11" t="s">
        <v>935</v>
      </c>
    </row>
    <row r="605" spans="2:6" ht="35.1" hidden="1" customHeight="1" thickBot="1" x14ac:dyDescent="0.35">
      <c r="B605" s="65"/>
      <c r="C605" s="26" t="str">
        <f>IF(OR(ISNUMBER(SEARCH("RIA",SUBSTITUTE(UPPER(E605)," ",""))),ISNUMBER(SEARCH("리치인터넷애플리케이션",SUBSTITUTE(E605," ","")))),"O","X")</f>
        <v>O</v>
      </c>
      <c r="D605" s="45" t="s">
        <v>1070</v>
      </c>
      <c r="E605" s="45" t="s">
        <v>1621</v>
      </c>
      <c r="F605" s="32" t="s">
        <v>1572</v>
      </c>
    </row>
    <row r="606" spans="2:6" ht="35.1" hidden="1" customHeight="1" thickBot="1" x14ac:dyDescent="0.35">
      <c r="B606" s="61"/>
      <c r="C606" s="26" t="str">
        <f>IF(EXACT(SUBSTITUTE(D606," ",""),SUBSTITUTE(E606," ","")),"O","X")</f>
        <v>O</v>
      </c>
      <c r="D606" s="32" t="s">
        <v>409</v>
      </c>
      <c r="E606" s="32" t="s">
        <v>1140</v>
      </c>
      <c r="F606" s="32" t="s">
        <v>410</v>
      </c>
    </row>
    <row r="607" spans="2:6" ht="35.1" hidden="1" customHeight="1" thickBot="1" x14ac:dyDescent="0.35">
      <c r="B607" s="61"/>
      <c r="C607" s="26" t="str">
        <f>IF(EXACT(SUBSTITUTE(D607," ",""),SUBSTITUTE(E607," ","")),"O","X")</f>
        <v>O</v>
      </c>
      <c r="D607" s="32" t="s">
        <v>215</v>
      </c>
      <c r="E607" s="32" t="s">
        <v>1199</v>
      </c>
      <c r="F607" s="32" t="s">
        <v>216</v>
      </c>
    </row>
    <row r="608" spans="2:6" ht="35.1" hidden="1" customHeight="1" thickBot="1" x14ac:dyDescent="0.35">
      <c r="B608" s="61"/>
      <c r="C608" s="26" t="str">
        <f>IF(EXACT(SUBSTITUTE(D608," ",""),SUBSTITUTE(E608," ","")),"O","X")</f>
        <v>O</v>
      </c>
      <c r="D608" s="32" t="s">
        <v>425</v>
      </c>
      <c r="E608" s="32" t="s">
        <v>1146</v>
      </c>
      <c r="F608" s="32" t="s">
        <v>426</v>
      </c>
    </row>
    <row r="609" spans="2:6" ht="30.75" hidden="1" thickBot="1" x14ac:dyDescent="0.35">
      <c r="B609" s="61"/>
      <c r="C609" s="26" t="str">
        <f>IF(EXACT(SUBSTITUTE(D609," ",""),SUBSTITUTE(E609," ","")),"O","X")</f>
        <v>O</v>
      </c>
      <c r="D609" s="32" t="s">
        <v>291</v>
      </c>
      <c r="E609" s="32" t="s">
        <v>1088</v>
      </c>
      <c r="F609" s="32" t="s">
        <v>292</v>
      </c>
    </row>
    <row r="610" spans="2:6" ht="35.1" hidden="1" customHeight="1" thickBot="1" x14ac:dyDescent="0.35">
      <c r="B610" s="26"/>
      <c r="C610" s="26" t="str">
        <f>IF(OR(ISNUMBER(SEARCH("일반화",SUBSTITUTE(E610," ",""))),ISNUMBER(SEARCH("Generalization",SUBSTITUTE(E610," ","")))),"O","X")</f>
        <v>O</v>
      </c>
      <c r="D610" s="11" t="s">
        <v>623</v>
      </c>
      <c r="E610" s="11" t="s">
        <v>1803</v>
      </c>
      <c r="F610" s="12" t="s">
        <v>628</v>
      </c>
    </row>
    <row r="611" spans="2:6" ht="35.1" hidden="1" customHeight="1" thickBot="1" x14ac:dyDescent="0.35">
      <c r="B611" s="26"/>
      <c r="C611" s="26" t="str">
        <f>IF(OR(ISNUMBER(SEARCH("집합",SUBSTITUTE(E611," ",""))),ISNUMBER(SEARCH("Aggregation",SUBSTITUTE(E611," ","")))),"O","X")</f>
        <v>O</v>
      </c>
      <c r="D611" s="11" t="s">
        <v>621</v>
      </c>
      <c r="E611" s="11" t="s">
        <v>1801</v>
      </c>
      <c r="F611" s="11" t="s">
        <v>630</v>
      </c>
    </row>
    <row r="612" spans="2:6" ht="35.1" hidden="1" customHeight="1" thickBot="1" x14ac:dyDescent="0.35">
      <c r="B612" s="61"/>
      <c r="C612" s="26" t="str">
        <f>IF(EXACT(SUBSTITUTE(D612," ",""),SUBSTITUTE(E612," ","")),"O","X")</f>
        <v>O</v>
      </c>
      <c r="D612" s="32" t="s">
        <v>164</v>
      </c>
      <c r="E612" s="32" t="s">
        <v>1179</v>
      </c>
      <c r="F612" s="32" t="s">
        <v>165</v>
      </c>
    </row>
    <row r="613" spans="2:6" ht="35.1" hidden="1" customHeight="1" thickBot="1" x14ac:dyDescent="0.35">
      <c r="B613" s="65"/>
      <c r="C613" s="26" t="str">
        <f>IF(ISNUMBER(SEARCH("IGP",SUBSTITUTE(UPPER(E613)," ",""))),"O","X")</f>
        <v>O</v>
      </c>
      <c r="D613" s="12" t="s">
        <v>1061</v>
      </c>
      <c r="E613" s="12" t="s">
        <v>1602</v>
      </c>
      <c r="F613" s="39" t="s">
        <v>1515</v>
      </c>
    </row>
    <row r="614" spans="2:6" ht="35.1" hidden="1" customHeight="1" thickBot="1" x14ac:dyDescent="0.35">
      <c r="B614" s="61"/>
      <c r="C614" s="26" t="str">
        <f>IF(EXACT(SUBSTITUTE(D614," ",""),SUBSTITUTE(E614," ","")),"O","X")</f>
        <v>O</v>
      </c>
      <c r="D614" s="32" t="s">
        <v>197</v>
      </c>
      <c r="E614" s="32" t="s">
        <v>1193</v>
      </c>
      <c r="F614" s="32" t="s">
        <v>198</v>
      </c>
    </row>
    <row r="615" spans="2:6" ht="35.1" hidden="1" customHeight="1" thickBot="1" x14ac:dyDescent="0.35">
      <c r="B615" s="64"/>
      <c r="C615" s="26" t="str">
        <f>IF(ISNUMBER(SEARCH("트러스트존기술",SUBSTITUTE(E615," ",""))),"O","X")</f>
        <v>O</v>
      </c>
      <c r="D615" s="45" t="s">
        <v>1078</v>
      </c>
      <c r="E615" s="45" t="s">
        <v>1913</v>
      </c>
      <c r="F615" s="32" t="s">
        <v>1547</v>
      </c>
    </row>
    <row r="616" spans="2:6" ht="35.1" hidden="1" customHeight="1" thickBot="1" x14ac:dyDescent="0.35">
      <c r="B616" s="65"/>
      <c r="C616" s="26" t="str">
        <f>IF(OR(ISNUMBER(SEARCH("THINCLIENTPC",SUBSTITUTE(UPPER(E616)," ",""))),ISNUMBER(SEARCH("신클라이언트PC",SUBSTITUTE(E616," ","")))),"O","X")</f>
        <v>O</v>
      </c>
      <c r="D616" s="45" t="s">
        <v>1038</v>
      </c>
      <c r="E616" s="45" t="s">
        <v>1632</v>
      </c>
      <c r="F616" s="32" t="s">
        <v>1543</v>
      </c>
    </row>
    <row r="617" spans="2:6" ht="35.1" hidden="1" customHeight="1" thickBot="1" x14ac:dyDescent="0.35">
      <c r="B617" s="65"/>
      <c r="C617" s="26" t="str">
        <f>IF(ISNUMBER(SEARCH("커널",SUBSTITUTE(E617," ",""))),"O","X")</f>
        <v>O</v>
      </c>
      <c r="D617" s="12" t="s">
        <v>861</v>
      </c>
      <c r="E617" s="12" t="s">
        <v>1420</v>
      </c>
      <c r="F617" s="11" t="s">
        <v>1385</v>
      </c>
    </row>
    <row r="618" spans="2:6" ht="35.1" hidden="1" customHeight="1" thickBot="1" x14ac:dyDescent="0.35">
      <c r="B618" s="61"/>
      <c r="C618" s="26" t="str">
        <f>IF(EXACT(SUBSTITUTE(D618," ",""),SUBSTITUTE(E618," ","")),"O","X")</f>
        <v>O</v>
      </c>
      <c r="D618" s="32" t="s">
        <v>375</v>
      </c>
      <c r="E618" s="32" t="s">
        <v>1125</v>
      </c>
      <c r="F618" s="32" t="s">
        <v>376</v>
      </c>
    </row>
    <row r="619" spans="2:6" ht="35.1" hidden="1" customHeight="1" thickBot="1" x14ac:dyDescent="0.35">
      <c r="B619" s="75"/>
      <c r="C619" s="26" t="str">
        <f>IF(OR(ISNUMBER(SEARCH("NAT",SUBSTITUTE(UPPER(E619)," ",""))),ISNUMBER(SEARCH("네트워크주소변환",SUBSTITUTE(E619," ","")))),"O","X")</f>
        <v>O</v>
      </c>
      <c r="D619" s="12" t="s">
        <v>971</v>
      </c>
      <c r="E619" s="12" t="s">
        <v>1666</v>
      </c>
      <c r="F619" s="55" t="s">
        <v>1513</v>
      </c>
    </row>
    <row r="620" spans="2:6" ht="35.1" hidden="1" customHeight="1" thickBot="1" x14ac:dyDescent="0.35">
      <c r="B620" s="61"/>
      <c r="C620" s="26" t="str">
        <f>IF(EXACT(SUBSTITUTE(D620," ",""),SUBSTITUTE(E620," ","")),"O","X")</f>
        <v>O</v>
      </c>
      <c r="D620" s="32" t="s">
        <v>445</v>
      </c>
      <c r="E620" s="32" t="s">
        <v>1157</v>
      </c>
      <c r="F620" s="32" t="s">
        <v>446</v>
      </c>
    </row>
    <row r="621" spans="2:6" ht="35.1" hidden="1" customHeight="1" thickBot="1" x14ac:dyDescent="0.35">
      <c r="B621" s="68"/>
      <c r="C621" s="26" t="str">
        <f>IF(EXACT(SUBSTITUTE(D621," ",""),SUBSTITUTE(E621," ","")),"O","X")</f>
        <v>O</v>
      </c>
      <c r="D621" s="32" t="s">
        <v>457</v>
      </c>
      <c r="E621" s="32" t="s">
        <v>1162</v>
      </c>
      <c r="F621" s="32" t="s">
        <v>458</v>
      </c>
    </row>
    <row r="622" spans="2:6" ht="35.1" hidden="1" customHeight="1" thickBot="1" x14ac:dyDescent="0.35">
      <c r="B622" s="61"/>
      <c r="C622" s="26" t="str">
        <f>IF(EXACT(SUBSTITUTE(D622," ",""),SUBSTITUTE(E622," ","")),"O","X")</f>
        <v>O</v>
      </c>
      <c r="D622" s="32" t="s">
        <v>341</v>
      </c>
      <c r="E622" s="32" t="s">
        <v>1108</v>
      </c>
      <c r="F622" s="32" t="s">
        <v>342</v>
      </c>
    </row>
    <row r="623" spans="2:6" ht="60.75" hidden="1" thickBot="1" x14ac:dyDescent="0.35">
      <c r="B623" s="65"/>
      <c r="C623" s="26" t="str">
        <f>IF(OR(ISNUMBER(SEARCH("M-DISC",SUBSTITUTE(UPPER(E623)," ",""))),ISNUMBER(SEARCH("엠디스크",SUBSTITUTE(E623," ","")))),"O","X")</f>
        <v>O</v>
      </c>
      <c r="D623" s="45" t="s">
        <v>1040</v>
      </c>
      <c r="E623" s="45" t="s">
        <v>1819</v>
      </c>
      <c r="F623" s="32" t="s">
        <v>1548</v>
      </c>
    </row>
    <row r="624" spans="2:6" ht="35.1" hidden="1" customHeight="1" thickBot="1" x14ac:dyDescent="0.35">
      <c r="B624" s="65"/>
      <c r="C624" s="26" t="str">
        <f>IF(ISNUMBER(SEARCH("로킹단위",SUBSTITUTE(UPPER(E624)," ",""))),"O","X")</f>
        <v>O</v>
      </c>
      <c r="D624" s="12" t="s">
        <v>1006</v>
      </c>
      <c r="E624" s="12" t="s">
        <v>1648</v>
      </c>
      <c r="F624" s="11" t="s">
        <v>1568</v>
      </c>
    </row>
    <row r="625" spans="2:6" ht="35.1" hidden="1" customHeight="1" thickBot="1" x14ac:dyDescent="0.35">
      <c r="B625" s="26"/>
      <c r="C625" s="26" t="str">
        <f>IF(OR(ISNUMBER(SEARCH("실체화",SUBSTITUTE(E625," ",""))),ISNUMBER(SEARCH("Realization",SUBSTITUTE(E625," ","")))),"O","X")</f>
        <v>O</v>
      </c>
      <c r="D625" s="11" t="s">
        <v>625</v>
      </c>
      <c r="E625" s="11" t="s">
        <v>1805</v>
      </c>
      <c r="F625" s="11" t="s">
        <v>626</v>
      </c>
    </row>
    <row r="626" spans="2:6" ht="35.1" hidden="1" customHeight="1" thickBot="1" x14ac:dyDescent="0.35">
      <c r="B626" s="61"/>
      <c r="C626" s="26" t="str">
        <f>IF(AND(ISNUMBER(SEARCH("SNEFRU",SUBSTITUTE(E626," ",""))),ISNUMBER(SEARCH("N-NASH",SUBSTITUTE(E626," ",""))),ISNUMBER(SEARCH("MD5",SUBSTITUTE(E626," ",""))),ISNUMBER(SEARCH("SHA",SUBSTITUTE(E626," ","")))),"O","X")</f>
        <v>O</v>
      </c>
      <c r="D626" s="32" t="s">
        <v>1281</v>
      </c>
      <c r="E626" s="32" t="s">
        <v>1914</v>
      </c>
      <c r="F626" s="32" t="s">
        <v>506</v>
      </c>
    </row>
    <row r="627" spans="2:6" ht="35.1" hidden="1" customHeight="1" thickBot="1" x14ac:dyDescent="0.35">
      <c r="B627" s="61"/>
      <c r="C627" s="26" t="str">
        <f>IF(EXACT(SUBSTITUTE(D627," ",""),SUBSTITUTE(E627," ","")),"O","X")</f>
        <v>O</v>
      </c>
      <c r="D627" s="32" t="s">
        <v>546</v>
      </c>
      <c r="E627" s="32" t="s">
        <v>1267</v>
      </c>
      <c r="F627" s="32" t="s">
        <v>547</v>
      </c>
    </row>
    <row r="628" spans="2:6" ht="35.1" customHeight="1" thickBot="1" x14ac:dyDescent="0.35">
      <c r="B628" s="89"/>
      <c r="C628" s="26" t="str">
        <f>IF(EXACT(SUBSTITUTE(D628," ",""),SUBSTITUTE(E628," ","")),"O","X")</f>
        <v>X</v>
      </c>
      <c r="D628" s="32" t="s">
        <v>150</v>
      </c>
      <c r="E628" s="32" t="s">
        <v>1915</v>
      </c>
      <c r="F628" s="32" t="s">
        <v>151</v>
      </c>
    </row>
    <row r="629" spans="2:6" ht="35.1" hidden="1" customHeight="1" thickBot="1" x14ac:dyDescent="0.35">
      <c r="B629" s="61"/>
      <c r="C629" s="26" t="str">
        <f>IF(EXACT(SUBSTITUTE(D629," ",""),SUBSTITUTE(E629," ","")),"O","X")</f>
        <v>O</v>
      </c>
      <c r="D629" s="32" t="s">
        <v>136</v>
      </c>
      <c r="E629" s="67" t="s">
        <v>1222</v>
      </c>
      <c r="F629" s="32" t="s">
        <v>137</v>
      </c>
    </row>
    <row r="630" spans="2:6" ht="35.1" hidden="1" customHeight="1" thickBot="1" x14ac:dyDescent="0.35">
      <c r="B630" s="61"/>
      <c r="C630" s="26" t="str">
        <f>IF(EXACT(SUBSTITUTE(D630," ",""),SUBSTITUTE(E630," ","")),"O","X")</f>
        <v>O</v>
      </c>
      <c r="D630" s="32" t="s">
        <v>138</v>
      </c>
      <c r="E630" s="32" t="s">
        <v>1219</v>
      </c>
      <c r="F630" s="32" t="s">
        <v>139</v>
      </c>
    </row>
    <row r="631" spans="2:6" ht="35.1" customHeight="1" thickBot="1" x14ac:dyDescent="0.35">
      <c r="B631" s="89"/>
      <c r="C631" s="26" t="str">
        <f>IF(EXACT(SUBSTITUTE(D631," ",""),SUBSTITUTE(E631," ","")),"O","X")</f>
        <v>X</v>
      </c>
      <c r="D631" s="32" t="s">
        <v>144</v>
      </c>
      <c r="E631" s="32" t="s">
        <v>1916</v>
      </c>
      <c r="F631" s="32" t="s">
        <v>1225</v>
      </c>
    </row>
    <row r="632" spans="2:6" ht="35.1" hidden="1" customHeight="1" thickBot="1" x14ac:dyDescent="0.35">
      <c r="B632" s="65"/>
      <c r="C632" s="26" t="str">
        <f>IF(OR(ISNUMBER(SEARCH("DIGITALTWIN",SUBSTITUTE(UPPER(E632)," ",""))),ISNUMBER(SEARCH("디지털트윈",SUBSTITUTE(E632," ","")))),"O","X")</f>
        <v>O</v>
      </c>
      <c r="D632" s="45" t="s">
        <v>1035</v>
      </c>
      <c r="E632" s="45" t="s">
        <v>1626</v>
      </c>
      <c r="F632" s="32" t="s">
        <v>1541</v>
      </c>
    </row>
    <row r="633" spans="2:6" ht="35.1" hidden="1" customHeight="1" thickBot="1" x14ac:dyDescent="0.35">
      <c r="B633" s="65"/>
      <c r="C633" s="26" t="str">
        <f>IF(ISNUMBER(SEARCH("RIP",SUBSTITUTE(UPPER(E633)," ",""))),"O","X")</f>
        <v>O</v>
      </c>
      <c r="D633" s="44" t="s">
        <v>1062</v>
      </c>
      <c r="E633" s="44" t="s">
        <v>1603</v>
      </c>
      <c r="F633" s="39" t="s">
        <v>1517</v>
      </c>
    </row>
    <row r="634" spans="2:6" ht="35.1" hidden="1" customHeight="1" thickBot="1" x14ac:dyDescent="0.35">
      <c r="B634" s="65"/>
      <c r="C634" s="26" t="str">
        <f>IF(EXACT(SUBSTITUTE(LOWER(D634)," ",""),SUBSTITUTE(LOWER(E634)," ","")),"O","X")</f>
        <v>O</v>
      </c>
      <c r="D634" s="12" t="s">
        <v>921</v>
      </c>
      <c r="E634" s="12" t="s">
        <v>1340</v>
      </c>
      <c r="F634" s="39" t="s">
        <v>922</v>
      </c>
    </row>
    <row r="635" spans="2:6" ht="35.1" hidden="1" customHeight="1" thickBot="1" x14ac:dyDescent="0.35">
      <c r="B635" s="62"/>
      <c r="C635" s="26" t="str">
        <f>IF(EXACT(SUBSTITUTE(D635," ",""),SUBSTITUTE(E635," ","")),"O","X")</f>
        <v>O</v>
      </c>
      <c r="D635" s="45" t="s">
        <v>1730</v>
      </c>
      <c r="E635" s="45" t="s">
        <v>1768</v>
      </c>
      <c r="F635" s="11" t="s">
        <v>1735</v>
      </c>
    </row>
    <row r="636" spans="2:6" ht="35.1" hidden="1" customHeight="1" thickBot="1" x14ac:dyDescent="0.35">
      <c r="B636" s="61"/>
      <c r="C636" s="26" t="str">
        <f>IF(EXACT(SUBSTITUTE(D636," ",""),SUBSTITUTE(E636," ","")),"O","X")</f>
        <v>O</v>
      </c>
      <c r="D636" s="12" t="s">
        <v>1734</v>
      </c>
      <c r="E636" s="12" t="s">
        <v>1917</v>
      </c>
      <c r="F636" s="39" t="s">
        <v>1739</v>
      </c>
    </row>
    <row r="637" spans="2:6" ht="35.1" hidden="1" customHeight="1" thickBot="1" x14ac:dyDescent="0.35">
      <c r="B637" s="75"/>
      <c r="C637" s="26" t="str">
        <f>IF(EXACT(SUBSTITUTE(LOWER(D637)," ",""),SUBSTITUTE(LOWER(E637)," ","")),"O","X")</f>
        <v>O</v>
      </c>
      <c r="D637" s="12" t="s">
        <v>953</v>
      </c>
      <c r="E637" s="12" t="s">
        <v>953</v>
      </c>
      <c r="F637" s="11" t="s">
        <v>960</v>
      </c>
    </row>
    <row r="638" spans="2:6" ht="35.1" hidden="1" customHeight="1" thickBot="1" x14ac:dyDescent="0.35">
      <c r="B638" s="61"/>
      <c r="C638" s="26" t="str">
        <f>IF(EXACT(SUBSTITUTE(D638," ",""),SUBSTITUTE(E638," ","")),"O","X")</f>
        <v>O</v>
      </c>
      <c r="D638" s="32" t="s">
        <v>429</v>
      </c>
      <c r="E638" s="32" t="s">
        <v>1149</v>
      </c>
      <c r="F638" s="32" t="s">
        <v>430</v>
      </c>
    </row>
    <row r="639" spans="2:6" ht="35.1" hidden="1" customHeight="1" thickBot="1" x14ac:dyDescent="0.35">
      <c r="B639" s="63"/>
      <c r="C639" s="26" t="str">
        <f>IF(AND(ISNUMBER(SEARCH("문장",SUBSTITUTE(E639," ",""))),ISNUMBER(SEARCH("분기",SUBSTITUTE(E639," ",""))),ISNUMBER(SEARCH("조건",SUBSTITUTE(E639," ",""))),ISNUMBER(SEARCH("분기/조건",SUBSTITUTE(E639," ","")))),"O","X")</f>
        <v>O</v>
      </c>
      <c r="D639" s="14" t="s">
        <v>6</v>
      </c>
      <c r="E639" s="14" t="s">
        <v>6</v>
      </c>
      <c r="F639" s="27" t="s">
        <v>81</v>
      </c>
    </row>
    <row r="640" spans="2:6" ht="35.1" customHeight="1" thickBot="1" x14ac:dyDescent="0.35">
      <c r="B640" s="89"/>
      <c r="C640" s="26" t="str">
        <f>IF(EXACT(SUBSTITUTE(D640," ",""),SUBSTITUTE(E640," ","")),"O","X")</f>
        <v>X</v>
      </c>
      <c r="D640" s="5" t="s">
        <v>76</v>
      </c>
      <c r="E640" s="27" t="s">
        <v>1918</v>
      </c>
      <c r="F640" s="27" t="s">
        <v>48</v>
      </c>
    </row>
    <row r="641" spans="2:6" ht="35.1" hidden="1" customHeight="1" thickBot="1" x14ac:dyDescent="0.35">
      <c r="B641" s="64"/>
      <c r="C641" s="26" t="str">
        <f>IF(ISNUMBER(SEARCH("슬라이딩윈도우",SUBSTITUTE(UPPER(E641)," ",""))),"O","X")</f>
        <v>O</v>
      </c>
      <c r="D641" s="12" t="s">
        <v>981</v>
      </c>
      <c r="E641" s="12" t="s">
        <v>1668</v>
      </c>
      <c r="F641" s="11" t="s">
        <v>982</v>
      </c>
    </row>
    <row r="642" spans="2:6" ht="35.1" hidden="1" customHeight="1" thickBot="1" x14ac:dyDescent="0.35">
      <c r="B642" s="76"/>
      <c r="C642" s="26" t="str">
        <f>IF(EXACT(SUBSTITUTE(LOWER(D642)," ",""),SUBSTITUTE(LOWER(E642)," ","")),"O","X")</f>
        <v>O</v>
      </c>
      <c r="D642" s="46" t="s">
        <v>1001</v>
      </c>
      <c r="E642" s="46" t="s">
        <v>1001</v>
      </c>
      <c r="F642" s="11" t="s">
        <v>996</v>
      </c>
    </row>
    <row r="643" spans="2:6" ht="35.1" hidden="1" customHeight="1" thickBot="1" x14ac:dyDescent="0.35">
      <c r="B643" s="61"/>
      <c r="C643" s="26" t="str">
        <f>IF(EXACT(SUBSTITUTE(D643," ",""),SUBSTITUTE(E643," ","")),"O","X")</f>
        <v>O</v>
      </c>
      <c r="D643" s="32" t="s">
        <v>170</v>
      </c>
      <c r="E643" s="32" t="s">
        <v>1181</v>
      </c>
      <c r="F643" s="32" t="s">
        <v>171</v>
      </c>
    </row>
    <row r="644" spans="2:6" ht="35.1" hidden="1" customHeight="1" thickBot="1" x14ac:dyDescent="0.35">
      <c r="B644" s="61"/>
      <c r="C644" s="26" t="str">
        <f>IF(EXACT(SUBSTITUTE(D644," ",""),SUBSTITUTE(E644," ","")),"O","X")</f>
        <v>O</v>
      </c>
      <c r="D644" s="32" t="s">
        <v>172</v>
      </c>
      <c r="E644" s="32" t="s">
        <v>1182</v>
      </c>
      <c r="F644" s="32" t="s">
        <v>173</v>
      </c>
    </row>
    <row r="645" spans="2:6" ht="30.75" hidden="1" thickBot="1" x14ac:dyDescent="0.35">
      <c r="B645" s="65"/>
      <c r="C645" s="26" t="str">
        <f>IF(ISNUMBER(SEARCH("모바일컴퓨팅",SUBSTITUTE(LOWER(E645)," ",""))),"O","X")</f>
        <v>O</v>
      </c>
      <c r="D645" s="45" t="s">
        <v>1010</v>
      </c>
      <c r="E645" s="45" t="s">
        <v>1474</v>
      </c>
      <c r="F645" s="32" t="s">
        <v>1373</v>
      </c>
    </row>
    <row r="646" spans="2:6" ht="30" hidden="1" x14ac:dyDescent="0.3">
      <c r="C646" s="34" t="str">
        <f>_xlfn.CONCAT(COUNTIF(C2:C645,"O"),"/645")</f>
        <v>536/645</v>
      </c>
    </row>
    <row r="647" spans="2:6" ht="30" hidden="1" x14ac:dyDescent="0.3">
      <c r="C647" s="34" t="str">
        <f>_xlfn.CONCAT(COUNTIF(C2:C646,"X"),"/645")</f>
        <v>98/645</v>
      </c>
    </row>
  </sheetData>
  <autoFilter ref="B1:F647" xr:uid="{663252EE-1974-4926-A40A-0A73EF9429AE}">
    <filterColumn colId="1">
      <filters>
        <filter val="X"/>
      </filters>
    </filterColumn>
  </autoFilter>
  <sortState xmlns:xlrd2="http://schemas.microsoft.com/office/spreadsheetml/2017/richdata2" ref="B2:F645">
    <sortCondition ref="F2:F645"/>
  </sortState>
  <phoneticPr fontId="3" type="noConversion"/>
  <conditionalFormatting sqref="C1:C3 C5:C16 C55:C101 C18:C53 C648:C1048576 C646">
    <cfRule type="containsText" dxfId="83" priority="85" operator="containsText" text="X">
      <formula>NOT(ISERROR(SEARCH("X",C1)))</formula>
    </cfRule>
  </conditionalFormatting>
  <conditionalFormatting sqref="C118 C102:C116 C124:C138 C120:C122 C140:C148 C150:C182">
    <cfRule type="containsText" dxfId="82" priority="84" operator="containsText" text="X">
      <formula>NOT(ISERROR(SEARCH("X",C102)))</formula>
    </cfRule>
  </conditionalFormatting>
  <conditionalFormatting sqref="C117">
    <cfRule type="containsText" dxfId="81" priority="83" operator="containsText" text="X">
      <formula>NOT(ISERROR(SEARCH("X",C117)))</formula>
    </cfRule>
  </conditionalFormatting>
  <conditionalFormatting sqref="C123">
    <cfRule type="containsText" dxfId="80" priority="82" operator="containsText" text="X">
      <formula>NOT(ISERROR(SEARCH("X",C123)))</formula>
    </cfRule>
  </conditionalFormatting>
  <conditionalFormatting sqref="C119">
    <cfRule type="containsText" dxfId="79" priority="81" operator="containsText" text="X">
      <formula>NOT(ISERROR(SEARCH("X",C119)))</formula>
    </cfRule>
  </conditionalFormatting>
  <conditionalFormatting sqref="C139">
    <cfRule type="containsText" dxfId="78" priority="80" operator="containsText" text="X">
      <formula>NOT(ISERROR(SEARCH("X",C139)))</formula>
    </cfRule>
  </conditionalFormatting>
  <conditionalFormatting sqref="C149">
    <cfRule type="containsText" dxfId="77" priority="79" operator="containsText" text="X">
      <formula>NOT(ISERROR(SEARCH("X",C149)))</formula>
    </cfRule>
  </conditionalFormatting>
  <conditionalFormatting sqref="C218:C224 C215:C216 C212:C213 C184:C197 C208:C210 C227:C232 C236:C237 C205:C206">
    <cfRule type="containsText" dxfId="76" priority="78" operator="containsText" text="X">
      <formula>NOT(ISERROR(SEARCH("X",C184)))</formula>
    </cfRule>
  </conditionalFormatting>
  <conditionalFormatting sqref="C238:C239">
    <cfRule type="containsText" dxfId="75" priority="77" operator="containsText" text="X">
      <formula>NOT(ISERROR(SEARCH("X",C238)))</formula>
    </cfRule>
  </conditionalFormatting>
  <conditionalFormatting sqref="C217">
    <cfRule type="containsText" dxfId="74" priority="76" operator="containsText" text="X">
      <formula>NOT(ISERROR(SEARCH("X",C217)))</formula>
    </cfRule>
  </conditionalFormatting>
  <conditionalFormatting sqref="C214">
    <cfRule type="containsText" dxfId="73" priority="75" operator="containsText" text="X">
      <formula>NOT(ISERROR(SEARCH("X",C214)))</formula>
    </cfRule>
  </conditionalFormatting>
  <conditionalFormatting sqref="C211">
    <cfRule type="containsText" dxfId="72" priority="74" operator="containsText" text="X">
      <formula>NOT(ISERROR(SEARCH("X",C211)))</formula>
    </cfRule>
  </conditionalFormatting>
  <conditionalFormatting sqref="C207">
    <cfRule type="containsText" dxfId="71" priority="73" operator="containsText" text="X">
      <formula>NOT(ISERROR(SEARCH("X",C207)))</formula>
    </cfRule>
  </conditionalFormatting>
  <conditionalFormatting sqref="C225:C226">
    <cfRule type="containsText" dxfId="70" priority="72" operator="containsText" text="X">
      <formula>NOT(ISERROR(SEARCH("X",C225)))</formula>
    </cfRule>
  </conditionalFormatting>
  <conditionalFormatting sqref="C233:C235">
    <cfRule type="containsText" dxfId="69" priority="71" operator="containsText" text="X">
      <formula>NOT(ISERROR(SEARCH("X",C233)))</formula>
    </cfRule>
  </conditionalFormatting>
  <conditionalFormatting sqref="C202">
    <cfRule type="containsText" dxfId="68" priority="70" operator="containsText" text="X">
      <formula>NOT(ISERROR(SEARCH("X",C202)))</formula>
    </cfRule>
  </conditionalFormatting>
  <conditionalFormatting sqref="C203">
    <cfRule type="containsText" dxfId="67" priority="69" operator="containsText" text="X">
      <formula>NOT(ISERROR(SEARCH("X",C203)))</formula>
    </cfRule>
  </conditionalFormatting>
  <conditionalFormatting sqref="C204">
    <cfRule type="containsText" dxfId="66" priority="68" operator="containsText" text="X">
      <formula>NOT(ISERROR(SEARCH("X",C204)))</formula>
    </cfRule>
  </conditionalFormatting>
  <conditionalFormatting sqref="C198">
    <cfRule type="containsText" dxfId="65" priority="67" operator="containsText" text="X">
      <formula>NOT(ISERROR(SEARCH("X",C198)))</formula>
    </cfRule>
  </conditionalFormatting>
  <conditionalFormatting sqref="C199">
    <cfRule type="containsText" dxfId="64" priority="66" operator="containsText" text="X">
      <formula>NOT(ISERROR(SEARCH("X",C199)))</formula>
    </cfRule>
  </conditionalFormatting>
  <conditionalFormatting sqref="C201">
    <cfRule type="containsText" dxfId="63" priority="65" operator="containsText" text="X">
      <formula>NOT(ISERROR(SEARCH("X",C201)))</formula>
    </cfRule>
  </conditionalFormatting>
  <conditionalFormatting sqref="C200">
    <cfRule type="containsText" dxfId="62" priority="64" operator="containsText" text="X">
      <formula>NOT(ISERROR(SEARCH("X",C200)))</formula>
    </cfRule>
  </conditionalFormatting>
  <conditionalFormatting sqref="C240:C246 C252:C269 C271:C290">
    <cfRule type="containsText" dxfId="61" priority="63" operator="containsText" text="X">
      <formula>NOT(ISERROR(SEARCH("X",C240)))</formula>
    </cfRule>
  </conditionalFormatting>
  <conditionalFormatting sqref="C247">
    <cfRule type="containsText" dxfId="60" priority="62" operator="containsText" text="X">
      <formula>NOT(ISERROR(SEARCH("X",C247)))</formula>
    </cfRule>
  </conditionalFormatting>
  <conditionalFormatting sqref="C270">
    <cfRule type="containsText" dxfId="59" priority="61" operator="containsText" text="X">
      <formula>NOT(ISERROR(SEARCH("X",C270)))</formula>
    </cfRule>
  </conditionalFormatting>
  <conditionalFormatting sqref="C291:C362">
    <cfRule type="containsText" dxfId="58" priority="60" operator="containsText" text="X">
      <formula>NOT(ISERROR(SEARCH("X",C291)))</formula>
    </cfRule>
  </conditionalFormatting>
  <conditionalFormatting sqref="C363:C365 C375 C377 C379:C380 C384:C386 C388:C391 C393 C370:C373 C395 C402:C406 C410:C418 C427 C431:C450 C477:C479 C482:C495 C497:C499 C501 C507 C512 C537:C540 C545 C561 C567 C571">
    <cfRule type="containsText" dxfId="57" priority="59" operator="containsText" text="X">
      <formula>NOT(ISERROR(SEARCH("X",C363)))</formula>
    </cfRule>
  </conditionalFormatting>
  <conditionalFormatting sqref="C374 C464:C472 C474:C476">
    <cfRule type="containsText" dxfId="56" priority="58" operator="containsText" text="X">
      <formula>NOT(ISERROR(SEARCH("X",C374)))</formula>
    </cfRule>
  </conditionalFormatting>
  <conditionalFormatting sqref="C376">
    <cfRule type="containsText" dxfId="55" priority="57" operator="containsText" text="X">
      <formula>NOT(ISERROR(SEARCH("X",C376)))</formula>
    </cfRule>
  </conditionalFormatting>
  <conditionalFormatting sqref="C378">
    <cfRule type="containsText" dxfId="54" priority="56" operator="containsText" text="X">
      <formula>NOT(ISERROR(SEARCH("X",C378)))</formula>
    </cfRule>
  </conditionalFormatting>
  <conditionalFormatting sqref="C381:C383">
    <cfRule type="containsText" dxfId="53" priority="55" operator="containsText" text="X">
      <formula>NOT(ISERROR(SEARCH("X",C381)))</formula>
    </cfRule>
  </conditionalFormatting>
  <conditionalFormatting sqref="C387">
    <cfRule type="containsText" dxfId="52" priority="54" operator="containsText" text="X">
      <formula>NOT(ISERROR(SEARCH("X",C387)))</formula>
    </cfRule>
  </conditionalFormatting>
  <conditionalFormatting sqref="C392">
    <cfRule type="containsText" dxfId="51" priority="53" operator="containsText" text="X">
      <formula>NOT(ISERROR(SEARCH("X",C392)))</formula>
    </cfRule>
  </conditionalFormatting>
  <conditionalFormatting sqref="C366">
    <cfRule type="containsText" dxfId="50" priority="52" operator="containsText" text="X">
      <formula>NOT(ISERROR(SEARCH("X",C366)))</formula>
    </cfRule>
  </conditionalFormatting>
  <conditionalFormatting sqref="C367:C369">
    <cfRule type="containsText" dxfId="49" priority="51" operator="containsText" text="X">
      <formula>NOT(ISERROR(SEARCH("X",C367)))</formula>
    </cfRule>
  </conditionalFormatting>
  <conditionalFormatting sqref="C394">
    <cfRule type="containsText" dxfId="48" priority="50" operator="containsText" text="X">
      <formula>NOT(ISERROR(SEARCH("X",C394)))</formula>
    </cfRule>
  </conditionalFormatting>
  <conditionalFormatting sqref="C396:C400">
    <cfRule type="containsText" dxfId="47" priority="49" operator="containsText" text="X">
      <formula>NOT(ISERROR(SEARCH("X",C396)))</formula>
    </cfRule>
  </conditionalFormatting>
  <conditionalFormatting sqref="C401">
    <cfRule type="containsText" dxfId="46" priority="48" operator="containsText" text="X">
      <formula>NOT(ISERROR(SEARCH("X",C401)))</formula>
    </cfRule>
  </conditionalFormatting>
  <conditionalFormatting sqref="C407:C408">
    <cfRule type="containsText" dxfId="45" priority="47" operator="containsText" text="X">
      <formula>NOT(ISERROR(SEARCH("X",C407)))</formula>
    </cfRule>
  </conditionalFormatting>
  <conditionalFormatting sqref="C409">
    <cfRule type="containsText" dxfId="44" priority="46" operator="containsText" text="X">
      <formula>NOT(ISERROR(SEARCH("X",C409)))</formula>
    </cfRule>
  </conditionalFormatting>
  <conditionalFormatting sqref="C419:C425">
    <cfRule type="containsText" dxfId="43" priority="45" operator="containsText" text="X">
      <formula>NOT(ISERROR(SEARCH("X",C419)))</formula>
    </cfRule>
  </conditionalFormatting>
  <conditionalFormatting sqref="C426">
    <cfRule type="containsText" dxfId="42" priority="44" operator="containsText" text="X">
      <formula>NOT(ISERROR(SEARCH("X",C426)))</formula>
    </cfRule>
  </conditionalFormatting>
  <conditionalFormatting sqref="C428:C430">
    <cfRule type="containsText" dxfId="41" priority="43" operator="containsText" text="X">
      <formula>NOT(ISERROR(SEARCH("X",C428)))</formula>
    </cfRule>
  </conditionalFormatting>
  <conditionalFormatting sqref="C451:C463">
    <cfRule type="containsText" dxfId="40" priority="42" operator="containsText" text="X">
      <formula>NOT(ISERROR(SEARCH("X",C451)))</formula>
    </cfRule>
  </conditionalFormatting>
  <conditionalFormatting sqref="C473">
    <cfRule type="containsText" dxfId="39" priority="41" operator="containsText" text="X">
      <formula>NOT(ISERROR(SEARCH("X",C473)))</formula>
    </cfRule>
  </conditionalFormatting>
  <conditionalFormatting sqref="C480:C481">
    <cfRule type="containsText" dxfId="38" priority="40" operator="containsText" text="X">
      <formula>NOT(ISERROR(SEARCH("X",C480)))</formula>
    </cfRule>
  </conditionalFormatting>
  <conditionalFormatting sqref="C496">
    <cfRule type="containsText" dxfId="37" priority="39" operator="containsText" text="X">
      <formula>NOT(ISERROR(SEARCH("X",C496)))</formula>
    </cfRule>
  </conditionalFormatting>
  <conditionalFormatting sqref="C500">
    <cfRule type="containsText" dxfId="36" priority="38" operator="containsText" text="X">
      <formula>NOT(ISERROR(SEARCH("X",C500)))</formula>
    </cfRule>
  </conditionalFormatting>
  <conditionalFormatting sqref="C502:C506">
    <cfRule type="containsText" dxfId="35" priority="37" operator="containsText" text="X">
      <formula>NOT(ISERROR(SEARCH("X",C502)))</formula>
    </cfRule>
  </conditionalFormatting>
  <conditionalFormatting sqref="C508:C511">
    <cfRule type="containsText" dxfId="34" priority="36" operator="containsText" text="X">
      <formula>NOT(ISERROR(SEARCH("X",C508)))</formula>
    </cfRule>
  </conditionalFormatting>
  <conditionalFormatting sqref="C513">
    <cfRule type="containsText" dxfId="33" priority="35" operator="containsText" text="X">
      <formula>NOT(ISERROR(SEARCH("X",C513)))</formula>
    </cfRule>
  </conditionalFormatting>
  <conditionalFormatting sqref="C514:C516">
    <cfRule type="containsText" dxfId="32" priority="34" operator="containsText" text="X">
      <formula>NOT(ISERROR(SEARCH("X",C514)))</formula>
    </cfRule>
  </conditionalFormatting>
  <conditionalFormatting sqref="C517:C536">
    <cfRule type="containsText" dxfId="31" priority="33" operator="containsText" text="X">
      <formula>NOT(ISERROR(SEARCH("X",C517)))</formula>
    </cfRule>
  </conditionalFormatting>
  <conditionalFormatting sqref="C541:C544">
    <cfRule type="containsText" dxfId="30" priority="32" operator="containsText" text="X">
      <formula>NOT(ISERROR(SEARCH("X",C541)))</formula>
    </cfRule>
  </conditionalFormatting>
  <conditionalFormatting sqref="C546:C558">
    <cfRule type="containsText" dxfId="29" priority="31" operator="containsText" text="X">
      <formula>NOT(ISERROR(SEARCH("X",C546)))</formula>
    </cfRule>
  </conditionalFormatting>
  <conditionalFormatting sqref="C559">
    <cfRule type="containsText" dxfId="28" priority="30" operator="containsText" text="X">
      <formula>NOT(ISERROR(SEARCH("X",C559)))</formula>
    </cfRule>
  </conditionalFormatting>
  <conditionalFormatting sqref="C560">
    <cfRule type="containsText" dxfId="27" priority="29" operator="containsText" text="X">
      <formula>NOT(ISERROR(SEARCH("X",C560)))</formula>
    </cfRule>
  </conditionalFormatting>
  <conditionalFormatting sqref="C565">
    <cfRule type="containsText" dxfId="26" priority="28" operator="containsText" text="X">
      <formula>NOT(ISERROR(SEARCH("X",C565)))</formula>
    </cfRule>
  </conditionalFormatting>
  <conditionalFormatting sqref="C566">
    <cfRule type="containsText" dxfId="25" priority="27" operator="containsText" text="X">
      <formula>NOT(ISERROR(SEARCH("X",C566)))</formula>
    </cfRule>
  </conditionalFormatting>
  <conditionalFormatting sqref="C568">
    <cfRule type="containsText" dxfId="24" priority="26" operator="containsText" text="X">
      <formula>NOT(ISERROR(SEARCH("X",C568)))</formula>
    </cfRule>
  </conditionalFormatting>
  <conditionalFormatting sqref="C569:C570">
    <cfRule type="containsText" dxfId="23" priority="25" operator="containsText" text="X">
      <formula>NOT(ISERROR(SEARCH("X",C569)))</formula>
    </cfRule>
  </conditionalFormatting>
  <conditionalFormatting sqref="C572">
    <cfRule type="containsText" dxfId="22" priority="24" operator="containsText" text="X">
      <formula>NOT(ISERROR(SEARCH("X",C572)))</formula>
    </cfRule>
  </conditionalFormatting>
  <conditionalFormatting sqref="C562:C564">
    <cfRule type="containsText" dxfId="21" priority="23" operator="containsText" text="X">
      <formula>NOT(ISERROR(SEARCH("X",C562)))</formula>
    </cfRule>
  </conditionalFormatting>
  <conditionalFormatting sqref="C573:C576 C578:C581">
    <cfRule type="containsText" dxfId="20" priority="22" operator="containsText" text="X">
      <formula>NOT(ISERROR(SEARCH("X",C573)))</formula>
    </cfRule>
  </conditionalFormatting>
  <conditionalFormatting sqref="C577">
    <cfRule type="containsText" dxfId="19" priority="21" operator="containsText" text="X">
      <formula>NOT(ISERROR(SEARCH("X",C577)))</formula>
    </cfRule>
  </conditionalFormatting>
  <conditionalFormatting sqref="C582">
    <cfRule type="containsText" dxfId="18" priority="20" operator="containsText" text="X">
      <formula>NOT(ISERROR(SEARCH("X",C582)))</formula>
    </cfRule>
  </conditionalFormatting>
  <conditionalFormatting sqref="C583:C584">
    <cfRule type="containsText" dxfId="17" priority="19" operator="containsText" text="X">
      <formula>NOT(ISERROR(SEARCH("X",C583)))</formula>
    </cfRule>
  </conditionalFormatting>
  <conditionalFormatting sqref="C584">
    <cfRule type="containsText" dxfId="16" priority="18" operator="containsText" text="X">
      <formula>NOT(ISERROR(SEARCH("X",C584)))</formula>
    </cfRule>
  </conditionalFormatting>
  <conditionalFormatting sqref="C585:C587 C610:C617 C594 C596:C608">
    <cfRule type="containsText" dxfId="15" priority="17" operator="containsText" text="X">
      <formula>NOT(ISERROR(SEARCH("X",C585)))</formula>
    </cfRule>
  </conditionalFormatting>
  <conditionalFormatting sqref="C588:C592">
    <cfRule type="containsText" dxfId="14" priority="16" operator="containsText" text="X">
      <formula>NOT(ISERROR(SEARCH("X",C588)))</formula>
    </cfRule>
  </conditionalFormatting>
  <conditionalFormatting sqref="C593">
    <cfRule type="containsText" dxfId="13" priority="15" operator="containsText" text="X">
      <formula>NOT(ISERROR(SEARCH("X",C593)))</formula>
    </cfRule>
  </conditionalFormatting>
  <conditionalFormatting sqref="C618:C619">
    <cfRule type="containsText" dxfId="12" priority="13" operator="containsText" text="X">
      <formula>NOT(ISERROR(SEARCH("X",C618)))</formula>
    </cfRule>
  </conditionalFormatting>
  <conditionalFormatting sqref="C620:C621">
    <cfRule type="containsText" dxfId="11" priority="12" operator="containsText" text="X">
      <formula>NOT(ISERROR(SEARCH("X",C620)))</formula>
    </cfRule>
  </conditionalFormatting>
  <conditionalFormatting sqref="C622:C624 C645 C626:C632 C634:C638">
    <cfRule type="containsText" dxfId="10" priority="11" operator="containsText" text="X">
      <formula>NOT(ISERROR(SEARCH("X",C622)))</formula>
    </cfRule>
  </conditionalFormatting>
  <conditionalFormatting sqref="C639:C644">
    <cfRule type="containsText" dxfId="9" priority="10" operator="containsText" text="X">
      <formula>NOT(ISERROR(SEARCH("X",C639)))</formula>
    </cfRule>
  </conditionalFormatting>
  <conditionalFormatting sqref="C625">
    <cfRule type="containsText" dxfId="8" priority="9" operator="containsText" text="X">
      <formula>NOT(ISERROR(SEARCH("X",C625)))</formula>
    </cfRule>
  </conditionalFormatting>
  <conditionalFormatting sqref="C633">
    <cfRule type="containsText" dxfId="7" priority="8" operator="containsText" text="X">
      <formula>NOT(ISERROR(SEARCH("X",C633)))</formula>
    </cfRule>
  </conditionalFormatting>
  <conditionalFormatting sqref="C4">
    <cfRule type="containsText" dxfId="6" priority="7" operator="containsText" text="X">
      <formula>NOT(ISERROR(SEARCH("X",C4)))</formula>
    </cfRule>
  </conditionalFormatting>
  <conditionalFormatting sqref="C54">
    <cfRule type="containsText" dxfId="5" priority="6" operator="containsText" text="X">
      <formula>NOT(ISERROR(SEARCH("X",C54)))</formula>
    </cfRule>
  </conditionalFormatting>
  <conditionalFormatting sqref="C183">
    <cfRule type="containsText" dxfId="4" priority="5" operator="containsText" text="X">
      <formula>NOT(ISERROR(SEARCH("X",C183)))</formula>
    </cfRule>
  </conditionalFormatting>
  <conditionalFormatting sqref="C248:C251">
    <cfRule type="containsText" dxfId="3" priority="4" operator="containsText" text="X">
      <formula>NOT(ISERROR(SEARCH("X",C248)))</formula>
    </cfRule>
  </conditionalFormatting>
  <conditionalFormatting sqref="C17">
    <cfRule type="containsText" dxfId="2" priority="3" operator="containsText" text="X">
      <formula>NOT(ISERROR(SEARCH("X",C17)))</formula>
    </cfRule>
  </conditionalFormatting>
  <conditionalFormatting sqref="C595 C609">
    <cfRule type="containsText" dxfId="1" priority="2" operator="containsText" text="X">
      <formula>NOT(ISERROR(SEARCH("X",C595)))</formula>
    </cfRule>
  </conditionalFormatting>
  <conditionalFormatting sqref="C647">
    <cfRule type="containsText" dxfId="0" priority="1" operator="containsText" text="X">
      <formula>NOT(ISERROR(SEARCH("X",C647)))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44232-45E2-4E1B-9021-FF5A16185ED8}">
  <dimension ref="B2:E62"/>
  <sheetViews>
    <sheetView topLeftCell="A34" workbookViewId="0">
      <selection activeCell="J62" sqref="J62"/>
    </sheetView>
  </sheetViews>
  <sheetFormatPr defaultRowHeight="16.5" x14ac:dyDescent="0.3"/>
  <cols>
    <col min="3" max="3" width="9" customWidth="1"/>
  </cols>
  <sheetData>
    <row r="2" spans="2:4" x14ac:dyDescent="0.2">
      <c r="B2">
        <f>RANK(D2,D2:D61)</f>
        <v>56</v>
      </c>
      <c r="C2" s="69">
        <v>215503</v>
      </c>
      <c r="D2" s="69">
        <v>0</v>
      </c>
    </row>
    <row r="3" spans="2:4" x14ac:dyDescent="0.2">
      <c r="B3">
        <f>RANK(D3,D3:D62)</f>
        <v>57</v>
      </c>
      <c r="C3" s="69">
        <v>215735</v>
      </c>
      <c r="D3" s="69">
        <v>0</v>
      </c>
    </row>
    <row r="4" spans="2:4" x14ac:dyDescent="0.2">
      <c r="B4">
        <f>RANK(D4,D4:D63)</f>
        <v>57</v>
      </c>
      <c r="C4" s="69">
        <v>214554</v>
      </c>
      <c r="D4" s="69">
        <v>0</v>
      </c>
    </row>
    <row r="5" spans="2:4" x14ac:dyDescent="0.2">
      <c r="B5">
        <f>RANK(D5,D5:D64)</f>
        <v>57</v>
      </c>
      <c r="C5" s="69">
        <v>212832</v>
      </c>
      <c r="D5" s="69">
        <v>0</v>
      </c>
    </row>
    <row r="6" spans="2:4" x14ac:dyDescent="0.2">
      <c r="B6">
        <f>RANK(D6,D6:D65)</f>
        <v>55</v>
      </c>
      <c r="C6" s="69">
        <v>212023</v>
      </c>
      <c r="D6" s="69">
        <v>7</v>
      </c>
    </row>
    <row r="7" spans="2:4" x14ac:dyDescent="0.2">
      <c r="B7">
        <f>RANK(D7,D7:D66)</f>
        <v>55</v>
      </c>
      <c r="C7" s="69">
        <v>215646</v>
      </c>
      <c r="D7" s="69">
        <v>7</v>
      </c>
    </row>
    <row r="8" spans="2:4" x14ac:dyDescent="0.2">
      <c r="B8">
        <f>RANK(D8,D8:D67)</f>
        <v>54</v>
      </c>
      <c r="C8" s="69">
        <v>211773</v>
      </c>
      <c r="D8" s="69">
        <v>9</v>
      </c>
    </row>
    <row r="9" spans="2:4" x14ac:dyDescent="0.2">
      <c r="B9">
        <f>RANK(D9,D9:D68)</f>
        <v>52</v>
      </c>
      <c r="C9" s="69">
        <v>211832</v>
      </c>
      <c r="D9" s="69">
        <v>10</v>
      </c>
    </row>
    <row r="10" spans="2:4" x14ac:dyDescent="0.2">
      <c r="B10">
        <f>RANK(D10,D10:D69)</f>
        <v>52</v>
      </c>
      <c r="C10" s="69">
        <v>215734</v>
      </c>
      <c r="D10" s="69">
        <v>10</v>
      </c>
    </row>
    <row r="11" spans="2:4" x14ac:dyDescent="0.2">
      <c r="B11">
        <f>RANK(D11,D11:D70)</f>
        <v>51</v>
      </c>
      <c r="C11" s="69">
        <v>211138</v>
      </c>
      <c r="D11" s="69">
        <v>12</v>
      </c>
    </row>
    <row r="12" spans="2:4" x14ac:dyDescent="0.2">
      <c r="B12">
        <f>RANK(D12,D12:D71)</f>
        <v>50</v>
      </c>
      <c r="C12" s="69">
        <v>212854</v>
      </c>
      <c r="D12" s="69">
        <v>13</v>
      </c>
    </row>
    <row r="13" spans="2:4" x14ac:dyDescent="0.2">
      <c r="B13">
        <f>RANK(D13,D13:D72)</f>
        <v>49</v>
      </c>
      <c r="C13" s="69">
        <v>213263</v>
      </c>
      <c r="D13" s="69">
        <v>15</v>
      </c>
    </row>
    <row r="14" spans="2:4" x14ac:dyDescent="0.2">
      <c r="B14">
        <f>RANK(D14,D14:D73)</f>
        <v>48</v>
      </c>
      <c r="C14" s="69">
        <v>212032</v>
      </c>
      <c r="D14" s="69">
        <v>16</v>
      </c>
    </row>
    <row r="15" spans="2:4" x14ac:dyDescent="0.2">
      <c r="B15">
        <f>RANK(D15,D15:D74)</f>
        <v>46</v>
      </c>
      <c r="C15" s="69">
        <v>211833</v>
      </c>
      <c r="D15" s="69">
        <v>17</v>
      </c>
    </row>
    <row r="16" spans="2:4" x14ac:dyDescent="0.2">
      <c r="B16">
        <f>RANK(D16,D16:D75)</f>
        <v>46</v>
      </c>
      <c r="C16" s="69">
        <v>210420</v>
      </c>
      <c r="D16" s="69">
        <v>17</v>
      </c>
    </row>
    <row r="17" spans="2:4" x14ac:dyDescent="0.2">
      <c r="B17">
        <f>RANK(D17,D17:D76)</f>
        <v>41</v>
      </c>
      <c r="C17" s="69">
        <v>211778</v>
      </c>
      <c r="D17" s="69">
        <v>20</v>
      </c>
    </row>
    <row r="18" spans="2:4" x14ac:dyDescent="0.2">
      <c r="B18">
        <f>RANK(D18,D18:D77)</f>
        <v>41</v>
      </c>
      <c r="C18" s="69">
        <v>211793</v>
      </c>
      <c r="D18" s="69">
        <v>20</v>
      </c>
    </row>
    <row r="19" spans="2:4" x14ac:dyDescent="0.2">
      <c r="B19">
        <f>RANK(D19,D19:D78)</f>
        <v>41</v>
      </c>
      <c r="C19" s="69">
        <v>215504</v>
      </c>
      <c r="D19" s="69">
        <v>20</v>
      </c>
    </row>
    <row r="20" spans="2:4" x14ac:dyDescent="0.2">
      <c r="B20">
        <f>RANK(D20,D20:D79)</f>
        <v>41</v>
      </c>
      <c r="C20" s="69">
        <v>211325</v>
      </c>
      <c r="D20" s="69">
        <v>20</v>
      </c>
    </row>
    <row r="21" spans="2:4" x14ac:dyDescent="0.2">
      <c r="B21">
        <f>RANK(D21,D21:D80)</f>
        <v>41</v>
      </c>
      <c r="C21" s="69">
        <v>211488</v>
      </c>
      <c r="D21" s="69">
        <v>20</v>
      </c>
    </row>
    <row r="22" spans="2:4" x14ac:dyDescent="0.2">
      <c r="B22">
        <f>RANK(D22,D22:D81)</f>
        <v>40</v>
      </c>
      <c r="C22" s="69">
        <v>215502</v>
      </c>
      <c r="D22" s="69">
        <v>21</v>
      </c>
    </row>
    <row r="23" spans="2:4" x14ac:dyDescent="0.2">
      <c r="B23">
        <f>RANK(D23,D23:D82)</f>
        <v>39</v>
      </c>
      <c r="C23" s="69">
        <v>213311</v>
      </c>
      <c r="D23" s="69">
        <v>23</v>
      </c>
    </row>
    <row r="24" spans="2:4" x14ac:dyDescent="0.2">
      <c r="B24">
        <f>RANK(D24,D24:D83)</f>
        <v>38</v>
      </c>
      <c r="C24" s="69">
        <v>211805</v>
      </c>
      <c r="D24" s="69">
        <v>26</v>
      </c>
    </row>
    <row r="25" spans="2:4" x14ac:dyDescent="0.2">
      <c r="B25">
        <f>RANK(D25,D25:D84)</f>
        <v>37</v>
      </c>
      <c r="C25" s="69">
        <v>212016</v>
      </c>
      <c r="D25" s="69">
        <v>28</v>
      </c>
    </row>
    <row r="26" spans="2:4" x14ac:dyDescent="0.2">
      <c r="B26">
        <f>RANK(D26,D26:D85)</f>
        <v>35</v>
      </c>
      <c r="C26" s="69">
        <v>211801</v>
      </c>
      <c r="D26" s="69">
        <v>30</v>
      </c>
    </row>
    <row r="27" spans="2:4" x14ac:dyDescent="0.2">
      <c r="B27">
        <f>RANK(D27,D27:D86)</f>
        <v>35</v>
      </c>
      <c r="C27" s="69">
        <v>212004</v>
      </c>
      <c r="D27" s="69">
        <v>30</v>
      </c>
    </row>
    <row r="28" spans="2:4" x14ac:dyDescent="0.2">
      <c r="B28">
        <f>RANK(D28,D28:D87)</f>
        <v>33</v>
      </c>
      <c r="C28" s="69">
        <v>212948</v>
      </c>
      <c r="D28" s="69">
        <v>31</v>
      </c>
    </row>
    <row r="29" spans="2:4" x14ac:dyDescent="0.2">
      <c r="B29">
        <f>RANK(D29,D29:D88)</f>
        <v>33</v>
      </c>
      <c r="C29" s="69">
        <v>211777</v>
      </c>
      <c r="D29" s="69">
        <v>31</v>
      </c>
    </row>
    <row r="30" spans="2:4" x14ac:dyDescent="0.2">
      <c r="B30">
        <f>RANK(D30,D30:D89)</f>
        <v>31</v>
      </c>
      <c r="C30" s="69">
        <v>211800</v>
      </c>
      <c r="D30" s="69">
        <v>32</v>
      </c>
    </row>
    <row r="31" spans="2:4" x14ac:dyDescent="0.2">
      <c r="B31">
        <f>RANK(D31,D31:D90)</f>
        <v>31</v>
      </c>
      <c r="C31" s="69">
        <v>212028</v>
      </c>
      <c r="D31" s="69">
        <v>32</v>
      </c>
    </row>
    <row r="32" spans="2:4" x14ac:dyDescent="0.2">
      <c r="B32">
        <f>RANK(D32,D32:D91)</f>
        <v>30</v>
      </c>
      <c r="C32" s="69">
        <v>213011</v>
      </c>
      <c r="D32" s="69">
        <v>34</v>
      </c>
    </row>
    <row r="33" spans="2:5" x14ac:dyDescent="0.2">
      <c r="B33">
        <f>RANK(D33,D33:D92)</f>
        <v>28</v>
      </c>
      <c r="C33" s="69">
        <v>211774</v>
      </c>
      <c r="D33" s="69">
        <v>36</v>
      </c>
    </row>
    <row r="34" spans="2:5" x14ac:dyDescent="0.2">
      <c r="B34">
        <f>RANK(D34,D34:D93)</f>
        <v>24</v>
      </c>
      <c r="C34" s="69">
        <v>214378</v>
      </c>
      <c r="D34" s="69">
        <v>38</v>
      </c>
    </row>
    <row r="35" spans="2:5" x14ac:dyDescent="0.2">
      <c r="B35">
        <f>RANK(D35,D35:D94)</f>
        <v>24</v>
      </c>
      <c r="C35" s="69">
        <v>211797</v>
      </c>
      <c r="D35" s="69">
        <v>38</v>
      </c>
    </row>
    <row r="36" spans="2:5" x14ac:dyDescent="0.2">
      <c r="B36">
        <f>RANK(D36,D36:D95)</f>
        <v>24</v>
      </c>
      <c r="C36" s="69">
        <v>215726</v>
      </c>
      <c r="D36" s="69">
        <v>38</v>
      </c>
    </row>
    <row r="37" spans="2:5" x14ac:dyDescent="0.2">
      <c r="B37">
        <f>RANK(D37,D37:D96)</f>
        <v>24</v>
      </c>
      <c r="C37" s="69">
        <v>213014</v>
      </c>
      <c r="D37" s="69">
        <v>38</v>
      </c>
    </row>
    <row r="38" spans="2:5" x14ac:dyDescent="0.2">
      <c r="B38">
        <f>RANK(D38,D38:D97)</f>
        <v>23</v>
      </c>
      <c r="C38" s="69">
        <v>211771</v>
      </c>
      <c r="D38" s="69">
        <v>40</v>
      </c>
    </row>
    <row r="39" spans="2:5" x14ac:dyDescent="0.2">
      <c r="B39">
        <f>RANK(D39,D39:D98)</f>
        <v>22</v>
      </c>
      <c r="C39" s="69">
        <v>212991</v>
      </c>
      <c r="D39" s="69">
        <v>41</v>
      </c>
    </row>
    <row r="40" spans="2:5" x14ac:dyDescent="0.2">
      <c r="B40">
        <f>RANK(D40,D40:D99)</f>
        <v>20</v>
      </c>
      <c r="C40" s="69">
        <v>212986</v>
      </c>
      <c r="D40" s="69">
        <v>42</v>
      </c>
    </row>
    <row r="41" spans="2:5" x14ac:dyDescent="0.2">
      <c r="B41">
        <f>RANK(D41,D41:D100)</f>
        <v>20</v>
      </c>
      <c r="C41" s="69">
        <v>213354</v>
      </c>
      <c r="D41" s="69">
        <v>42</v>
      </c>
    </row>
    <row r="42" spans="2:5" x14ac:dyDescent="0.2">
      <c r="B42">
        <f>RANK(D42,D42:D101)</f>
        <v>18</v>
      </c>
      <c r="C42" s="69">
        <v>210162</v>
      </c>
      <c r="D42" s="69">
        <v>45</v>
      </c>
    </row>
    <row r="43" spans="2:5" x14ac:dyDescent="0.2">
      <c r="B43">
        <f>RANK(D43,D43:D102)</f>
        <v>18</v>
      </c>
      <c r="C43" s="69">
        <v>211995</v>
      </c>
      <c r="D43" s="69">
        <v>45</v>
      </c>
    </row>
    <row r="44" spans="2:5" x14ac:dyDescent="0.2">
      <c r="B44">
        <f>RANK(D44,D44:D103)</f>
        <v>17</v>
      </c>
      <c r="C44" s="69">
        <v>215507</v>
      </c>
      <c r="D44" s="69">
        <v>47</v>
      </c>
    </row>
    <row r="45" spans="2:5" x14ac:dyDescent="0.2">
      <c r="B45">
        <f>RANK(D45,D45:D104)</f>
        <v>16</v>
      </c>
      <c r="C45" s="69">
        <v>211992</v>
      </c>
      <c r="D45" s="69">
        <v>49</v>
      </c>
    </row>
    <row r="46" spans="2:5" x14ac:dyDescent="0.2">
      <c r="B46">
        <f>RANK(D46,D46:D105)</f>
        <v>15</v>
      </c>
      <c r="C46" s="69">
        <v>211814</v>
      </c>
      <c r="D46" s="69">
        <v>50</v>
      </c>
    </row>
    <row r="47" spans="2:5" x14ac:dyDescent="0.2">
      <c r="B47">
        <f>RANK(D47,D47:D106)</f>
        <v>13</v>
      </c>
      <c r="C47" s="69">
        <v>211383</v>
      </c>
      <c r="D47" s="69">
        <v>52</v>
      </c>
    </row>
    <row r="48" spans="2:5" x14ac:dyDescent="0.2">
      <c r="B48" s="71">
        <f>RANK(D48,D48:D107)</f>
        <v>13</v>
      </c>
      <c r="C48" s="70">
        <v>212989</v>
      </c>
      <c r="D48" s="70">
        <v>52</v>
      </c>
      <c r="E48">
        <f>B48/61*100</f>
        <v>21.311475409836063</v>
      </c>
    </row>
    <row r="49" spans="2:4" x14ac:dyDescent="0.2">
      <c r="B49">
        <f>RANK(D49,D49:D108)</f>
        <v>12</v>
      </c>
      <c r="C49" s="69">
        <v>212967</v>
      </c>
      <c r="D49" s="69">
        <v>54</v>
      </c>
    </row>
    <row r="50" spans="2:4" x14ac:dyDescent="0.2">
      <c r="B50">
        <f>RANK(D50,D50:D109)</f>
        <v>10</v>
      </c>
      <c r="C50" s="69">
        <v>211781</v>
      </c>
      <c r="D50" s="69">
        <v>55</v>
      </c>
    </row>
    <row r="51" spans="2:4" x14ac:dyDescent="0.2">
      <c r="B51">
        <f>RANK(D51,D51:D110)</f>
        <v>10</v>
      </c>
      <c r="C51" s="69">
        <v>211979</v>
      </c>
      <c r="D51" s="69">
        <v>55</v>
      </c>
    </row>
    <row r="52" spans="2:4" x14ac:dyDescent="0.2">
      <c r="B52">
        <f>RANK(D52,D52:D111)</f>
        <v>9</v>
      </c>
      <c r="C52" s="69">
        <v>211782</v>
      </c>
      <c r="D52" s="69">
        <v>61</v>
      </c>
    </row>
    <row r="53" spans="2:4" x14ac:dyDescent="0.2">
      <c r="B53">
        <f>RANK(D53,D53:D112)</f>
        <v>8</v>
      </c>
      <c r="C53" s="69">
        <v>212958</v>
      </c>
      <c r="D53" s="69">
        <v>63</v>
      </c>
    </row>
    <row r="54" spans="2:4" x14ac:dyDescent="0.2">
      <c r="B54">
        <f>RANK(D54,D54:D113)</f>
        <v>7</v>
      </c>
      <c r="C54" s="69">
        <v>211822</v>
      </c>
      <c r="D54" s="69">
        <v>67</v>
      </c>
    </row>
    <row r="55" spans="2:4" x14ac:dyDescent="0.2">
      <c r="B55">
        <f>RANK(D55,D55:D114)</f>
        <v>6</v>
      </c>
      <c r="C55" s="69">
        <v>213004</v>
      </c>
      <c r="D55" s="69">
        <v>68</v>
      </c>
    </row>
    <row r="56" spans="2:4" x14ac:dyDescent="0.2">
      <c r="B56">
        <f>RANK(D56,D56:D115)</f>
        <v>5</v>
      </c>
      <c r="C56" s="69">
        <v>212966</v>
      </c>
      <c r="D56" s="69">
        <v>69</v>
      </c>
    </row>
    <row r="57" spans="2:4" x14ac:dyDescent="0.2">
      <c r="B57">
        <f>RANK(D57,D57:D116)</f>
        <v>4</v>
      </c>
      <c r="C57" s="69">
        <v>213358</v>
      </c>
      <c r="D57" s="69">
        <v>70</v>
      </c>
    </row>
    <row r="58" spans="2:4" x14ac:dyDescent="0.2">
      <c r="B58" s="72">
        <f>RANK(D58,D58:D117)</f>
        <v>3</v>
      </c>
      <c r="C58" s="74">
        <v>212982</v>
      </c>
      <c r="D58" s="74">
        <v>76</v>
      </c>
    </row>
    <row r="59" spans="2:4" x14ac:dyDescent="0.2">
      <c r="B59">
        <f>RANK(D59,D59:D118)</f>
        <v>2</v>
      </c>
      <c r="C59" s="69">
        <v>212839</v>
      </c>
      <c r="D59" s="69">
        <v>78</v>
      </c>
    </row>
    <row r="60" spans="2:4" x14ac:dyDescent="0.2">
      <c r="B60">
        <f>RANK(D60,D60:D119)</f>
        <v>1</v>
      </c>
      <c r="C60" s="69">
        <v>212988</v>
      </c>
      <c r="D60" s="69">
        <v>80</v>
      </c>
    </row>
    <row r="61" spans="2:4" ht="17.25" thickBot="1" x14ac:dyDescent="0.25">
      <c r="C61" s="69">
        <v>215129</v>
      </c>
      <c r="D61" s="69"/>
    </row>
    <row r="62" spans="2:4" ht="17.25" thickBot="1" x14ac:dyDescent="0.35">
      <c r="D62" s="73">
        <f>AVERAGE(D2:D61)</f>
        <v>34.576271186440678</v>
      </c>
    </row>
  </sheetData>
  <sortState xmlns:xlrd2="http://schemas.microsoft.com/office/spreadsheetml/2017/richdata2" ref="B2:D61">
    <sortCondition descending="1" ref="B2:B61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A73A-223C-4259-B23D-79476E2ABECD}">
  <dimension ref="A1:E85"/>
  <sheetViews>
    <sheetView topLeftCell="A67" zoomScale="85" zoomScaleNormal="85" workbookViewId="0">
      <selection activeCell="B84" sqref="B84"/>
    </sheetView>
  </sheetViews>
  <sheetFormatPr defaultRowHeight="30" x14ac:dyDescent="0.3"/>
  <cols>
    <col min="1" max="1" width="9" style="1"/>
    <col min="2" max="2" width="8.75" style="19" customWidth="1"/>
    <col min="3" max="3" width="36.625" style="1" hidden="1" customWidth="1"/>
    <col min="4" max="4" width="36.375" style="1" customWidth="1"/>
    <col min="5" max="5" width="181.375" style="1" customWidth="1"/>
    <col min="6" max="16384" width="9" style="1"/>
  </cols>
  <sheetData>
    <row r="1" spans="2:5" ht="30.75" thickBot="1" x14ac:dyDescent="0.35">
      <c r="B1" s="19" t="s">
        <v>1167</v>
      </c>
    </row>
    <row r="2" spans="2:5" ht="35.1" customHeight="1" thickBot="1" x14ac:dyDescent="0.35">
      <c r="B2" s="26" t="str">
        <f t="shared" ref="B2:B16" si="0">IF(EXACT(SUBSTITUTE(C2," ",""),SUBSTITUTE(D2," ","")),"O","X")</f>
        <v>O</v>
      </c>
      <c r="C2" s="2" t="s">
        <v>120</v>
      </c>
      <c r="D2" s="2" t="s">
        <v>1168</v>
      </c>
      <c r="E2" s="2" t="s">
        <v>121</v>
      </c>
    </row>
    <row r="3" spans="2:5" ht="35.1" customHeight="1" thickBot="1" x14ac:dyDescent="0.35">
      <c r="B3" s="26" t="str">
        <f t="shared" si="0"/>
        <v>O</v>
      </c>
      <c r="C3" s="2" t="s">
        <v>122</v>
      </c>
      <c r="D3" s="2" t="s">
        <v>1169</v>
      </c>
      <c r="E3" s="2" t="s">
        <v>123</v>
      </c>
    </row>
    <row r="4" spans="2:5" ht="35.1" customHeight="1" thickBot="1" x14ac:dyDescent="0.35">
      <c r="B4" s="26" t="str">
        <f t="shared" si="0"/>
        <v>O</v>
      </c>
      <c r="C4" s="2" t="s">
        <v>124</v>
      </c>
      <c r="D4" s="2" t="s">
        <v>1218</v>
      </c>
      <c r="E4" s="2" t="s">
        <v>125</v>
      </c>
    </row>
    <row r="5" spans="2:5" ht="35.1" customHeight="1" thickBot="1" x14ac:dyDescent="0.35">
      <c r="B5" s="26" t="str">
        <f t="shared" si="0"/>
        <v>O</v>
      </c>
      <c r="C5" s="2" t="s">
        <v>126</v>
      </c>
      <c r="D5" s="2" t="s">
        <v>1170</v>
      </c>
      <c r="E5" s="2" t="s">
        <v>127</v>
      </c>
    </row>
    <row r="6" spans="2:5" ht="35.1" customHeight="1" thickBot="1" x14ac:dyDescent="0.35">
      <c r="B6" s="26" t="str">
        <f t="shared" si="0"/>
        <v>O</v>
      </c>
      <c r="C6" s="2" t="s">
        <v>128</v>
      </c>
      <c r="D6" s="2" t="s">
        <v>1171</v>
      </c>
      <c r="E6" s="2" t="s">
        <v>129</v>
      </c>
    </row>
    <row r="7" spans="2:5" ht="35.1" customHeight="1" thickBot="1" x14ac:dyDescent="0.35">
      <c r="B7" s="26" t="str">
        <f t="shared" si="0"/>
        <v>O</v>
      </c>
      <c r="C7" s="2" t="s">
        <v>130</v>
      </c>
      <c r="D7" s="2" t="s">
        <v>1172</v>
      </c>
      <c r="E7" s="2" t="s">
        <v>131</v>
      </c>
    </row>
    <row r="8" spans="2:5" ht="35.1" customHeight="1" thickBot="1" x14ac:dyDescent="0.35">
      <c r="B8" s="26" t="str">
        <f t="shared" si="0"/>
        <v>O</v>
      </c>
      <c r="C8" s="2" t="s">
        <v>132</v>
      </c>
      <c r="D8" s="2" t="s">
        <v>1174</v>
      </c>
      <c r="E8" s="2" t="s">
        <v>1214</v>
      </c>
    </row>
    <row r="9" spans="2:5" ht="35.1" customHeight="1" thickBot="1" x14ac:dyDescent="0.35">
      <c r="B9" s="26" t="str">
        <f t="shared" si="0"/>
        <v>O</v>
      </c>
      <c r="C9" s="2" t="s">
        <v>133</v>
      </c>
      <c r="D9" s="2" t="s">
        <v>1173</v>
      </c>
      <c r="E9" s="2" t="s">
        <v>1215</v>
      </c>
    </row>
    <row r="10" spans="2:5" ht="60.75" thickBot="1" x14ac:dyDescent="0.35">
      <c r="B10" s="26" t="str">
        <f t="shared" si="0"/>
        <v>O</v>
      </c>
      <c r="C10" s="2" t="s">
        <v>134</v>
      </c>
      <c r="D10" s="2" t="s">
        <v>1175</v>
      </c>
      <c r="E10" s="2" t="s">
        <v>1216</v>
      </c>
    </row>
    <row r="11" spans="2:5" ht="35.1" customHeight="1" thickBot="1" x14ac:dyDescent="0.35">
      <c r="B11" s="26" t="str">
        <f t="shared" si="0"/>
        <v>O</v>
      </c>
      <c r="C11" s="2" t="s">
        <v>1224</v>
      </c>
      <c r="D11" s="2" t="s">
        <v>1224</v>
      </c>
      <c r="E11" s="2" t="s">
        <v>135</v>
      </c>
    </row>
    <row r="12" spans="2:5" ht="35.1" customHeight="1" thickBot="1" x14ac:dyDescent="0.35">
      <c r="B12" s="26" t="str">
        <f t="shared" si="0"/>
        <v>O</v>
      </c>
      <c r="C12" s="2" t="s">
        <v>136</v>
      </c>
      <c r="D12" s="47" t="s">
        <v>1222</v>
      </c>
      <c r="E12" s="2" t="s">
        <v>137</v>
      </c>
    </row>
    <row r="13" spans="2:5" ht="35.1" customHeight="1" thickBot="1" x14ac:dyDescent="0.35">
      <c r="B13" s="26" t="str">
        <f t="shared" si="0"/>
        <v>O</v>
      </c>
      <c r="C13" s="2" t="s">
        <v>138</v>
      </c>
      <c r="D13" s="2" t="s">
        <v>1219</v>
      </c>
      <c r="E13" s="2" t="s">
        <v>139</v>
      </c>
    </row>
    <row r="14" spans="2:5" ht="35.1" customHeight="1" thickBot="1" x14ac:dyDescent="0.35">
      <c r="B14" s="26" t="str">
        <f t="shared" si="0"/>
        <v>O</v>
      </c>
      <c r="C14" s="2" t="s">
        <v>140</v>
      </c>
      <c r="D14" s="2" t="s">
        <v>1220</v>
      </c>
      <c r="E14" s="2" t="s">
        <v>141</v>
      </c>
    </row>
    <row r="15" spans="2:5" ht="35.1" customHeight="1" thickBot="1" x14ac:dyDescent="0.35">
      <c r="B15" s="26" t="str">
        <f t="shared" si="0"/>
        <v>O</v>
      </c>
      <c r="C15" s="2" t="s">
        <v>142</v>
      </c>
      <c r="D15" s="2" t="s">
        <v>1221</v>
      </c>
      <c r="E15" s="2" t="s">
        <v>143</v>
      </c>
    </row>
    <row r="16" spans="2:5" ht="35.1" customHeight="1" thickBot="1" x14ac:dyDescent="0.35">
      <c r="B16" s="26" t="str">
        <f t="shared" si="0"/>
        <v>O</v>
      </c>
      <c r="C16" s="2" t="s">
        <v>144</v>
      </c>
      <c r="D16" s="2" t="s">
        <v>1227</v>
      </c>
      <c r="E16" s="2" t="s">
        <v>1225</v>
      </c>
    </row>
    <row r="17" spans="1:5" ht="35.1" customHeight="1" thickBot="1" x14ac:dyDescent="0.35">
      <c r="B17" s="26" t="str">
        <f>IF(AND(ISNUMBER(SEARCH("개체",SUBSTITUTE(D17," ",""))),ISNUMBER(SEARCH("속성",SUBSTITUTE(D17," ",""))),ISNUMBER(SEARCH("관계",SUBSTITUTE(D17," ","")))),"O","X")</f>
        <v>O</v>
      </c>
      <c r="C17" s="2" t="s">
        <v>1176</v>
      </c>
      <c r="D17" s="2" t="s">
        <v>1228</v>
      </c>
      <c r="E17" s="2" t="s">
        <v>145</v>
      </c>
    </row>
    <row r="18" spans="1:5" ht="35.1" customHeight="1" thickBot="1" x14ac:dyDescent="0.35">
      <c r="A18" s="52"/>
      <c r="B18" s="26" t="str">
        <f>IF(EXACT(SUBSTITUTE(C18," ",""),SUBSTITUTE(D18," ","")),"O","X")</f>
        <v>X</v>
      </c>
      <c r="C18" s="2" t="s">
        <v>146</v>
      </c>
      <c r="D18" s="2"/>
      <c r="E18" s="2" t="s">
        <v>147</v>
      </c>
    </row>
    <row r="19" spans="1:5" ht="35.1" customHeight="1" thickBot="1" x14ac:dyDescent="0.35">
      <c r="A19" s="52"/>
      <c r="B19" s="26" t="str">
        <f>IF(AND(ISNUMBER(SEARCH("구조",SUBSTITUTE(D19," ",""))),ISNUMBER(SEARCH("연산",SUBSTITUTE(D19," ",""))),ISNUMBER(SEARCH("제약조건",SUBSTITUTE(D19," ","")))),"O","X")</f>
        <v>X</v>
      </c>
      <c r="C19" s="2" t="s">
        <v>148</v>
      </c>
      <c r="D19" s="2"/>
      <c r="E19" s="2" t="s">
        <v>149</v>
      </c>
    </row>
    <row r="20" spans="1:5" ht="35.1" customHeight="1" thickBot="1" x14ac:dyDescent="0.35">
      <c r="B20" s="26" t="str">
        <f>IF(EXACT(SUBSTITUTE(C20," ",""),SUBSTITUTE(D20," ","")),"O","X")</f>
        <v>O</v>
      </c>
      <c r="C20" s="2" t="s">
        <v>150</v>
      </c>
      <c r="D20" s="2" t="s">
        <v>1229</v>
      </c>
      <c r="E20" s="2" t="s">
        <v>151</v>
      </c>
    </row>
    <row r="21" spans="1:5" ht="35.1" customHeight="1" thickBot="1" x14ac:dyDescent="0.35">
      <c r="B21" s="26" t="str">
        <f>IF(EXACT(SUBSTITUTE(C21," ",""),SUBSTITUTE(D21," ","")),"O","X")</f>
        <v>O</v>
      </c>
      <c r="C21" s="2" t="s">
        <v>152</v>
      </c>
      <c r="D21" s="2" t="s">
        <v>1230</v>
      </c>
      <c r="E21" s="2" t="s">
        <v>153</v>
      </c>
    </row>
    <row r="22" spans="1:5" ht="35.1" customHeight="1" thickBot="1" x14ac:dyDescent="0.35">
      <c r="B22" s="26" t="str">
        <f>IF(EXACT(SUBSTITUTE(C22," ",""),SUBSTITUTE(D22," ","")),"O","X")</f>
        <v>O</v>
      </c>
      <c r="C22" s="2" t="s">
        <v>154</v>
      </c>
      <c r="D22" s="2" t="s">
        <v>1231</v>
      </c>
      <c r="E22" s="2" t="s">
        <v>155</v>
      </c>
    </row>
    <row r="23" spans="1:5" ht="35.1" customHeight="1" thickBot="1" x14ac:dyDescent="0.35">
      <c r="B23" s="26" t="str">
        <f>IF(AND(ISNUMBER(SEARCH("개체",SUBSTITUTE(D23," ",""))),ISNUMBER(SEARCH("속성",SUBSTITUTE(D23," ",""))),ISNUMBER(SEARCH("관계",SUBSTITUTE(D23," ","")))),"O","X")</f>
        <v>O</v>
      </c>
      <c r="C23" s="2" t="s">
        <v>156</v>
      </c>
      <c r="D23" s="2" t="s">
        <v>1228</v>
      </c>
      <c r="E23" s="2" t="s">
        <v>157</v>
      </c>
    </row>
    <row r="24" spans="1:5" ht="35.1" customHeight="1" thickBot="1" x14ac:dyDescent="0.35">
      <c r="B24" s="26" t="str">
        <f t="shared" ref="B24:B38" si="1">IF(EXACT(SUBSTITUTE(C24," ",""),SUBSTITUTE(D24," ","")),"O","X")</f>
        <v>O</v>
      </c>
      <c r="C24" s="2" t="s">
        <v>158</v>
      </c>
      <c r="D24" s="2" t="s">
        <v>1223</v>
      </c>
      <c r="E24" s="2" t="s">
        <v>159</v>
      </c>
    </row>
    <row r="25" spans="1:5" ht="35.1" customHeight="1" thickBot="1" x14ac:dyDescent="0.35">
      <c r="B25" s="26" t="str">
        <f t="shared" si="1"/>
        <v>O</v>
      </c>
      <c r="C25" s="2" t="s">
        <v>160</v>
      </c>
      <c r="D25" s="2" t="s">
        <v>1177</v>
      </c>
      <c r="E25" s="2" t="s">
        <v>161</v>
      </c>
    </row>
    <row r="26" spans="1:5" ht="35.1" customHeight="1" thickBot="1" x14ac:dyDescent="0.35">
      <c r="B26" s="26" t="str">
        <f t="shared" si="1"/>
        <v>O</v>
      </c>
      <c r="C26" s="2" t="s">
        <v>162</v>
      </c>
      <c r="D26" s="2" t="s">
        <v>1178</v>
      </c>
      <c r="E26" s="2" t="s">
        <v>163</v>
      </c>
    </row>
    <row r="27" spans="1:5" ht="35.1" customHeight="1" thickBot="1" x14ac:dyDescent="0.35">
      <c r="B27" s="26" t="str">
        <f t="shared" si="1"/>
        <v>O</v>
      </c>
      <c r="C27" s="2" t="s">
        <v>164</v>
      </c>
      <c r="D27" s="2" t="s">
        <v>1179</v>
      </c>
      <c r="E27" s="2" t="s">
        <v>165</v>
      </c>
    </row>
    <row r="28" spans="1:5" ht="35.1" customHeight="1" thickBot="1" x14ac:dyDescent="0.35">
      <c r="B28" s="26" t="str">
        <f t="shared" si="1"/>
        <v>O</v>
      </c>
      <c r="C28" s="28" t="s">
        <v>166</v>
      </c>
      <c r="D28" s="28" t="s">
        <v>1232</v>
      </c>
      <c r="E28" s="28" t="s">
        <v>167</v>
      </c>
    </row>
    <row r="29" spans="1:5" ht="35.1" customHeight="1" thickBot="1" x14ac:dyDescent="0.35">
      <c r="B29" s="26" t="str">
        <f t="shared" si="1"/>
        <v>O</v>
      </c>
      <c r="C29" s="2" t="s">
        <v>168</v>
      </c>
      <c r="D29" s="2" t="s">
        <v>1180</v>
      </c>
      <c r="E29" s="2" t="s">
        <v>169</v>
      </c>
    </row>
    <row r="30" spans="1:5" ht="35.1" customHeight="1" thickBot="1" x14ac:dyDescent="0.35">
      <c r="B30" s="26" t="str">
        <f t="shared" si="1"/>
        <v>O</v>
      </c>
      <c r="C30" s="2" t="s">
        <v>170</v>
      </c>
      <c r="D30" s="2" t="s">
        <v>1181</v>
      </c>
      <c r="E30" s="2" t="s">
        <v>171</v>
      </c>
    </row>
    <row r="31" spans="1:5" ht="35.1" customHeight="1" thickBot="1" x14ac:dyDescent="0.35">
      <c r="B31" s="26" t="str">
        <f t="shared" si="1"/>
        <v>O</v>
      </c>
      <c r="C31" s="2" t="s">
        <v>172</v>
      </c>
      <c r="D31" s="2" t="s">
        <v>1182</v>
      </c>
      <c r="E31" s="2" t="s">
        <v>173</v>
      </c>
    </row>
    <row r="32" spans="1:5" ht="35.1" customHeight="1" thickBot="1" x14ac:dyDescent="0.35">
      <c r="B32" s="26" t="str">
        <f t="shared" si="1"/>
        <v>O</v>
      </c>
      <c r="C32" s="2" t="s">
        <v>174</v>
      </c>
      <c r="D32" s="2" t="s">
        <v>1183</v>
      </c>
      <c r="E32" s="2" t="s">
        <v>175</v>
      </c>
    </row>
    <row r="33" spans="2:5" ht="35.1" customHeight="1" thickBot="1" x14ac:dyDescent="0.35">
      <c r="B33" s="26" t="str">
        <f t="shared" si="1"/>
        <v>O</v>
      </c>
      <c r="C33" s="2" t="s">
        <v>176</v>
      </c>
      <c r="D33" s="2" t="s">
        <v>1184</v>
      </c>
      <c r="E33" s="2" t="s">
        <v>177</v>
      </c>
    </row>
    <row r="34" spans="2:5" ht="35.1" customHeight="1" thickBot="1" x14ac:dyDescent="0.35">
      <c r="B34" s="26" t="str">
        <f t="shared" si="1"/>
        <v>O</v>
      </c>
      <c r="C34" s="2" t="s">
        <v>178</v>
      </c>
      <c r="D34" s="2" t="s">
        <v>1185</v>
      </c>
      <c r="E34" s="2" t="s">
        <v>179</v>
      </c>
    </row>
    <row r="35" spans="2:5" ht="35.1" customHeight="1" thickBot="1" x14ac:dyDescent="0.35">
      <c r="B35" s="26" t="str">
        <f t="shared" si="1"/>
        <v>O</v>
      </c>
      <c r="C35" s="2" t="s">
        <v>180</v>
      </c>
      <c r="D35" s="2" t="s">
        <v>1186</v>
      </c>
      <c r="E35" s="2" t="s">
        <v>181</v>
      </c>
    </row>
    <row r="36" spans="2:5" ht="35.1" customHeight="1" thickBot="1" x14ac:dyDescent="0.35">
      <c r="B36" s="26" t="str">
        <f t="shared" si="1"/>
        <v>O</v>
      </c>
      <c r="C36" s="2" t="s">
        <v>182</v>
      </c>
      <c r="D36" s="2" t="s">
        <v>1187</v>
      </c>
      <c r="E36" s="2" t="s">
        <v>183</v>
      </c>
    </row>
    <row r="37" spans="2:5" ht="35.1" customHeight="1" thickBot="1" x14ac:dyDescent="0.35">
      <c r="B37" s="26" t="str">
        <f t="shared" si="1"/>
        <v>O</v>
      </c>
      <c r="C37" s="2" t="s">
        <v>184</v>
      </c>
      <c r="D37" s="2" t="s">
        <v>1188</v>
      </c>
      <c r="E37" s="2" t="s">
        <v>185</v>
      </c>
    </row>
    <row r="38" spans="2:5" ht="35.1" customHeight="1" thickBot="1" x14ac:dyDescent="0.35">
      <c r="B38" s="26" t="str">
        <f t="shared" si="1"/>
        <v>O</v>
      </c>
      <c r="C38" s="2" t="s">
        <v>186</v>
      </c>
      <c r="D38" s="2" t="s">
        <v>1189</v>
      </c>
      <c r="E38" s="2" t="s">
        <v>187</v>
      </c>
    </row>
    <row r="39" spans="2:5" ht="129.75" thickBot="1" x14ac:dyDescent="0.35">
      <c r="B39" s="26" t="str">
        <f>IF(AND(ISNUMBER(SEARCH("union",SUBSTITUTE(D39," ",""))),ISNUMBER(SEARCH("intersection",SUBSTITUTE(D39," ",""))),ISNUMBER(SEARCH("cartesianproduct",SUBSTITUTE(D39," ",""))),ISNUMBER(SEARCH("difference",SUBSTITUTE(D39," ","")))),"O","X")</f>
        <v>O</v>
      </c>
      <c r="C39" s="29" t="s">
        <v>274</v>
      </c>
      <c r="D39" s="29" t="s">
        <v>1247</v>
      </c>
      <c r="E39" s="2" t="s">
        <v>188</v>
      </c>
    </row>
    <row r="40" spans="2:5" ht="35.1" customHeight="1" thickBot="1" x14ac:dyDescent="0.35">
      <c r="B40" s="26" t="str">
        <f t="shared" ref="B40:B48" si="2">IF(EXACT(SUBSTITUTE(C40," ",""),SUBSTITUTE(D40," ","")),"O","X")</f>
        <v>O</v>
      </c>
      <c r="C40" s="2" t="s">
        <v>189</v>
      </c>
      <c r="D40" s="2" t="s">
        <v>1190</v>
      </c>
      <c r="E40" s="2" t="s">
        <v>190</v>
      </c>
    </row>
    <row r="41" spans="2:5" ht="35.1" customHeight="1" thickBot="1" x14ac:dyDescent="0.35">
      <c r="B41" s="26" t="str">
        <f t="shared" si="2"/>
        <v>O</v>
      </c>
      <c r="C41" s="2" t="s">
        <v>191</v>
      </c>
      <c r="D41" s="2" t="s">
        <v>1191</v>
      </c>
      <c r="E41" s="2" t="s">
        <v>192</v>
      </c>
    </row>
    <row r="42" spans="2:5" ht="35.1" customHeight="1" thickBot="1" x14ac:dyDescent="0.35">
      <c r="B42" s="26" t="str">
        <f t="shared" si="2"/>
        <v>O</v>
      </c>
      <c r="C42" s="2" t="s">
        <v>193</v>
      </c>
      <c r="D42" s="2" t="s">
        <v>758</v>
      </c>
      <c r="E42" s="2" t="s">
        <v>194</v>
      </c>
    </row>
    <row r="43" spans="2:5" ht="35.1" customHeight="1" thickBot="1" x14ac:dyDescent="0.35">
      <c r="B43" s="26" t="str">
        <f t="shared" si="2"/>
        <v>O</v>
      </c>
      <c r="C43" s="2" t="s">
        <v>195</v>
      </c>
      <c r="D43" s="2" t="s">
        <v>1192</v>
      </c>
      <c r="E43" s="2" t="s">
        <v>196</v>
      </c>
    </row>
    <row r="44" spans="2:5" ht="35.1" customHeight="1" thickBot="1" x14ac:dyDescent="0.35">
      <c r="B44" s="26" t="str">
        <f t="shared" si="2"/>
        <v>O</v>
      </c>
      <c r="C44" s="2" t="s">
        <v>197</v>
      </c>
      <c r="D44" s="2" t="s">
        <v>1193</v>
      </c>
      <c r="E44" s="2" t="s">
        <v>198</v>
      </c>
    </row>
    <row r="45" spans="2:5" ht="35.1" customHeight="1" thickBot="1" x14ac:dyDescent="0.35">
      <c r="B45" s="26" t="str">
        <f t="shared" si="2"/>
        <v>O</v>
      </c>
      <c r="C45" s="2" t="s">
        <v>199</v>
      </c>
      <c r="D45" s="2" t="s">
        <v>1194</v>
      </c>
      <c r="E45" s="2" t="s">
        <v>200</v>
      </c>
    </row>
    <row r="46" spans="2:5" ht="35.1" customHeight="1" thickBot="1" x14ac:dyDescent="0.35">
      <c r="B46" s="26" t="str">
        <f t="shared" si="2"/>
        <v>O</v>
      </c>
      <c r="C46" s="2" t="s">
        <v>201</v>
      </c>
      <c r="D46" s="2" t="s">
        <v>1195</v>
      </c>
      <c r="E46" s="2" t="s">
        <v>202</v>
      </c>
    </row>
    <row r="47" spans="2:5" ht="35.1" customHeight="1" thickBot="1" x14ac:dyDescent="0.35">
      <c r="B47" s="26" t="str">
        <f t="shared" si="2"/>
        <v>O</v>
      </c>
      <c r="C47" s="2" t="s">
        <v>203</v>
      </c>
      <c r="D47" s="2" t="s">
        <v>1196</v>
      </c>
      <c r="E47" s="2" t="s">
        <v>204</v>
      </c>
    </row>
    <row r="48" spans="2:5" ht="35.1" customHeight="1" thickBot="1" x14ac:dyDescent="0.35">
      <c r="B48" s="26" t="str">
        <f t="shared" si="2"/>
        <v>O</v>
      </c>
      <c r="C48" s="2" t="s">
        <v>205</v>
      </c>
      <c r="D48" s="2" t="s">
        <v>1197</v>
      </c>
      <c r="E48" s="2" t="s">
        <v>206</v>
      </c>
    </row>
    <row r="49" spans="1:5" ht="35.1" customHeight="1" thickBot="1" x14ac:dyDescent="0.35">
      <c r="B49" s="26" t="str">
        <f>IF(OR(ISNUMBER(SEARCH("지속성",SUBSTITUTE(D49," ",""))),ISNUMBER(SEARCH("영속성",SUBSTITUTE(D49," ","")))),"O","X")</f>
        <v>O</v>
      </c>
      <c r="C49" s="2" t="s">
        <v>207</v>
      </c>
      <c r="D49" s="2" t="s">
        <v>1233</v>
      </c>
      <c r="E49" s="2" t="s">
        <v>208</v>
      </c>
    </row>
    <row r="50" spans="1:5" ht="35.1" customHeight="1" thickBot="1" x14ac:dyDescent="0.35">
      <c r="B50" s="26" t="str">
        <f t="shared" ref="B50:B55" si="3">IF(EXACT(SUBSTITUTE(C50," ",""),SUBSTITUTE(D50," ","")),"O","X")</f>
        <v>O</v>
      </c>
      <c r="C50" s="2" t="s">
        <v>209</v>
      </c>
      <c r="D50" s="2" t="s">
        <v>1235</v>
      </c>
      <c r="E50" s="2" t="s">
        <v>210</v>
      </c>
    </row>
    <row r="51" spans="1:5" ht="35.1" customHeight="1" thickBot="1" x14ac:dyDescent="0.35">
      <c r="B51" s="26" t="str">
        <f t="shared" si="3"/>
        <v>O</v>
      </c>
      <c r="C51" s="2" t="s">
        <v>211</v>
      </c>
      <c r="D51" s="2" t="s">
        <v>1234</v>
      </c>
      <c r="E51" s="2" t="s">
        <v>212</v>
      </c>
    </row>
    <row r="52" spans="1:5" ht="60.75" thickBot="1" x14ac:dyDescent="0.35">
      <c r="B52" s="26" t="str">
        <f t="shared" si="3"/>
        <v>O</v>
      </c>
      <c r="C52" s="2" t="s">
        <v>213</v>
      </c>
      <c r="D52" s="2" t="s">
        <v>1198</v>
      </c>
      <c r="E52" s="2" t="s">
        <v>214</v>
      </c>
    </row>
    <row r="53" spans="1:5" ht="35.1" customHeight="1" thickBot="1" x14ac:dyDescent="0.35">
      <c r="B53" s="26" t="str">
        <f t="shared" si="3"/>
        <v>O</v>
      </c>
      <c r="C53" s="2" t="s">
        <v>215</v>
      </c>
      <c r="D53" s="2" t="s">
        <v>1199</v>
      </c>
      <c r="E53" s="2" t="s">
        <v>216</v>
      </c>
    </row>
    <row r="54" spans="1:5" ht="35.1" customHeight="1" thickBot="1" x14ac:dyDescent="0.35">
      <c r="B54" s="26" t="str">
        <f t="shared" si="3"/>
        <v>O</v>
      </c>
      <c r="C54" s="2" t="s">
        <v>217</v>
      </c>
      <c r="D54" s="2" t="s">
        <v>1236</v>
      </c>
      <c r="E54" s="2" t="s">
        <v>218</v>
      </c>
    </row>
    <row r="55" spans="1:5" ht="35.1" customHeight="1" thickBot="1" x14ac:dyDescent="0.35">
      <c r="A55" s="52"/>
      <c r="B55" s="26" t="str">
        <f t="shared" si="3"/>
        <v>X</v>
      </c>
      <c r="C55" s="2" t="s">
        <v>219</v>
      </c>
      <c r="D55" s="2"/>
      <c r="E55" s="2" t="s">
        <v>220</v>
      </c>
    </row>
    <row r="56" spans="1:5" ht="35.1" customHeight="1" thickBot="1" x14ac:dyDescent="0.35">
      <c r="B56" s="26" t="str">
        <f>IF(OR(ISNUMBER(SEARCH("임의접근통제",SUBSTITUTE(D56," ",""))),ISNUMBER(SEARCH("DAC",SUBSTITUTE(D56," ","")))),"O","X")</f>
        <v>O</v>
      </c>
      <c r="C56" s="2" t="s">
        <v>221</v>
      </c>
      <c r="D56" s="2" t="s">
        <v>1201</v>
      </c>
      <c r="E56" s="2" t="s">
        <v>222</v>
      </c>
    </row>
    <row r="57" spans="1:5" ht="35.1" customHeight="1" thickBot="1" x14ac:dyDescent="0.35">
      <c r="B57" s="26" t="str">
        <f>IF(OR(ISNUMBER(SEARCH("강제접근통제",SUBSTITUTE(D57," ",""))),ISNUMBER(SEARCH("MAC",SUBSTITUTE(D57," ","")))),"O","X")</f>
        <v>O</v>
      </c>
      <c r="C57" s="2" t="s">
        <v>223</v>
      </c>
      <c r="D57" s="2" t="s">
        <v>1200</v>
      </c>
      <c r="E57" s="2" t="s">
        <v>224</v>
      </c>
    </row>
    <row r="58" spans="1:5" ht="35.1" customHeight="1" thickBot="1" x14ac:dyDescent="0.35">
      <c r="B58" s="26" t="str">
        <f>IF(OR(ISNUMBER(SEARCH("역할기반접근통제",SUBSTITUTE(D58," ",""))),ISNUMBER(SEARCH("RBAC",SUBSTITUTE(D58," ","")))),"O","X")</f>
        <v>O</v>
      </c>
      <c r="C58" s="30" t="s">
        <v>225</v>
      </c>
      <c r="D58" s="30" t="s">
        <v>1202</v>
      </c>
      <c r="E58" s="2" t="s">
        <v>226</v>
      </c>
    </row>
    <row r="59" spans="1:5" ht="35.1" customHeight="1" thickBot="1" x14ac:dyDescent="0.35">
      <c r="A59" s="52"/>
      <c r="B59" s="26" t="str">
        <f t="shared" ref="B59:B83" si="4">IF(EXACT(SUBSTITUTE(C59," ",""),SUBSTITUTE(D59," ","")),"O","X")</f>
        <v>X</v>
      </c>
      <c r="C59" s="2" t="s">
        <v>227</v>
      </c>
      <c r="D59" s="2"/>
      <c r="E59" s="2" t="s">
        <v>228</v>
      </c>
    </row>
    <row r="60" spans="1:5" ht="35.1" customHeight="1" thickBot="1" x14ac:dyDescent="0.35">
      <c r="A60" s="52"/>
      <c r="B60" s="26" t="str">
        <f t="shared" si="4"/>
        <v>X</v>
      </c>
      <c r="C60" s="2" t="s">
        <v>229</v>
      </c>
      <c r="D60" s="2"/>
      <c r="E60" s="2" t="s">
        <v>230</v>
      </c>
    </row>
    <row r="61" spans="1:5" ht="35.1" customHeight="1" thickBot="1" x14ac:dyDescent="0.35">
      <c r="A61" s="52"/>
      <c r="B61" s="26" t="str">
        <f t="shared" si="4"/>
        <v>X</v>
      </c>
      <c r="C61" s="2" t="s">
        <v>231</v>
      </c>
      <c r="D61" s="2"/>
      <c r="E61" s="2" t="s">
        <v>232</v>
      </c>
    </row>
    <row r="62" spans="1:5" ht="35.1" customHeight="1" thickBot="1" x14ac:dyDescent="0.35">
      <c r="B62" s="26" t="str">
        <f t="shared" si="4"/>
        <v>O</v>
      </c>
      <c r="C62" s="2" t="s">
        <v>233</v>
      </c>
      <c r="D62" s="2" t="s">
        <v>1237</v>
      </c>
      <c r="E62" s="2" t="s">
        <v>234</v>
      </c>
    </row>
    <row r="63" spans="1:5" ht="35.1" customHeight="1" thickBot="1" x14ac:dyDescent="0.35">
      <c r="B63" s="26" t="str">
        <f t="shared" si="4"/>
        <v>O</v>
      </c>
      <c r="C63" s="2" t="s">
        <v>235</v>
      </c>
      <c r="D63" s="2" t="s">
        <v>1203</v>
      </c>
      <c r="E63" s="2" t="s">
        <v>236</v>
      </c>
    </row>
    <row r="64" spans="1:5" ht="35.1" customHeight="1" thickBot="1" x14ac:dyDescent="0.35">
      <c r="B64" s="26" t="str">
        <f t="shared" si="4"/>
        <v>O</v>
      </c>
      <c r="C64" s="30" t="s">
        <v>1226</v>
      </c>
      <c r="D64" s="49" t="s">
        <v>1226</v>
      </c>
      <c r="E64" s="2" t="s">
        <v>237</v>
      </c>
    </row>
    <row r="65" spans="2:5" ht="35.1" customHeight="1" thickBot="1" x14ac:dyDescent="0.35">
      <c r="B65" s="26" t="str">
        <f t="shared" si="4"/>
        <v>O</v>
      </c>
      <c r="C65" s="2" t="s">
        <v>238</v>
      </c>
      <c r="D65" s="2" t="s">
        <v>1238</v>
      </c>
      <c r="E65" s="2" t="s">
        <v>239</v>
      </c>
    </row>
    <row r="66" spans="2:5" ht="35.1" customHeight="1" thickBot="1" x14ac:dyDescent="0.35">
      <c r="B66" s="26" t="str">
        <f t="shared" si="4"/>
        <v>O</v>
      </c>
      <c r="C66" s="2" t="s">
        <v>240</v>
      </c>
      <c r="D66" s="2" t="s">
        <v>1239</v>
      </c>
      <c r="E66" s="2" t="s">
        <v>241</v>
      </c>
    </row>
    <row r="67" spans="2:5" ht="35.1" customHeight="1" thickBot="1" x14ac:dyDescent="0.35">
      <c r="B67" s="26" t="str">
        <f t="shared" si="4"/>
        <v>O</v>
      </c>
      <c r="C67" s="2" t="s">
        <v>242</v>
      </c>
      <c r="D67" s="2" t="s">
        <v>1240</v>
      </c>
      <c r="E67" s="2" t="s">
        <v>243</v>
      </c>
    </row>
    <row r="68" spans="2:5" ht="35.1" customHeight="1" thickBot="1" x14ac:dyDescent="0.35">
      <c r="B68" s="26" t="str">
        <f t="shared" si="4"/>
        <v>O</v>
      </c>
      <c r="C68" s="2" t="s">
        <v>244</v>
      </c>
      <c r="D68" s="2" t="s">
        <v>1241</v>
      </c>
      <c r="E68" s="2" t="s">
        <v>1242</v>
      </c>
    </row>
    <row r="69" spans="2:5" ht="35.1" customHeight="1" thickBot="1" x14ac:dyDescent="0.35">
      <c r="B69" s="26" t="str">
        <f t="shared" si="4"/>
        <v>O</v>
      </c>
      <c r="C69" s="2" t="s">
        <v>245</v>
      </c>
      <c r="D69" s="2" t="s">
        <v>1243</v>
      </c>
      <c r="E69" s="2" t="s">
        <v>246</v>
      </c>
    </row>
    <row r="70" spans="2:5" ht="35.1" customHeight="1" thickBot="1" x14ac:dyDescent="0.35">
      <c r="B70" s="26" t="str">
        <f t="shared" si="4"/>
        <v>O</v>
      </c>
      <c r="C70" s="2" t="s">
        <v>247</v>
      </c>
      <c r="D70" s="2" t="s">
        <v>1244</v>
      </c>
      <c r="E70" s="2" t="s">
        <v>248</v>
      </c>
    </row>
    <row r="71" spans="2:5" ht="35.1" customHeight="1" thickBot="1" x14ac:dyDescent="0.35">
      <c r="B71" s="26" t="str">
        <f t="shared" si="4"/>
        <v>O</v>
      </c>
      <c r="C71" s="28" t="s">
        <v>249</v>
      </c>
      <c r="D71" s="28" t="s">
        <v>1245</v>
      </c>
      <c r="E71" s="28" t="s">
        <v>250</v>
      </c>
    </row>
    <row r="72" spans="2:5" ht="35.1" customHeight="1" thickBot="1" x14ac:dyDescent="0.35">
      <c r="B72" s="26" t="str">
        <f t="shared" si="4"/>
        <v>O</v>
      </c>
      <c r="C72" s="2" t="s">
        <v>251</v>
      </c>
      <c r="D72" s="2" t="s">
        <v>1246</v>
      </c>
      <c r="E72" s="2" t="s">
        <v>252</v>
      </c>
    </row>
    <row r="73" spans="2:5" ht="35.1" customHeight="1" thickBot="1" x14ac:dyDescent="0.35">
      <c r="B73" s="26" t="str">
        <f t="shared" si="4"/>
        <v>O</v>
      </c>
      <c r="C73" s="2" t="s">
        <v>253</v>
      </c>
      <c r="D73" s="2" t="s">
        <v>1204</v>
      </c>
      <c r="E73" s="2" t="s">
        <v>254</v>
      </c>
    </row>
    <row r="74" spans="2:5" ht="35.1" customHeight="1" thickBot="1" x14ac:dyDescent="0.35">
      <c r="B74" s="26" t="str">
        <f t="shared" si="4"/>
        <v>O</v>
      </c>
      <c r="C74" s="2" t="s">
        <v>255</v>
      </c>
      <c r="D74" s="2" t="s">
        <v>1205</v>
      </c>
      <c r="E74" s="2" t="s">
        <v>256</v>
      </c>
    </row>
    <row r="75" spans="2:5" ht="35.1" customHeight="1" thickBot="1" x14ac:dyDescent="0.35">
      <c r="B75" s="26" t="str">
        <f t="shared" si="4"/>
        <v>O</v>
      </c>
      <c r="C75" s="2" t="s">
        <v>257</v>
      </c>
      <c r="D75" s="2" t="s">
        <v>1206</v>
      </c>
      <c r="E75" s="2" t="s">
        <v>258</v>
      </c>
    </row>
    <row r="76" spans="2:5" ht="35.1" customHeight="1" thickBot="1" x14ac:dyDescent="0.35">
      <c r="B76" s="26" t="str">
        <f t="shared" si="4"/>
        <v>O</v>
      </c>
      <c r="C76" s="2" t="s">
        <v>259</v>
      </c>
      <c r="D76" s="2" t="s">
        <v>1207</v>
      </c>
      <c r="E76" s="2" t="s">
        <v>260</v>
      </c>
    </row>
    <row r="77" spans="2:5" ht="35.1" customHeight="1" thickBot="1" x14ac:dyDescent="0.35">
      <c r="B77" s="26" t="str">
        <f t="shared" si="4"/>
        <v>O</v>
      </c>
      <c r="C77" s="2" t="s">
        <v>261</v>
      </c>
      <c r="D77" s="2" t="s">
        <v>1208</v>
      </c>
      <c r="E77" s="2" t="s">
        <v>262</v>
      </c>
    </row>
    <row r="78" spans="2:5" ht="35.1" customHeight="1" thickBot="1" x14ac:dyDescent="0.35">
      <c r="B78" s="26" t="str">
        <f t="shared" si="4"/>
        <v>O</v>
      </c>
      <c r="C78" s="2" t="s">
        <v>263</v>
      </c>
      <c r="D78" s="2" t="s">
        <v>1209</v>
      </c>
      <c r="E78" s="2" t="s">
        <v>264</v>
      </c>
    </row>
    <row r="79" spans="2:5" ht="35.1" customHeight="1" thickBot="1" x14ac:dyDescent="0.35">
      <c r="B79" s="26" t="str">
        <f t="shared" si="4"/>
        <v>O</v>
      </c>
      <c r="C79" s="2" t="s">
        <v>265</v>
      </c>
      <c r="D79" s="2" t="s">
        <v>1210</v>
      </c>
      <c r="E79" s="2" t="s">
        <v>266</v>
      </c>
    </row>
    <row r="80" spans="2:5" ht="35.1" customHeight="1" thickBot="1" x14ac:dyDescent="0.35">
      <c r="B80" s="26" t="str">
        <f t="shared" si="4"/>
        <v>O</v>
      </c>
      <c r="C80" s="2" t="s">
        <v>267</v>
      </c>
      <c r="D80" s="2" t="s">
        <v>1211</v>
      </c>
      <c r="E80" s="2" t="s">
        <v>268</v>
      </c>
    </row>
    <row r="81" spans="1:5" ht="35.1" customHeight="1" thickBot="1" x14ac:dyDescent="0.35">
      <c r="B81" s="26" t="str">
        <f t="shared" si="4"/>
        <v>O</v>
      </c>
      <c r="C81" s="2" t="s">
        <v>269</v>
      </c>
      <c r="D81" s="2" t="s">
        <v>1212</v>
      </c>
      <c r="E81" s="2" t="s">
        <v>270</v>
      </c>
    </row>
    <row r="82" spans="1:5" ht="35.1" customHeight="1" thickBot="1" x14ac:dyDescent="0.35">
      <c r="B82" s="26" t="str">
        <f t="shared" si="4"/>
        <v>O</v>
      </c>
      <c r="C82" s="2" t="s">
        <v>271</v>
      </c>
      <c r="D82" s="2" t="s">
        <v>1213</v>
      </c>
      <c r="E82" s="2" t="s">
        <v>272</v>
      </c>
    </row>
    <row r="83" spans="1:5" ht="35.1" customHeight="1" thickBot="1" x14ac:dyDescent="0.35">
      <c r="A83" s="52"/>
      <c r="B83" s="26" t="str">
        <f t="shared" si="4"/>
        <v>X</v>
      </c>
      <c r="C83" s="30" t="s">
        <v>1217</v>
      </c>
      <c r="D83" s="2"/>
      <c r="E83" s="2" t="s">
        <v>273</v>
      </c>
    </row>
    <row r="84" spans="1:5" x14ac:dyDescent="0.3">
      <c r="B84" s="20"/>
    </row>
    <row r="85" spans="1:5" x14ac:dyDescent="0.3">
      <c r="B85" s="20"/>
    </row>
  </sheetData>
  <autoFilter ref="B1:B83" xr:uid="{36CEA73A-223C-4259-B23D-79476E2ABECD}"/>
  <phoneticPr fontId="3" type="noConversion"/>
  <conditionalFormatting sqref="B18 B1:B16 B24:B38 B20:B22 B40:B48 B50:B1048576">
    <cfRule type="containsText" dxfId="164" priority="6" operator="containsText" text="X">
      <formula>NOT(ISERROR(SEARCH("X",B1)))</formula>
    </cfRule>
  </conditionalFormatting>
  <conditionalFormatting sqref="B17">
    <cfRule type="containsText" dxfId="163" priority="5" operator="containsText" text="X">
      <formula>NOT(ISERROR(SEARCH("X",B17)))</formula>
    </cfRule>
  </conditionalFormatting>
  <conditionalFormatting sqref="B23">
    <cfRule type="containsText" dxfId="162" priority="4" operator="containsText" text="X">
      <formula>NOT(ISERROR(SEARCH("X",B23)))</formula>
    </cfRule>
  </conditionalFormatting>
  <conditionalFormatting sqref="B19">
    <cfRule type="containsText" dxfId="161" priority="3" operator="containsText" text="X">
      <formula>NOT(ISERROR(SEARCH("X",B19)))</formula>
    </cfRule>
  </conditionalFormatting>
  <conditionalFormatting sqref="B39">
    <cfRule type="containsText" dxfId="160" priority="2" operator="containsText" text="X">
      <formula>NOT(ISERROR(SEARCH("X",B39)))</formula>
    </cfRule>
  </conditionalFormatting>
  <conditionalFormatting sqref="B49">
    <cfRule type="containsText" dxfId="159" priority="1" operator="containsText" text="X">
      <formula>NOT(ISERROR(SEARCH("X",B49)))</formula>
    </cfRule>
  </conditionalFormatting>
  <pageMargins left="0.7" right="0.7" top="0.75" bottom="0.75" header="0.3" footer="0.3"/>
  <pageSetup paperSize="9" orientation="portrait" r:id="rId1"/>
  <ignoredErrors>
    <ignoredError sqref="B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B4648-5035-46C1-9B89-D23381E436DA}">
  <dimension ref="B1:E57"/>
  <sheetViews>
    <sheetView topLeftCell="A43" zoomScale="85" zoomScaleNormal="85" workbookViewId="0">
      <selection activeCell="B58" sqref="B58"/>
    </sheetView>
  </sheetViews>
  <sheetFormatPr defaultRowHeight="29.25" x14ac:dyDescent="0.3"/>
  <cols>
    <col min="1" max="1" width="9" style="1"/>
    <col min="2" max="2" width="9" style="1" customWidth="1"/>
    <col min="3" max="3" width="56.875" style="1" hidden="1" customWidth="1"/>
    <col min="4" max="4" width="56.875" style="1" customWidth="1"/>
    <col min="5" max="5" width="197.625" style="1" customWidth="1"/>
    <col min="6" max="16384" width="9" style="1"/>
  </cols>
  <sheetData>
    <row r="1" spans="2:5" ht="35.1" customHeight="1" thickBot="1" x14ac:dyDescent="0.35">
      <c r="B1" s="48" t="s">
        <v>1167</v>
      </c>
    </row>
    <row r="2" spans="2:5" ht="35.1" customHeight="1" thickBot="1" x14ac:dyDescent="0.35">
      <c r="B2" s="26" t="str">
        <f>IF(EXACT(LOWER(SUBSTITUTE(C2," ","")),LOWER(SUBSTITUTE(D2," ",""))),"O","X")</f>
        <v>O</v>
      </c>
      <c r="C2" s="2" t="s">
        <v>474</v>
      </c>
      <c r="D2" s="2" t="s">
        <v>1248</v>
      </c>
      <c r="E2" s="2" t="s">
        <v>475</v>
      </c>
    </row>
    <row r="3" spans="2:5" ht="35.1" customHeight="1" thickBot="1" x14ac:dyDescent="0.35">
      <c r="B3" s="26" t="str">
        <f t="shared" ref="B3:B28" si="0">IF(EXACT(LOWER(SUBSTITUTE(C3," ","")),LOWER(SUBSTITUTE(D3," ",""))),"O","X")</f>
        <v>O</v>
      </c>
      <c r="C3" s="2" t="s">
        <v>476</v>
      </c>
      <c r="D3" s="2" t="s">
        <v>1284</v>
      </c>
      <c r="E3" s="2" t="s">
        <v>477</v>
      </c>
    </row>
    <row r="4" spans="2:5" ht="35.1" customHeight="1" thickBot="1" x14ac:dyDescent="0.35">
      <c r="B4" s="26" t="str">
        <f t="shared" si="0"/>
        <v>O</v>
      </c>
      <c r="C4" s="30" t="s">
        <v>478</v>
      </c>
      <c r="D4" s="30" t="s">
        <v>1287</v>
      </c>
      <c r="E4" s="2" t="s">
        <v>479</v>
      </c>
    </row>
    <row r="5" spans="2:5" ht="35.1" customHeight="1" thickBot="1" x14ac:dyDescent="0.35">
      <c r="B5" s="26" t="str">
        <f t="shared" si="0"/>
        <v>O</v>
      </c>
      <c r="C5" s="2" t="s">
        <v>480</v>
      </c>
      <c r="D5" s="2" t="s">
        <v>1279</v>
      </c>
      <c r="E5" s="2" t="s">
        <v>481</v>
      </c>
    </row>
    <row r="6" spans="2:5" ht="35.1" customHeight="1" thickBot="1" x14ac:dyDescent="0.35">
      <c r="B6" s="26" t="str">
        <f t="shared" si="0"/>
        <v>O</v>
      </c>
      <c r="C6" s="2" t="s">
        <v>482</v>
      </c>
      <c r="D6" s="2" t="s">
        <v>1250</v>
      </c>
      <c r="E6" s="2" t="s">
        <v>483</v>
      </c>
    </row>
    <row r="7" spans="2:5" ht="35.1" customHeight="1" thickBot="1" x14ac:dyDescent="0.35">
      <c r="B7" s="26" t="str">
        <f t="shared" si="0"/>
        <v>O</v>
      </c>
      <c r="C7" s="2" t="s">
        <v>484</v>
      </c>
      <c r="D7" s="2" t="s">
        <v>1251</v>
      </c>
      <c r="E7" s="2" t="s">
        <v>485</v>
      </c>
    </row>
    <row r="8" spans="2:5" ht="35.1" customHeight="1" thickBot="1" x14ac:dyDescent="0.35">
      <c r="B8" s="26" t="str">
        <f t="shared" si="0"/>
        <v>O</v>
      </c>
      <c r="C8" s="2" t="s">
        <v>486</v>
      </c>
      <c r="D8" s="2" t="s">
        <v>1249</v>
      </c>
      <c r="E8" s="2" t="s">
        <v>487</v>
      </c>
    </row>
    <row r="9" spans="2:5" ht="35.1" customHeight="1" thickBot="1" x14ac:dyDescent="0.35">
      <c r="B9" s="26" t="str">
        <f t="shared" si="0"/>
        <v>O</v>
      </c>
      <c r="C9" s="2" t="s">
        <v>488</v>
      </c>
      <c r="D9" s="2" t="s">
        <v>1252</v>
      </c>
      <c r="E9" s="2" t="s">
        <v>489</v>
      </c>
    </row>
    <row r="10" spans="2:5" ht="35.1" customHeight="1" thickBot="1" x14ac:dyDescent="0.35">
      <c r="B10" s="26" t="str">
        <f t="shared" si="0"/>
        <v>O</v>
      </c>
      <c r="C10" s="2" t="s">
        <v>490</v>
      </c>
      <c r="D10" s="2" t="s">
        <v>1253</v>
      </c>
      <c r="E10" s="2" t="s">
        <v>491</v>
      </c>
    </row>
    <row r="11" spans="2:5" ht="35.1" customHeight="1" thickBot="1" x14ac:dyDescent="0.35">
      <c r="B11" s="26" t="str">
        <f t="shared" si="0"/>
        <v>O</v>
      </c>
      <c r="C11" s="2" t="s">
        <v>492</v>
      </c>
      <c r="D11" s="2" t="s">
        <v>1254</v>
      </c>
      <c r="E11" s="2" t="s">
        <v>493</v>
      </c>
    </row>
    <row r="12" spans="2:5" ht="35.1" customHeight="1" thickBot="1" x14ac:dyDescent="0.35">
      <c r="B12" s="26" t="str">
        <f t="shared" si="0"/>
        <v>O</v>
      </c>
      <c r="C12" s="2" t="s">
        <v>494</v>
      </c>
      <c r="D12" s="2" t="s">
        <v>1255</v>
      </c>
      <c r="E12" s="2" t="s">
        <v>495</v>
      </c>
    </row>
    <row r="13" spans="2:5" ht="35.1" customHeight="1" thickBot="1" x14ac:dyDescent="0.35">
      <c r="B13" s="26" t="str">
        <f t="shared" si="0"/>
        <v>O</v>
      </c>
      <c r="C13" s="2" t="s">
        <v>496</v>
      </c>
      <c r="D13" s="2" t="s">
        <v>1280</v>
      </c>
      <c r="E13" s="2" t="s">
        <v>497</v>
      </c>
    </row>
    <row r="14" spans="2:5" ht="35.1" customHeight="1" thickBot="1" x14ac:dyDescent="0.35">
      <c r="B14" s="26" t="str">
        <f t="shared" si="0"/>
        <v>O</v>
      </c>
      <c r="C14" s="2" t="s">
        <v>498</v>
      </c>
      <c r="D14" s="2" t="s">
        <v>1288</v>
      </c>
      <c r="E14" s="2" t="s">
        <v>499</v>
      </c>
    </row>
    <row r="15" spans="2:5" ht="35.1" customHeight="1" thickBot="1" x14ac:dyDescent="0.35">
      <c r="B15" s="26" t="str">
        <f t="shared" si="0"/>
        <v>O</v>
      </c>
      <c r="C15" s="2" t="s">
        <v>500</v>
      </c>
      <c r="D15" s="2" t="s">
        <v>1256</v>
      </c>
      <c r="E15" s="2" t="s">
        <v>501</v>
      </c>
    </row>
    <row r="16" spans="2:5" ht="35.1" customHeight="1" thickBot="1" x14ac:dyDescent="0.35">
      <c r="B16" s="26" t="str">
        <f>IF(AND(ISNUMBER(SEARCH("SEED",SUBSTITUTE(D16," ",""))),ISNUMBER(SEARCH("ARIA",SUBSTITUTE(D16," ",""))),ISNUMBER(SEARCH("AES",SUBSTITUTE(D16," ",""))),ISNUMBER(SEARCH("RSA",SUBSTITUTE(D16," ",""))),ISNUMBER(SEARCH("DES",SUBSTITUTE(D16," ","")))),"O","X")</f>
        <v>O</v>
      </c>
      <c r="C16" s="2" t="s">
        <v>502</v>
      </c>
      <c r="D16" s="2" t="s">
        <v>1289</v>
      </c>
      <c r="E16" s="2" t="s">
        <v>503</v>
      </c>
    </row>
    <row r="17" spans="2:5" ht="35.1" customHeight="1" thickBot="1" x14ac:dyDescent="0.35">
      <c r="B17" s="26" t="str">
        <f>IF(OR(ISNUMBER(SEARCH(LOWER("해시"),SUBSTITUTE(LOWER(D17)," ",""))),ISNUMBER(SEARCH(LOWER("HASH"),SUBSTITUTE(LOWER(D17)," ","")))),"O","X")</f>
        <v>O</v>
      </c>
      <c r="C17" s="2" t="s">
        <v>504</v>
      </c>
      <c r="D17" s="2" t="s">
        <v>1257</v>
      </c>
      <c r="E17" s="2" t="s">
        <v>505</v>
      </c>
    </row>
    <row r="18" spans="2:5" ht="35.1" customHeight="1" thickBot="1" x14ac:dyDescent="0.35">
      <c r="B18" s="26" t="str">
        <f>IF(AND(ISNUMBER(SEARCH("SNEFRU",SUBSTITUTE(D18," ",""))),ISNUMBER(SEARCH("N-NASH",SUBSTITUTE(D18," ",""))),ISNUMBER(SEARCH("MD5",SUBSTITUTE(D18," ",""))),ISNUMBER(SEARCH("SHA",SUBSTITUTE(D18," ","")))),"O","X")</f>
        <v>O</v>
      </c>
      <c r="C18" s="2" t="s">
        <v>1281</v>
      </c>
      <c r="D18" s="2" t="s">
        <v>1290</v>
      </c>
      <c r="E18" s="2" t="s">
        <v>506</v>
      </c>
    </row>
    <row r="19" spans="2:5" ht="35.1" customHeight="1" thickBot="1" x14ac:dyDescent="0.35">
      <c r="B19" s="26" t="str">
        <f>IF(OR(ISNUMBER(SEARCH(LOWER("DOS"),SUBSTITUTE(LOWER(D19)," ",""))),ISNUMBER(SEARCH(LOWER("서비스거부"),SUBSTITUTE(LOWER(D19)," ","")))),"O","X")</f>
        <v>O</v>
      </c>
      <c r="C19" s="2" t="s">
        <v>507</v>
      </c>
      <c r="D19" s="2" t="s">
        <v>1291</v>
      </c>
      <c r="E19" s="2" t="s">
        <v>508</v>
      </c>
    </row>
    <row r="20" spans="2:5" ht="35.1" customHeight="1" thickBot="1" x14ac:dyDescent="0.35">
      <c r="B20" s="26" t="str">
        <f>IF(ISNUMBER(SEARCH("죽음의핑",SUBSTITUTE(D20," ",""))),"O","X")</f>
        <v>O</v>
      </c>
      <c r="C20" s="2" t="s">
        <v>509</v>
      </c>
      <c r="D20" s="2" t="s">
        <v>1258</v>
      </c>
      <c r="E20" s="2" t="s">
        <v>510</v>
      </c>
    </row>
    <row r="21" spans="2:5" ht="35.1" customHeight="1" thickBot="1" x14ac:dyDescent="0.35">
      <c r="B21" s="26" t="str">
        <f>IF(OR(ISNUMBER(SEARCH(LOWER("스머핑"),SUBSTITUTE(LOWER(D21)," ",""))),ISNUMBER(SEARCH(LOWER("SMURFING"),SUBSTITUTE(LOWER(D21)," ","")))),"O","X")</f>
        <v>O</v>
      </c>
      <c r="C21" s="2" t="s">
        <v>1285</v>
      </c>
      <c r="D21" s="2" t="s">
        <v>1292</v>
      </c>
      <c r="E21" s="2" t="s">
        <v>1259</v>
      </c>
    </row>
    <row r="22" spans="2:5" ht="35.1" customHeight="1" thickBot="1" x14ac:dyDescent="0.35">
      <c r="B22" s="26" t="str">
        <f>IF(ISNUMBER(SEARCH(LOWER("SYNFLOODING"),SUBSTITUTE(LOWER(D22)," ",""))),"O","X")</f>
        <v>O</v>
      </c>
      <c r="C22" s="2" t="s">
        <v>1278</v>
      </c>
      <c r="D22" s="3" t="s">
        <v>1293</v>
      </c>
      <c r="E22" s="32" t="s">
        <v>511</v>
      </c>
    </row>
    <row r="23" spans="2:5" ht="35.1" customHeight="1" thickBot="1" x14ac:dyDescent="0.35">
      <c r="B23" s="26" t="str">
        <f t="shared" si="0"/>
        <v>O</v>
      </c>
      <c r="C23" s="2" t="s">
        <v>512</v>
      </c>
      <c r="D23" s="2" t="s">
        <v>1294</v>
      </c>
      <c r="E23" s="2" t="s">
        <v>513</v>
      </c>
    </row>
    <row r="24" spans="2:5" ht="35.1" customHeight="1" thickBot="1" x14ac:dyDescent="0.35">
      <c r="B24" s="26" t="str">
        <f t="shared" si="0"/>
        <v>O</v>
      </c>
      <c r="C24" s="2" t="s">
        <v>514</v>
      </c>
      <c r="D24" s="2" t="s">
        <v>1295</v>
      </c>
      <c r="E24" s="2" t="s">
        <v>515</v>
      </c>
    </row>
    <row r="25" spans="2:5" ht="35.1" customHeight="1" thickBot="1" x14ac:dyDescent="0.35">
      <c r="B25" s="26" t="str">
        <f>IF(OR(ISNUMBER(SEARCH(LOWER("분산서비스거부"),SUBSTITUTE(LOWER(D25)," ",""))),ISNUMBER(SEARCH(LOWER("DDos"),SUBSTITUTE(LOWER(D25)," ","")))),"O","X")</f>
        <v>O</v>
      </c>
      <c r="C25" s="2" t="s">
        <v>516</v>
      </c>
      <c r="D25" s="2" t="s">
        <v>1296</v>
      </c>
      <c r="E25" s="2" t="s">
        <v>517</v>
      </c>
    </row>
    <row r="26" spans="2:5" ht="35.1" customHeight="1" thickBot="1" x14ac:dyDescent="0.35">
      <c r="B26" s="26" t="str">
        <f t="shared" si="0"/>
        <v>O</v>
      </c>
      <c r="C26" s="2" t="s">
        <v>518</v>
      </c>
      <c r="D26" s="2" t="s">
        <v>1297</v>
      </c>
      <c r="E26" s="2" t="s">
        <v>519</v>
      </c>
    </row>
    <row r="27" spans="2:5" ht="35.1" customHeight="1" thickBot="1" x14ac:dyDescent="0.35">
      <c r="B27" s="26" t="str">
        <f t="shared" si="0"/>
        <v>O</v>
      </c>
      <c r="C27" s="2" t="s">
        <v>520</v>
      </c>
      <c r="D27" s="2" t="s">
        <v>1298</v>
      </c>
      <c r="E27" s="2" t="s">
        <v>521</v>
      </c>
    </row>
    <row r="28" spans="2:5" ht="35.1" customHeight="1" thickBot="1" x14ac:dyDescent="0.35">
      <c r="B28" s="26" t="str">
        <f t="shared" si="0"/>
        <v>O</v>
      </c>
      <c r="C28" s="2" t="s">
        <v>522</v>
      </c>
      <c r="D28" s="2" t="s">
        <v>1299</v>
      </c>
      <c r="E28" s="2" t="s">
        <v>523</v>
      </c>
    </row>
    <row r="29" spans="2:5" ht="35.1" customHeight="1" thickBot="1" x14ac:dyDescent="0.35">
      <c r="B29" s="26" t="str">
        <f>IF(ISNUMBER(SEARCH("TFN",SUBSTITUTE(D29," ",""))),"O","X")</f>
        <v>O</v>
      </c>
      <c r="C29" s="2" t="s">
        <v>1282</v>
      </c>
      <c r="D29" s="2" t="s">
        <v>1300</v>
      </c>
      <c r="E29" s="2" t="s">
        <v>524</v>
      </c>
    </row>
    <row r="30" spans="2:5" ht="35.1" customHeight="1" thickBot="1" x14ac:dyDescent="0.35">
      <c r="B30" s="26" t="str">
        <f>IF(EXACT(SUBSTITUTE(LOWER(C30)," ",""),SUBSTITUTE(LOWER(D30)," ","")),"O","X")</f>
        <v>O</v>
      </c>
      <c r="C30" s="2" t="s">
        <v>525</v>
      </c>
      <c r="D30" s="2" t="s">
        <v>1301</v>
      </c>
      <c r="E30" s="2" t="s">
        <v>526</v>
      </c>
    </row>
    <row r="31" spans="2:5" ht="35.1" customHeight="1" thickBot="1" x14ac:dyDescent="0.35">
      <c r="B31" s="26" t="str">
        <f>IF(EXACT(SUBSTITUTE(C31," ",""),SUBSTITUTE(D31," ","")),"O","X")</f>
        <v>O</v>
      </c>
      <c r="C31" s="2" t="s">
        <v>527</v>
      </c>
      <c r="D31" s="2" t="s">
        <v>1260</v>
      </c>
      <c r="E31" s="2" t="s">
        <v>528</v>
      </c>
    </row>
    <row r="32" spans="2:5" ht="35.1" customHeight="1" thickBot="1" x14ac:dyDescent="0.35">
      <c r="B32" s="26" t="str">
        <f>IF(ISNUMBER(SEARCH("ARP스푸핑",SUBSTITUTE(D32," ",""))),"O","X")</f>
        <v>O</v>
      </c>
      <c r="C32" s="2" t="s">
        <v>579</v>
      </c>
      <c r="D32" s="2" t="s">
        <v>1286</v>
      </c>
      <c r="E32" s="2" t="s">
        <v>529</v>
      </c>
    </row>
    <row r="33" spans="2:5" ht="35.1" customHeight="1" thickBot="1" x14ac:dyDescent="0.35">
      <c r="B33" s="26" t="str">
        <f>IF(EXACT(SUBSTITUTE(C33," ",""),SUBSTITUTE(D33," ","")),"O","X")</f>
        <v>O</v>
      </c>
      <c r="C33" s="2" t="s">
        <v>530</v>
      </c>
      <c r="D33" s="2" t="s">
        <v>1261</v>
      </c>
      <c r="E33" s="2" t="s">
        <v>531</v>
      </c>
    </row>
    <row r="34" spans="2:5" ht="35.1" customHeight="1" thickBot="1" x14ac:dyDescent="0.35">
      <c r="B34" s="26" t="str">
        <f>IF(EXACT(SUBSTITUTE(C34," ",""),SUBSTITUTE(D34," ","")),"O","X")</f>
        <v>O</v>
      </c>
      <c r="C34" s="2" t="s">
        <v>532</v>
      </c>
      <c r="D34" s="2" t="s">
        <v>1262</v>
      </c>
      <c r="E34" s="2" t="s">
        <v>533</v>
      </c>
    </row>
    <row r="35" spans="2:5" ht="67.5" customHeight="1" thickBot="1" x14ac:dyDescent="0.35">
      <c r="B35" s="26" t="str">
        <f>IF(ISNUMBER(SEARCH("APT",SUBSTITUTE(D35," ",""))),"O","X")</f>
        <v>O</v>
      </c>
      <c r="C35" s="2" t="s">
        <v>575</v>
      </c>
      <c r="D35" s="2" t="s">
        <v>1302</v>
      </c>
      <c r="E35" s="2" t="s">
        <v>576</v>
      </c>
    </row>
    <row r="36" spans="2:5" ht="35.1" customHeight="1" thickBot="1" x14ac:dyDescent="0.35">
      <c r="B36" s="26" t="str">
        <f t="shared" ref="B36:B42" si="1">IF(EXACT(SUBSTITUTE(C36," ",""),SUBSTITUTE(D36," ","")),"O","X")</f>
        <v>O</v>
      </c>
      <c r="C36" s="2" t="s">
        <v>534</v>
      </c>
      <c r="D36" s="2" t="s">
        <v>1263</v>
      </c>
      <c r="E36" s="2" t="s">
        <v>535</v>
      </c>
    </row>
    <row r="37" spans="2:5" ht="35.1" customHeight="1" thickBot="1" x14ac:dyDescent="0.35">
      <c r="B37" s="26" t="str">
        <f t="shared" si="1"/>
        <v>O</v>
      </c>
      <c r="C37" s="2" t="s">
        <v>536</v>
      </c>
      <c r="D37" s="2" t="s">
        <v>1264</v>
      </c>
      <c r="E37" s="2" t="s">
        <v>537</v>
      </c>
    </row>
    <row r="38" spans="2:5" ht="35.1" customHeight="1" thickBot="1" x14ac:dyDescent="0.35">
      <c r="B38" s="26" t="str">
        <f t="shared" si="1"/>
        <v>O</v>
      </c>
      <c r="C38" s="2" t="s">
        <v>538</v>
      </c>
      <c r="D38" s="2" t="s">
        <v>1265</v>
      </c>
      <c r="E38" s="2" t="s">
        <v>539</v>
      </c>
    </row>
    <row r="39" spans="2:5" ht="35.1" customHeight="1" thickBot="1" x14ac:dyDescent="0.35">
      <c r="B39" s="26" t="str">
        <f t="shared" si="1"/>
        <v>O</v>
      </c>
      <c r="C39" s="2" t="s">
        <v>540</v>
      </c>
      <c r="D39" s="2" t="s">
        <v>1303</v>
      </c>
      <c r="E39" s="2" t="s">
        <v>541</v>
      </c>
    </row>
    <row r="40" spans="2:5" ht="35.1" customHeight="1" thickBot="1" x14ac:dyDescent="0.35">
      <c r="B40" s="26" t="str">
        <f t="shared" si="1"/>
        <v>O</v>
      </c>
      <c r="C40" s="2" t="s">
        <v>542</v>
      </c>
      <c r="D40" s="2" t="s">
        <v>1304</v>
      </c>
      <c r="E40" s="2" t="s">
        <v>543</v>
      </c>
    </row>
    <row r="41" spans="2:5" ht="35.1" customHeight="1" thickBot="1" x14ac:dyDescent="0.35">
      <c r="B41" s="26" t="str">
        <f t="shared" si="1"/>
        <v>O</v>
      </c>
      <c r="C41" s="2" t="s">
        <v>544</v>
      </c>
      <c r="D41" s="2" t="s">
        <v>1266</v>
      </c>
      <c r="E41" s="2" t="s">
        <v>545</v>
      </c>
    </row>
    <row r="42" spans="2:5" ht="35.1" customHeight="1" thickBot="1" x14ac:dyDescent="0.35">
      <c r="B42" s="26" t="str">
        <f t="shared" si="1"/>
        <v>O</v>
      </c>
      <c r="C42" s="2" t="s">
        <v>546</v>
      </c>
      <c r="D42" s="2" t="s">
        <v>1267</v>
      </c>
      <c r="E42" s="2" t="s">
        <v>547</v>
      </c>
    </row>
    <row r="43" spans="2:5" ht="35.1" customHeight="1" thickBot="1" x14ac:dyDescent="0.35">
      <c r="B43" s="26" t="str">
        <f>IF(ISNUMBER(SEARCH("봇넷",SUBSTITUTE(D43," ",""))),"O","X")</f>
        <v>O</v>
      </c>
      <c r="C43" s="2" t="s">
        <v>548</v>
      </c>
      <c r="D43" s="2" t="s">
        <v>1268</v>
      </c>
      <c r="E43" s="2" t="s">
        <v>549</v>
      </c>
    </row>
    <row r="44" spans="2:5" ht="35.1" customHeight="1" thickBot="1" x14ac:dyDescent="0.35">
      <c r="B44" s="26" t="str">
        <f>IF(ISNUMBER(SEARCH("웜",SUBSTITUTE(D44," ",""))),"O","X")</f>
        <v>O</v>
      </c>
      <c r="C44" s="2" t="s">
        <v>550</v>
      </c>
      <c r="D44" s="2" t="s">
        <v>1269</v>
      </c>
      <c r="E44" s="2" t="s">
        <v>551</v>
      </c>
    </row>
    <row r="45" spans="2:5" ht="63" customHeight="1" thickBot="1" x14ac:dyDescent="0.35">
      <c r="B45" s="26" t="str">
        <f t="shared" ref="B45:B50" si="2">IF(EXACT(SUBSTITUTE(C45," ",""),SUBSTITUTE(D45," ","")),"O","X")</f>
        <v>O</v>
      </c>
      <c r="C45" s="2" t="s">
        <v>552</v>
      </c>
      <c r="D45" s="2" t="s">
        <v>1270</v>
      </c>
      <c r="E45" s="2" t="s">
        <v>577</v>
      </c>
    </row>
    <row r="46" spans="2:5" ht="35.1" customHeight="1" thickBot="1" x14ac:dyDescent="0.35">
      <c r="B46" s="26" t="str">
        <f t="shared" si="2"/>
        <v>O</v>
      </c>
      <c r="C46" s="2" t="s">
        <v>553</v>
      </c>
      <c r="D46" s="2" t="s">
        <v>1271</v>
      </c>
      <c r="E46" s="2" t="s">
        <v>554</v>
      </c>
    </row>
    <row r="47" spans="2:5" ht="35.1" customHeight="1" thickBot="1" x14ac:dyDescent="0.35">
      <c r="B47" s="26" t="str">
        <f t="shared" si="2"/>
        <v>O</v>
      </c>
      <c r="C47" s="2" t="s">
        <v>555</v>
      </c>
      <c r="D47" s="2" t="s">
        <v>1272</v>
      </c>
      <c r="E47" s="2" t="s">
        <v>556</v>
      </c>
    </row>
    <row r="48" spans="2:5" ht="65.25" customHeight="1" thickBot="1" x14ac:dyDescent="0.35">
      <c r="B48" s="26" t="str">
        <f t="shared" si="2"/>
        <v>O</v>
      </c>
      <c r="C48" s="2" t="s">
        <v>557</v>
      </c>
      <c r="D48" s="2" t="s">
        <v>1273</v>
      </c>
      <c r="E48" s="2" t="s">
        <v>578</v>
      </c>
    </row>
    <row r="49" spans="2:5" ht="35.1" customHeight="1" thickBot="1" x14ac:dyDescent="0.35">
      <c r="B49" s="26" t="str">
        <f t="shared" si="2"/>
        <v>O</v>
      </c>
      <c r="C49" s="2" t="s">
        <v>558</v>
      </c>
      <c r="D49" s="2" t="s">
        <v>1305</v>
      </c>
      <c r="E49" s="2" t="s">
        <v>559</v>
      </c>
    </row>
    <row r="50" spans="2:5" ht="35.1" customHeight="1" thickBot="1" x14ac:dyDescent="0.35">
      <c r="B50" s="26" t="str">
        <f t="shared" si="2"/>
        <v>O</v>
      </c>
      <c r="C50" s="2" t="s">
        <v>560</v>
      </c>
      <c r="D50" s="2" t="s">
        <v>1276</v>
      </c>
      <c r="E50" s="2" t="s">
        <v>1283</v>
      </c>
    </row>
    <row r="51" spans="2:5" ht="35.1" customHeight="1" thickBot="1" x14ac:dyDescent="0.35">
      <c r="B51" s="26" t="str">
        <f>IF(OR(ISNUMBER(SEARCH(LOWER("침입탐지시스템"),SUBSTITUTE(LOWER(D51)," ",""))),ISNUMBER(SEARCH(LOWER("IDS"),SUBSTITUTE(LOWER(D51)," ","")))),"O","X")</f>
        <v>O</v>
      </c>
      <c r="C51" s="2" t="s">
        <v>561</v>
      </c>
      <c r="D51" s="2" t="s">
        <v>1274</v>
      </c>
      <c r="E51" s="2" t="s">
        <v>562</v>
      </c>
    </row>
    <row r="52" spans="2:5" ht="35.1" customHeight="1" thickBot="1" x14ac:dyDescent="0.35">
      <c r="B52" s="26" t="str">
        <f>IF(OR(ISNUMBER(SEARCH(LOWER("침입방지시스템"),SUBSTITUTE(LOWER(D52)," ",""))),ISNUMBER(SEARCH(LOWER("IPS"),SUBSTITUTE(LOWER(D52)," ","")))),"O","X")</f>
        <v>O</v>
      </c>
      <c r="C52" s="2" t="s">
        <v>563</v>
      </c>
      <c r="D52" s="2" t="s">
        <v>1275</v>
      </c>
      <c r="E52" s="2" t="s">
        <v>564</v>
      </c>
    </row>
    <row r="53" spans="2:5" ht="35.1" customHeight="1" thickBot="1" x14ac:dyDescent="0.35">
      <c r="B53" s="26" t="str">
        <f>IF(OR(ISNUMBER(SEARCH(LOWER("데이터유출방지"),SUBSTITUTE(LOWER(D53)," ",""))),ISNUMBER(SEARCH(LOWER("DLP"),SUBSTITUTE(LOWER(D53)," ","")))),"O","X")</f>
        <v>O</v>
      </c>
      <c r="C53" s="2" t="s">
        <v>565</v>
      </c>
      <c r="D53" s="2" t="s">
        <v>1306</v>
      </c>
      <c r="E53" s="2" t="s">
        <v>566</v>
      </c>
    </row>
    <row r="54" spans="2:5" ht="35.1" customHeight="1" thickBot="1" x14ac:dyDescent="0.35">
      <c r="B54" s="26" t="str">
        <f>IF(EXACT(SUBSTITUTE(C54," ",""),SUBSTITUTE(D54," ","")),"O","X")</f>
        <v>O</v>
      </c>
      <c r="C54" s="2" t="s">
        <v>567</v>
      </c>
      <c r="D54" s="2" t="s">
        <v>1277</v>
      </c>
      <c r="E54" s="2" t="s">
        <v>568</v>
      </c>
    </row>
    <row r="55" spans="2:5" ht="35.1" customHeight="1" thickBot="1" x14ac:dyDescent="0.35">
      <c r="B55" s="26" t="str">
        <f>IF(EXACT(SUBSTITUTE(C55," ",""),SUBSTITUTE(D55," ","")),"O","X")</f>
        <v>O</v>
      </c>
      <c r="C55" s="2" t="s">
        <v>569</v>
      </c>
      <c r="D55" s="2" t="s">
        <v>760</v>
      </c>
      <c r="E55" s="2" t="s">
        <v>570</v>
      </c>
    </row>
    <row r="56" spans="2:5" ht="35.1" customHeight="1" thickBot="1" x14ac:dyDescent="0.35">
      <c r="B56" s="26" t="str">
        <f>IF(ISNUMBER(SEARCH("NAC",SUBSTITUTE(D56," ",""))),"O","X")</f>
        <v>O</v>
      </c>
      <c r="C56" s="2" t="s">
        <v>573</v>
      </c>
      <c r="D56" s="2" t="s">
        <v>1307</v>
      </c>
      <c r="E56" s="2" t="s">
        <v>571</v>
      </c>
    </row>
    <row r="57" spans="2:5" ht="35.1" customHeight="1" thickBot="1" x14ac:dyDescent="0.35">
      <c r="B57" s="26" t="str">
        <f>IF(ISNUMBER(SEARCH("ESM",SUBSTITUTE(D57," ",""))),"O","X")</f>
        <v>O</v>
      </c>
      <c r="C57" s="2" t="s">
        <v>574</v>
      </c>
      <c r="D57" s="2" t="s">
        <v>1308</v>
      </c>
      <c r="E57" s="2" t="s">
        <v>572</v>
      </c>
    </row>
  </sheetData>
  <autoFilter ref="B1:B57" xr:uid="{D22B4648-5035-46C1-9B89-D23381E436DA}"/>
  <phoneticPr fontId="3" type="noConversion"/>
  <conditionalFormatting sqref="B58:B1048576 B36:B42 B33:B34 B30:B31 B1:B15 B26:B28 B45:B50 B54:B55 B23:B24">
    <cfRule type="containsText" dxfId="158" priority="16" operator="containsText" text="X">
      <formula>NOT(ISERROR(SEARCH("X",B1)))</formula>
    </cfRule>
  </conditionalFormatting>
  <conditionalFormatting sqref="B56:B57">
    <cfRule type="containsText" dxfId="157" priority="14" operator="containsText" text="X">
      <formula>NOT(ISERROR(SEARCH("X",B56)))</formula>
    </cfRule>
  </conditionalFormatting>
  <conditionalFormatting sqref="B35">
    <cfRule type="containsText" dxfId="156" priority="13" operator="containsText" text="X">
      <formula>NOT(ISERROR(SEARCH("X",B35)))</formula>
    </cfRule>
  </conditionalFormatting>
  <conditionalFormatting sqref="B32">
    <cfRule type="containsText" dxfId="155" priority="12" operator="containsText" text="X">
      <formula>NOT(ISERROR(SEARCH("X",B32)))</formula>
    </cfRule>
  </conditionalFormatting>
  <conditionalFormatting sqref="B29">
    <cfRule type="containsText" dxfId="154" priority="11" operator="containsText" text="X">
      <formula>NOT(ISERROR(SEARCH("X",B29)))</formula>
    </cfRule>
  </conditionalFormatting>
  <conditionalFormatting sqref="B25">
    <cfRule type="containsText" dxfId="153" priority="10" operator="containsText" text="X">
      <formula>NOT(ISERROR(SEARCH("X",B25)))</formula>
    </cfRule>
  </conditionalFormatting>
  <conditionalFormatting sqref="B43:B44">
    <cfRule type="containsText" dxfId="152" priority="9" operator="containsText" text="X">
      <formula>NOT(ISERROR(SEARCH("X",B43)))</formula>
    </cfRule>
  </conditionalFormatting>
  <conditionalFormatting sqref="B51:B53">
    <cfRule type="containsText" dxfId="151" priority="8" operator="containsText" text="X">
      <formula>NOT(ISERROR(SEARCH("X",B51)))</formula>
    </cfRule>
  </conditionalFormatting>
  <conditionalFormatting sqref="B20">
    <cfRule type="containsText" dxfId="150" priority="7" operator="containsText" text="X">
      <formula>NOT(ISERROR(SEARCH("X",B20)))</formula>
    </cfRule>
  </conditionalFormatting>
  <conditionalFormatting sqref="B21">
    <cfRule type="containsText" dxfId="149" priority="6" operator="containsText" text="X">
      <formula>NOT(ISERROR(SEARCH("X",B21)))</formula>
    </cfRule>
  </conditionalFormatting>
  <conditionalFormatting sqref="B22">
    <cfRule type="containsText" dxfId="148" priority="5" operator="containsText" text="X">
      <formula>NOT(ISERROR(SEARCH("X",B22)))</formula>
    </cfRule>
  </conditionalFormatting>
  <conditionalFormatting sqref="B16">
    <cfRule type="containsText" dxfId="147" priority="4" operator="containsText" text="X">
      <formula>NOT(ISERROR(SEARCH("X",B16)))</formula>
    </cfRule>
  </conditionalFormatting>
  <conditionalFormatting sqref="B17">
    <cfRule type="containsText" dxfId="146" priority="3" operator="containsText" text="X">
      <formula>NOT(ISERROR(SEARCH("X",B17)))</formula>
    </cfRule>
  </conditionalFormatting>
  <conditionalFormatting sqref="B19">
    <cfRule type="containsText" dxfId="145" priority="2" operator="containsText" text="X">
      <formula>NOT(ISERROR(SEARCH("X",B19)))</formula>
    </cfRule>
  </conditionalFormatting>
  <conditionalFormatting sqref="B18">
    <cfRule type="containsText" dxfId="144" priority="1" operator="containsText" text="X">
      <formula>NOT(ISERROR(SEARCH("X",B18)))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39EE-5D04-44C0-8069-B3FCFBB58FF5}">
  <dimension ref="A1:E54"/>
  <sheetViews>
    <sheetView topLeftCell="A40" zoomScale="85" zoomScaleNormal="85" workbookViewId="0">
      <selection activeCell="B54" sqref="B54"/>
    </sheetView>
  </sheetViews>
  <sheetFormatPr defaultRowHeight="29.25" x14ac:dyDescent="0.3"/>
  <cols>
    <col min="1" max="1" width="9" style="4"/>
    <col min="2" max="2" width="9" style="4" customWidth="1"/>
    <col min="3" max="3" width="46.625" style="4" hidden="1" customWidth="1"/>
    <col min="4" max="4" width="46.625" style="4" customWidth="1"/>
    <col min="5" max="5" width="197.625" style="4" customWidth="1"/>
    <col min="6" max="16384" width="9" style="4"/>
  </cols>
  <sheetData>
    <row r="1" spans="1:5" ht="33" thickBot="1" x14ac:dyDescent="0.35">
      <c r="B1" s="50" t="s">
        <v>1167</v>
      </c>
    </row>
    <row r="2" spans="1:5" ht="35.1" customHeight="1" thickBot="1" x14ac:dyDescent="0.35">
      <c r="B2" s="26" t="str">
        <f t="shared" ref="B2:B52" si="0">IF(EXACT(SUBSTITUTE(C2," ",""),SUBSTITUTE(D2," ","")),"O","X")</f>
        <v>O</v>
      </c>
      <c r="C2" s="5" t="s">
        <v>0</v>
      </c>
      <c r="D2" s="27" t="s">
        <v>1310</v>
      </c>
      <c r="E2" s="27" t="s">
        <v>77</v>
      </c>
    </row>
    <row r="3" spans="1:5" ht="35.1" customHeight="1" thickBot="1" x14ac:dyDescent="0.35">
      <c r="A3" s="52"/>
      <c r="B3" s="26" t="str">
        <f t="shared" si="0"/>
        <v>X</v>
      </c>
      <c r="C3" s="5" t="s">
        <v>76</v>
      </c>
      <c r="D3" s="27"/>
      <c r="E3" s="27" t="s">
        <v>48</v>
      </c>
    </row>
    <row r="4" spans="1:5" ht="35.1" customHeight="1" thickBot="1" x14ac:dyDescent="0.35">
      <c r="B4" s="26" t="str">
        <f t="shared" si="0"/>
        <v>O</v>
      </c>
      <c r="C4" s="5" t="s">
        <v>1</v>
      </c>
      <c r="D4" s="27" t="s">
        <v>1311</v>
      </c>
      <c r="E4" s="27" t="s">
        <v>78</v>
      </c>
    </row>
    <row r="5" spans="1:5" ht="35.1" customHeight="1" thickBot="1" x14ac:dyDescent="0.35">
      <c r="A5" s="52"/>
      <c r="B5" s="26" t="str">
        <f t="shared" si="0"/>
        <v>X</v>
      </c>
      <c r="C5" s="5" t="s">
        <v>2</v>
      </c>
      <c r="D5" s="5"/>
      <c r="E5" s="27" t="s">
        <v>49</v>
      </c>
    </row>
    <row r="6" spans="1:5" ht="35.1" customHeight="1" thickBot="1" x14ac:dyDescent="0.35">
      <c r="A6" s="52"/>
      <c r="B6" s="26" t="str">
        <f t="shared" si="0"/>
        <v>X</v>
      </c>
      <c r="C6" s="5" t="s">
        <v>3</v>
      </c>
      <c r="D6" s="5"/>
      <c r="E6" s="27" t="s">
        <v>79</v>
      </c>
    </row>
    <row r="7" spans="1:5" ht="35.1" customHeight="1" thickBot="1" x14ac:dyDescent="0.35">
      <c r="A7" s="52"/>
      <c r="B7" s="26" t="str">
        <f t="shared" si="0"/>
        <v>X</v>
      </c>
      <c r="C7" s="5" t="s">
        <v>4</v>
      </c>
      <c r="D7" s="5"/>
      <c r="E7" s="27" t="s">
        <v>80</v>
      </c>
    </row>
    <row r="8" spans="1:5" ht="35.1" customHeight="1" thickBot="1" x14ac:dyDescent="0.35">
      <c r="A8" s="52"/>
      <c r="B8" s="26" t="str">
        <f t="shared" si="0"/>
        <v>X</v>
      </c>
      <c r="C8" s="5" t="s">
        <v>5</v>
      </c>
      <c r="D8" s="27"/>
      <c r="E8" s="27" t="s">
        <v>1309</v>
      </c>
    </row>
    <row r="9" spans="1:5" ht="35.1" customHeight="1" thickBot="1" x14ac:dyDescent="0.35">
      <c r="B9" s="26" t="str">
        <f>IF(AND(ISNUMBER(SEARCH("문장",SUBSTITUTE(D9," ",""))),ISNUMBER(SEARCH("분기",SUBSTITUTE(D9," ",""))),ISNUMBER(SEARCH("조건",SUBSTITUTE(D9," ",""))),ISNUMBER(SEARCH("분기/조건",SUBSTITUTE(D9," ","")))),"O","X")</f>
        <v>O</v>
      </c>
      <c r="C9" s="14" t="s">
        <v>6</v>
      </c>
      <c r="D9" s="31" t="s">
        <v>1312</v>
      </c>
      <c r="E9" s="27" t="s">
        <v>81</v>
      </c>
    </row>
    <row r="10" spans="1:5" ht="35.1" customHeight="1" thickBot="1" x14ac:dyDescent="0.35">
      <c r="A10" s="52"/>
      <c r="B10" s="26" t="str">
        <f t="shared" si="0"/>
        <v>X</v>
      </c>
      <c r="C10" s="5" t="s">
        <v>7</v>
      </c>
      <c r="D10" s="27"/>
      <c r="E10" s="27" t="s">
        <v>50</v>
      </c>
    </row>
    <row r="11" spans="1:5" ht="35.1" customHeight="1" thickBot="1" x14ac:dyDescent="0.35">
      <c r="A11" s="52"/>
      <c r="B11" s="26" t="str">
        <f t="shared" si="0"/>
        <v>X</v>
      </c>
      <c r="C11" s="5" t="s">
        <v>8</v>
      </c>
      <c r="D11" s="27"/>
      <c r="E11" s="27" t="s">
        <v>51</v>
      </c>
    </row>
    <row r="12" spans="1:5" ht="35.1" customHeight="1" thickBot="1" x14ac:dyDescent="0.35">
      <c r="A12" s="52"/>
      <c r="B12" s="26" t="str">
        <f t="shared" si="0"/>
        <v>X</v>
      </c>
      <c r="C12" s="5" t="s">
        <v>9</v>
      </c>
      <c r="D12" s="27"/>
      <c r="E12" s="27" t="s">
        <v>82</v>
      </c>
    </row>
    <row r="13" spans="1:5" ht="35.1" customHeight="1" thickBot="1" x14ac:dyDescent="0.35">
      <c r="A13" s="52"/>
      <c r="B13" s="26" t="str">
        <f t="shared" si="0"/>
        <v>X</v>
      </c>
      <c r="C13" s="5" t="s">
        <v>10</v>
      </c>
      <c r="D13" s="27"/>
      <c r="E13" s="27" t="s">
        <v>83</v>
      </c>
    </row>
    <row r="14" spans="1:5" ht="35.1" customHeight="1" thickBot="1" x14ac:dyDescent="0.35">
      <c r="B14" s="26" t="str">
        <f t="shared" si="0"/>
        <v>O</v>
      </c>
      <c r="C14" s="5" t="s">
        <v>11</v>
      </c>
      <c r="D14" s="27" t="s">
        <v>1313</v>
      </c>
      <c r="E14" s="27" t="s">
        <v>52</v>
      </c>
    </row>
    <row r="15" spans="1:5" ht="35.1" customHeight="1" thickBot="1" x14ac:dyDescent="0.35">
      <c r="A15" s="52"/>
      <c r="B15" s="26"/>
      <c r="C15" s="5" t="s">
        <v>12</v>
      </c>
      <c r="D15" s="27"/>
      <c r="E15" s="27" t="s">
        <v>53</v>
      </c>
    </row>
    <row r="16" spans="1:5" ht="61.5" customHeight="1" thickBot="1" x14ac:dyDescent="0.35">
      <c r="A16" s="52"/>
      <c r="B16" s="26" t="str">
        <f t="shared" si="0"/>
        <v>X</v>
      </c>
      <c r="C16" s="5" t="s">
        <v>13</v>
      </c>
      <c r="D16" s="27"/>
      <c r="E16" s="27" t="s">
        <v>84</v>
      </c>
    </row>
    <row r="17" spans="1:5" ht="35.1" customHeight="1" thickBot="1" x14ac:dyDescent="0.35">
      <c r="A17" s="52"/>
      <c r="B17" s="26" t="str">
        <f t="shared" si="0"/>
        <v>X</v>
      </c>
      <c r="C17" s="5" t="s">
        <v>14</v>
      </c>
      <c r="D17" s="27"/>
      <c r="E17" s="27" t="s">
        <v>85</v>
      </c>
    </row>
    <row r="18" spans="1:5" ht="35.1" customHeight="1" thickBot="1" x14ac:dyDescent="0.35">
      <c r="B18" s="26" t="str">
        <f t="shared" si="0"/>
        <v>O</v>
      </c>
      <c r="C18" s="5" t="s">
        <v>1314</v>
      </c>
      <c r="D18" s="27" t="s">
        <v>1314</v>
      </c>
      <c r="E18" s="27" t="s">
        <v>75</v>
      </c>
    </row>
    <row r="19" spans="1:5" ht="35.1" customHeight="1" thickBot="1" x14ac:dyDescent="0.35">
      <c r="B19" s="26" t="str">
        <f t="shared" si="0"/>
        <v>O</v>
      </c>
      <c r="C19" s="5" t="s">
        <v>15</v>
      </c>
      <c r="D19" s="27" t="s">
        <v>100</v>
      </c>
      <c r="E19" s="27" t="s">
        <v>86</v>
      </c>
    </row>
    <row r="20" spans="1:5" ht="35.1" customHeight="1" thickBot="1" x14ac:dyDescent="0.35">
      <c r="B20" s="26" t="str">
        <f t="shared" si="0"/>
        <v>O</v>
      </c>
      <c r="C20" s="5" t="s">
        <v>16</v>
      </c>
      <c r="D20" s="27" t="s">
        <v>101</v>
      </c>
      <c r="E20" s="27" t="s">
        <v>87</v>
      </c>
    </row>
    <row r="21" spans="1:5" ht="35.1" customHeight="1" thickBot="1" x14ac:dyDescent="0.35">
      <c r="A21" s="52"/>
      <c r="B21" s="26" t="str">
        <f t="shared" si="0"/>
        <v>X</v>
      </c>
      <c r="C21" s="5" t="s">
        <v>17</v>
      </c>
      <c r="D21" s="27"/>
      <c r="E21" s="27" t="s">
        <v>88</v>
      </c>
    </row>
    <row r="22" spans="1:5" ht="35.1" customHeight="1" thickBot="1" x14ac:dyDescent="0.35">
      <c r="B22" s="26" t="str">
        <f t="shared" si="0"/>
        <v>O</v>
      </c>
      <c r="C22" s="5" t="s">
        <v>18</v>
      </c>
      <c r="D22" s="27" t="s">
        <v>102</v>
      </c>
      <c r="E22" s="27" t="s">
        <v>89</v>
      </c>
    </row>
    <row r="23" spans="1:5" ht="35.1" customHeight="1" thickBot="1" x14ac:dyDescent="0.35">
      <c r="B23" s="26" t="str">
        <f t="shared" si="0"/>
        <v>O</v>
      </c>
      <c r="C23" s="5" t="s">
        <v>19</v>
      </c>
      <c r="D23" s="27" t="s">
        <v>103</v>
      </c>
      <c r="E23" s="27" t="s">
        <v>90</v>
      </c>
    </row>
    <row r="24" spans="1:5" ht="35.1" customHeight="1" thickBot="1" x14ac:dyDescent="0.35">
      <c r="B24" s="26" t="str">
        <f t="shared" si="0"/>
        <v>O</v>
      </c>
      <c r="C24" s="5" t="s">
        <v>20</v>
      </c>
      <c r="D24" s="27" t="s">
        <v>104</v>
      </c>
      <c r="E24" s="27" t="s">
        <v>91</v>
      </c>
    </row>
    <row r="25" spans="1:5" ht="35.1" customHeight="1" thickBot="1" x14ac:dyDescent="0.35">
      <c r="A25" s="52"/>
      <c r="B25" s="26"/>
      <c r="C25" s="5" t="s">
        <v>21</v>
      </c>
      <c r="D25" s="27"/>
      <c r="E25" s="27" t="s">
        <v>54</v>
      </c>
    </row>
    <row r="26" spans="1:5" ht="35.1" customHeight="1" thickBot="1" x14ac:dyDescent="0.35">
      <c r="A26" s="52"/>
      <c r="B26" s="26" t="str">
        <f t="shared" si="0"/>
        <v>X</v>
      </c>
      <c r="C26" s="5" t="s">
        <v>22</v>
      </c>
      <c r="D26" s="27"/>
      <c r="E26" s="27" t="s">
        <v>55</v>
      </c>
    </row>
    <row r="27" spans="1:5" ht="35.1" customHeight="1" thickBot="1" x14ac:dyDescent="0.35">
      <c r="A27" s="52"/>
      <c r="B27" s="26" t="str">
        <f t="shared" si="0"/>
        <v>X</v>
      </c>
      <c r="C27" s="5" t="s">
        <v>23</v>
      </c>
      <c r="D27" s="27"/>
      <c r="E27" s="27" t="s">
        <v>92</v>
      </c>
    </row>
    <row r="28" spans="1:5" ht="35.1" customHeight="1" thickBot="1" x14ac:dyDescent="0.35">
      <c r="B28" s="26" t="str">
        <f t="shared" si="0"/>
        <v>O</v>
      </c>
      <c r="C28" s="5" t="s">
        <v>24</v>
      </c>
      <c r="D28" s="27" t="s">
        <v>105</v>
      </c>
      <c r="E28" s="27" t="s">
        <v>93</v>
      </c>
    </row>
    <row r="29" spans="1:5" ht="35.1" customHeight="1" thickBot="1" x14ac:dyDescent="0.35">
      <c r="B29" s="26" t="str">
        <f t="shared" si="0"/>
        <v>O</v>
      </c>
      <c r="C29" s="5" t="s">
        <v>25</v>
      </c>
      <c r="D29" s="27" t="s">
        <v>106</v>
      </c>
      <c r="E29" s="27" t="s">
        <v>94</v>
      </c>
    </row>
    <row r="30" spans="1:5" ht="35.1" customHeight="1" thickBot="1" x14ac:dyDescent="0.35">
      <c r="B30" s="26" t="str">
        <f t="shared" si="0"/>
        <v>O</v>
      </c>
      <c r="C30" s="5" t="s">
        <v>26</v>
      </c>
      <c r="D30" s="27" t="s">
        <v>107</v>
      </c>
      <c r="E30" s="27" t="s">
        <v>95</v>
      </c>
    </row>
    <row r="31" spans="1:5" ht="35.1" customHeight="1" thickBot="1" x14ac:dyDescent="0.35">
      <c r="B31" s="26" t="str">
        <f t="shared" si="0"/>
        <v>O</v>
      </c>
      <c r="C31" s="5" t="s">
        <v>27</v>
      </c>
      <c r="D31" s="27" t="s">
        <v>108</v>
      </c>
      <c r="E31" s="27" t="s">
        <v>96</v>
      </c>
    </row>
    <row r="32" spans="1:5" ht="35.1" customHeight="1" thickBot="1" x14ac:dyDescent="0.35">
      <c r="A32" s="52"/>
      <c r="B32" s="26" t="str">
        <f>IF(AND(ISNUMBER(SEARCH("비점진적통합방식",SUBSTITUTE(D32," ",""))),ISNUMBER(SEARCH("점진적통합방식",SUBSTITUTE(D32," ","")))),"O","X")</f>
        <v>X</v>
      </c>
      <c r="C32" s="14" t="s">
        <v>28</v>
      </c>
      <c r="D32" s="31"/>
      <c r="E32" s="27" t="s">
        <v>56</v>
      </c>
    </row>
    <row r="33" spans="1:5" ht="35.1" customHeight="1" thickBot="1" x14ac:dyDescent="0.35">
      <c r="A33" s="52"/>
      <c r="B33" s="26" t="str">
        <f t="shared" si="0"/>
        <v>X</v>
      </c>
      <c r="C33" s="5" t="s">
        <v>29</v>
      </c>
      <c r="D33" s="27"/>
      <c r="E33" s="27" t="s">
        <v>57</v>
      </c>
    </row>
    <row r="34" spans="1:5" ht="35.1" customHeight="1" thickBot="1" x14ac:dyDescent="0.35">
      <c r="A34" s="52"/>
      <c r="B34" s="26" t="str">
        <f t="shared" si="0"/>
        <v>X</v>
      </c>
      <c r="C34" s="5" t="s">
        <v>30</v>
      </c>
      <c r="D34" s="27"/>
      <c r="E34" s="27" t="s">
        <v>58</v>
      </c>
    </row>
    <row r="35" spans="1:5" ht="35.1" customHeight="1" thickBot="1" x14ac:dyDescent="0.35">
      <c r="B35" s="26" t="str">
        <f t="shared" si="0"/>
        <v>O</v>
      </c>
      <c r="C35" s="5" t="s">
        <v>31</v>
      </c>
      <c r="D35" s="27" t="s">
        <v>109</v>
      </c>
      <c r="E35" s="27" t="s">
        <v>59</v>
      </c>
    </row>
    <row r="36" spans="1:5" ht="35.1" customHeight="1" thickBot="1" x14ac:dyDescent="0.35">
      <c r="B36" s="26" t="str">
        <f t="shared" si="0"/>
        <v>O</v>
      </c>
      <c r="C36" s="5" t="s">
        <v>32</v>
      </c>
      <c r="D36" s="27" t="s">
        <v>110</v>
      </c>
      <c r="E36" s="27" t="s">
        <v>60</v>
      </c>
    </row>
    <row r="37" spans="1:5" ht="35.1" customHeight="1" thickBot="1" x14ac:dyDescent="0.35">
      <c r="B37" s="26" t="str">
        <f t="shared" si="0"/>
        <v>O</v>
      </c>
      <c r="C37" s="5" t="s">
        <v>33</v>
      </c>
      <c r="D37" s="27" t="s">
        <v>111</v>
      </c>
      <c r="E37" s="27" t="s">
        <v>61</v>
      </c>
    </row>
    <row r="38" spans="1:5" ht="35.1" customHeight="1" thickBot="1" x14ac:dyDescent="0.35">
      <c r="B38" s="26" t="str">
        <f t="shared" si="0"/>
        <v>O</v>
      </c>
      <c r="C38" s="5" t="s">
        <v>34</v>
      </c>
      <c r="D38" s="27" t="s">
        <v>112</v>
      </c>
      <c r="E38" s="27" t="s">
        <v>62</v>
      </c>
    </row>
    <row r="39" spans="1:5" ht="35.1" customHeight="1" thickBot="1" x14ac:dyDescent="0.35">
      <c r="A39" s="52"/>
      <c r="B39" s="26" t="str">
        <f t="shared" si="0"/>
        <v>X</v>
      </c>
      <c r="C39" s="5" t="s">
        <v>35</v>
      </c>
      <c r="D39" s="27"/>
      <c r="E39" s="27" t="s">
        <v>63</v>
      </c>
    </row>
    <row r="40" spans="1:5" ht="35.1" customHeight="1" thickBot="1" x14ac:dyDescent="0.35">
      <c r="B40" s="26" t="str">
        <f t="shared" si="0"/>
        <v>O</v>
      </c>
      <c r="C40" s="5" t="s">
        <v>36</v>
      </c>
      <c r="D40" s="27" t="s">
        <v>113</v>
      </c>
      <c r="E40" s="27" t="s">
        <v>64</v>
      </c>
    </row>
    <row r="41" spans="1:5" ht="35.1" customHeight="1" thickBot="1" x14ac:dyDescent="0.35">
      <c r="B41" s="26" t="str">
        <f t="shared" si="0"/>
        <v>O</v>
      </c>
      <c r="C41" s="5" t="s">
        <v>37</v>
      </c>
      <c r="D41" s="27" t="s">
        <v>114</v>
      </c>
      <c r="E41" s="27" t="s">
        <v>65</v>
      </c>
    </row>
    <row r="42" spans="1:5" ht="35.1" customHeight="1" thickBot="1" x14ac:dyDescent="0.35">
      <c r="B42" s="26" t="str">
        <f t="shared" si="0"/>
        <v>O</v>
      </c>
      <c r="C42" s="5" t="s">
        <v>38</v>
      </c>
      <c r="D42" s="27" t="s">
        <v>759</v>
      </c>
      <c r="E42" s="27" t="s">
        <v>66</v>
      </c>
    </row>
    <row r="43" spans="1:5" ht="35.1" customHeight="1" thickBot="1" x14ac:dyDescent="0.35">
      <c r="B43" s="26" t="str">
        <f t="shared" si="0"/>
        <v>O</v>
      </c>
      <c r="C43" s="5" t="s">
        <v>39</v>
      </c>
      <c r="D43" s="27" t="s">
        <v>115</v>
      </c>
      <c r="E43" s="27" t="s">
        <v>67</v>
      </c>
    </row>
    <row r="44" spans="1:5" ht="35.1" customHeight="1" thickBot="1" x14ac:dyDescent="0.35">
      <c r="B44" s="26" t="str">
        <f t="shared" si="0"/>
        <v>O</v>
      </c>
      <c r="C44" s="5" t="s">
        <v>40</v>
      </c>
      <c r="D44" s="27" t="s">
        <v>116</v>
      </c>
      <c r="E44" s="27" t="s">
        <v>68</v>
      </c>
    </row>
    <row r="45" spans="1:5" ht="35.1" customHeight="1" thickBot="1" x14ac:dyDescent="0.35">
      <c r="B45" s="26" t="str">
        <f t="shared" si="0"/>
        <v>O</v>
      </c>
      <c r="C45" s="5" t="s">
        <v>41</v>
      </c>
      <c r="D45" s="27" t="s">
        <v>117</v>
      </c>
      <c r="E45" s="27" t="s">
        <v>69</v>
      </c>
    </row>
    <row r="46" spans="1:5" ht="35.1" customHeight="1" thickBot="1" x14ac:dyDescent="0.35">
      <c r="B46" s="26" t="str">
        <f t="shared" si="0"/>
        <v>O</v>
      </c>
      <c r="C46" s="5" t="s">
        <v>42</v>
      </c>
      <c r="D46" s="27" t="s">
        <v>118</v>
      </c>
      <c r="E46" s="27" t="s">
        <v>70</v>
      </c>
    </row>
    <row r="47" spans="1:5" ht="35.1" customHeight="1" thickBot="1" x14ac:dyDescent="0.35">
      <c r="A47" s="52"/>
      <c r="B47" s="26" t="str">
        <f t="shared" si="0"/>
        <v>X</v>
      </c>
      <c r="C47" s="5" t="s">
        <v>99</v>
      </c>
      <c r="D47" s="5"/>
      <c r="E47" s="27" t="s">
        <v>71</v>
      </c>
    </row>
    <row r="48" spans="1:5" ht="35.1" customHeight="1" thickBot="1" x14ac:dyDescent="0.35">
      <c r="B48" s="26" t="str">
        <f t="shared" si="0"/>
        <v>O</v>
      </c>
      <c r="C48" s="5" t="s">
        <v>43</v>
      </c>
      <c r="D48" s="27" t="s">
        <v>119</v>
      </c>
      <c r="E48" s="27" t="s">
        <v>72</v>
      </c>
    </row>
    <row r="49" spans="1:5" ht="35.1" customHeight="1" thickBot="1" x14ac:dyDescent="0.35">
      <c r="A49" s="52"/>
      <c r="B49" s="26" t="str">
        <f t="shared" si="0"/>
        <v>X</v>
      </c>
      <c r="C49" s="5" t="s">
        <v>44</v>
      </c>
      <c r="D49" s="27"/>
      <c r="E49" s="27" t="s">
        <v>73</v>
      </c>
    </row>
    <row r="50" spans="1:5" ht="35.1" customHeight="1" thickBot="1" x14ac:dyDescent="0.35">
      <c r="A50" s="52"/>
      <c r="B50" s="26" t="str">
        <f t="shared" si="0"/>
        <v>X</v>
      </c>
      <c r="C50" s="5" t="s">
        <v>45</v>
      </c>
      <c r="D50" s="5"/>
      <c r="E50" s="27" t="s">
        <v>97</v>
      </c>
    </row>
    <row r="51" spans="1:5" ht="35.1" customHeight="1" thickBot="1" x14ac:dyDescent="0.35">
      <c r="A51" s="52"/>
      <c r="B51" s="26" t="str">
        <f t="shared" si="0"/>
        <v>X</v>
      </c>
      <c r="C51" s="5" t="s">
        <v>46</v>
      </c>
      <c r="D51" s="5"/>
      <c r="E51" s="27" t="s">
        <v>74</v>
      </c>
    </row>
    <row r="52" spans="1:5" ht="35.1" customHeight="1" thickBot="1" x14ac:dyDescent="0.35">
      <c r="A52" s="52"/>
      <c r="B52" s="26" t="str">
        <f t="shared" si="0"/>
        <v>X</v>
      </c>
      <c r="C52" s="5" t="s">
        <v>47</v>
      </c>
      <c r="D52" s="5"/>
      <c r="E52" s="27" t="s">
        <v>98</v>
      </c>
    </row>
    <row r="53" spans="1:5" x14ac:dyDescent="0.3">
      <c r="D53" s="10"/>
    </row>
    <row r="54" spans="1:5" x14ac:dyDescent="0.3">
      <c r="D54" s="10"/>
    </row>
  </sheetData>
  <autoFilter ref="B1:B52" xr:uid="{7E1039EE-5D04-44C0-8069-B3FCFBB58FF5}"/>
  <phoneticPr fontId="3" type="noConversion"/>
  <conditionalFormatting sqref="B1:B8 B10:B31 B33:B1048576">
    <cfRule type="containsText" dxfId="143" priority="3" operator="containsText" text="X">
      <formula>NOT(ISERROR(SEARCH("X",B1)))</formula>
    </cfRule>
  </conditionalFormatting>
  <conditionalFormatting sqref="B9">
    <cfRule type="containsText" dxfId="142" priority="2" operator="containsText" text="X">
      <formula>NOT(ISERROR(SEARCH("X",B9)))</formula>
    </cfRule>
  </conditionalFormatting>
  <conditionalFormatting sqref="B32">
    <cfRule type="containsText" dxfId="141" priority="1" operator="containsText" text="X">
      <formula>NOT(ISERROR(SEARCH("X",B32)))</formula>
    </cfRule>
  </conditionalFormatting>
  <pageMargins left="0.7" right="0.7" top="0.75" bottom="0.75" header="0.3" footer="0.3"/>
  <pageSetup paperSize="9" orientation="portrait" r:id="rId1"/>
  <ignoredErrors>
    <ignoredError sqref="B32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EECA0-5949-4381-8C60-25362F0809BA}">
  <dimension ref="A1:E93"/>
  <sheetViews>
    <sheetView topLeftCell="A75" zoomScale="85" zoomScaleNormal="85" workbookViewId="0">
      <selection activeCell="B87" sqref="B87"/>
    </sheetView>
  </sheetViews>
  <sheetFormatPr defaultRowHeight="30" x14ac:dyDescent="0.3"/>
  <cols>
    <col min="1" max="1" width="9" style="7"/>
    <col min="2" max="2" width="8.375" style="19" customWidth="1"/>
    <col min="3" max="3" width="64" style="7" hidden="1" customWidth="1"/>
    <col min="4" max="4" width="59.5" style="7" customWidth="1"/>
    <col min="5" max="5" width="181.375" style="7" customWidth="1"/>
    <col min="6" max="16384" width="9" style="7"/>
  </cols>
  <sheetData>
    <row r="1" spans="1:5" ht="30.75" thickBot="1" x14ac:dyDescent="0.35">
      <c r="B1" s="19" t="s">
        <v>1167</v>
      </c>
    </row>
    <row r="2" spans="1:5" ht="35.1" customHeight="1" thickBot="1" x14ac:dyDescent="0.35">
      <c r="A2" s="51"/>
      <c r="B2" s="26" t="str">
        <f>IF(EXACT(SUBSTITUTE(C2," ",""),SUBSTITUTE(D2," ","")),"O","X")</f>
        <v>X</v>
      </c>
      <c r="C2" s="6" t="s">
        <v>580</v>
      </c>
      <c r="D2" s="5"/>
      <c r="E2" s="5" t="s">
        <v>705</v>
      </c>
    </row>
    <row r="3" spans="1:5" ht="35.1" customHeight="1" thickBot="1" x14ac:dyDescent="0.35">
      <c r="B3" s="26" t="str">
        <f t="shared" ref="B3:B66" si="0">IF(EXACT(SUBSTITUTE(C3," ",""),SUBSTITUTE(D3," ","")),"O","X")</f>
        <v>O</v>
      </c>
      <c r="C3" s="6" t="s">
        <v>581</v>
      </c>
      <c r="D3" s="5" t="s">
        <v>719</v>
      </c>
      <c r="E3" s="11" t="s">
        <v>704</v>
      </c>
    </row>
    <row r="4" spans="1:5" ht="35.1" customHeight="1" thickBot="1" x14ac:dyDescent="0.35">
      <c r="B4" s="26" t="str">
        <f t="shared" si="0"/>
        <v>O</v>
      </c>
      <c r="C4" s="18" t="s">
        <v>583</v>
      </c>
      <c r="D4" s="11" t="s">
        <v>721</v>
      </c>
      <c r="E4" s="11" t="s">
        <v>706</v>
      </c>
    </row>
    <row r="5" spans="1:5" ht="35.1" customHeight="1" thickBot="1" x14ac:dyDescent="0.35">
      <c r="B5" s="26" t="str">
        <f t="shared" si="0"/>
        <v>O</v>
      </c>
      <c r="C5" s="18" t="s">
        <v>584</v>
      </c>
      <c r="D5" s="11" t="s">
        <v>582</v>
      </c>
      <c r="E5" s="11" t="s">
        <v>707</v>
      </c>
    </row>
    <row r="6" spans="1:5" ht="35.1" customHeight="1" thickBot="1" x14ac:dyDescent="0.35">
      <c r="A6" s="51"/>
      <c r="B6" s="26" t="str">
        <f t="shared" si="0"/>
        <v>X</v>
      </c>
      <c r="C6" s="21" t="s">
        <v>586</v>
      </c>
      <c r="D6" s="13"/>
      <c r="E6" s="17" t="s">
        <v>585</v>
      </c>
    </row>
    <row r="7" spans="1:5" ht="35.1" customHeight="1" thickBot="1" x14ac:dyDescent="0.35">
      <c r="B7" s="26" t="str">
        <f t="shared" si="0"/>
        <v>O</v>
      </c>
      <c r="C7" s="18" t="s">
        <v>587</v>
      </c>
      <c r="D7" s="11" t="s">
        <v>722</v>
      </c>
      <c r="E7" s="11" t="s">
        <v>708</v>
      </c>
    </row>
    <row r="8" spans="1:5" ht="35.1" customHeight="1" thickBot="1" x14ac:dyDescent="0.35">
      <c r="B8" s="26" t="str">
        <f t="shared" si="0"/>
        <v>O</v>
      </c>
      <c r="C8" s="18" t="s">
        <v>588</v>
      </c>
      <c r="D8" s="11" t="s">
        <v>723</v>
      </c>
      <c r="E8" s="11" t="s">
        <v>687</v>
      </c>
    </row>
    <row r="9" spans="1:5" ht="35.1" customHeight="1" thickBot="1" x14ac:dyDescent="0.35">
      <c r="B9" s="26" t="str">
        <f>IF(EXACT(SUBSTITUTE(LOWER(C9)," ",""),SUBSTITUTE(LOWER(D9)," ","")),"O","X")</f>
        <v>O</v>
      </c>
      <c r="C9" s="18" t="s">
        <v>589</v>
      </c>
      <c r="D9" s="11" t="s">
        <v>1315</v>
      </c>
      <c r="E9" s="12" t="s">
        <v>709</v>
      </c>
    </row>
    <row r="10" spans="1:5" ht="35.1" customHeight="1" thickBot="1" x14ac:dyDescent="0.35">
      <c r="A10" s="51"/>
      <c r="B10" s="26" t="str">
        <f t="shared" si="0"/>
        <v>O</v>
      </c>
      <c r="C10" s="18" t="s">
        <v>590</v>
      </c>
      <c r="D10" s="11" t="s">
        <v>711</v>
      </c>
      <c r="E10" s="11" t="s">
        <v>710</v>
      </c>
    </row>
    <row r="11" spans="1:5" ht="35.1" customHeight="1" thickBot="1" x14ac:dyDescent="0.35">
      <c r="B11" s="26" t="str">
        <f t="shared" si="0"/>
        <v>O</v>
      </c>
      <c r="C11" s="22" t="s">
        <v>592</v>
      </c>
      <c r="D11" s="16" t="s">
        <v>1323</v>
      </c>
      <c r="E11" s="11" t="s">
        <v>591</v>
      </c>
    </row>
    <row r="12" spans="1:5" ht="35.1" customHeight="1" thickBot="1" x14ac:dyDescent="0.35">
      <c r="A12" s="51"/>
      <c r="B12" s="26"/>
      <c r="C12" s="18" t="s">
        <v>686</v>
      </c>
      <c r="D12" s="11"/>
      <c r="E12" s="11" t="s">
        <v>685</v>
      </c>
    </row>
    <row r="13" spans="1:5" ht="35.1" customHeight="1" thickBot="1" x14ac:dyDescent="0.35">
      <c r="B13" s="26" t="str">
        <f>IF(OR(ISNUMBER(SEARCH("짝프로그래밍",SUBSTITUTE(D13," ",""))),ISNUMBER(SEARCH("PairProgramming",SUBSTITUTE(D13," ","")))),"O","X")</f>
        <v>O</v>
      </c>
      <c r="C13" s="23" t="s">
        <v>593</v>
      </c>
      <c r="D13" s="11" t="s">
        <v>724</v>
      </c>
      <c r="E13" s="12" t="s">
        <v>605</v>
      </c>
    </row>
    <row r="14" spans="1:5" ht="35.1" customHeight="1" thickBot="1" x14ac:dyDescent="0.35">
      <c r="A14" s="51"/>
      <c r="B14" s="26" t="str">
        <f>IF(OR(ISNUMBER(SEARCH("CollectiveOwnership",SUBSTITUTE(D14," ",""))),ISNUMBER(SEARCH("공동코드소유",SUBSTITUTE(D14," ","")))),"O","X")</f>
        <v>O</v>
      </c>
      <c r="C14" s="24" t="s">
        <v>594</v>
      </c>
      <c r="D14" s="18" t="s">
        <v>756</v>
      </c>
      <c r="E14" s="12" t="s">
        <v>604</v>
      </c>
    </row>
    <row r="15" spans="1:5" ht="35.1" customHeight="1" thickBot="1" x14ac:dyDescent="0.35">
      <c r="B15" s="26" t="str">
        <f>IF(OR(ISNUMBER(SEARCH("테스트주도개발",SUBSTITUTE(D15," ",""))),ISNUMBER(SEARCH("testDrivenDevlpment",SUBSTITUTE(D15," ","")))),"O","X")</f>
        <v>O</v>
      </c>
      <c r="C15" s="25" t="s">
        <v>727</v>
      </c>
      <c r="D15" s="15" t="s">
        <v>725</v>
      </c>
      <c r="E15" s="12" t="s">
        <v>603</v>
      </c>
    </row>
    <row r="16" spans="1:5" ht="35.1" customHeight="1" thickBot="1" x14ac:dyDescent="0.35">
      <c r="A16" s="51"/>
      <c r="B16" s="26" t="str">
        <f>IF(OR(ISNUMBER(SEARCH("전체팀",SUBSTITUTE(D16," ",""))),ISNUMBER(SEARCH("WholeTeam",SUBSTITUTE(D16," ","")))),"O","X")</f>
        <v>O</v>
      </c>
      <c r="C16" s="18" t="s">
        <v>595</v>
      </c>
      <c r="D16" s="11" t="s">
        <v>726</v>
      </c>
      <c r="E16" s="11" t="s">
        <v>602</v>
      </c>
    </row>
    <row r="17" spans="1:5" ht="35.1" customHeight="1" thickBot="1" x14ac:dyDescent="0.35">
      <c r="B17" s="26" t="str">
        <f>IF(OR(ISNUMBER(SEARCH("계속적인통합",SUBSTITUTE(D17," ",""))),ISNUMBER(SEARCH("ContinuousIntegraion",SUBSTITUTE(D17," ","")))),"O","X")</f>
        <v>O</v>
      </c>
      <c r="C17" s="21" t="s">
        <v>596</v>
      </c>
      <c r="D17" s="13" t="s">
        <v>754</v>
      </c>
      <c r="E17" s="11" t="s">
        <v>601</v>
      </c>
    </row>
    <row r="18" spans="1:5" ht="35.1" customHeight="1" thickBot="1" x14ac:dyDescent="0.35">
      <c r="B18" s="26" t="str">
        <f>IF(OR(ISNUMBER(SEARCH("리팩토링",SUBSTITUTE(D18," ",""))),ISNUMBER(SEARCH("Refactoring",SUBSTITUTE(D18," ","")))),"O","X")</f>
        <v>O</v>
      </c>
      <c r="C18" s="18" t="s">
        <v>597</v>
      </c>
      <c r="D18" s="11" t="s">
        <v>728</v>
      </c>
      <c r="E18" s="11" t="s">
        <v>600</v>
      </c>
    </row>
    <row r="19" spans="1:5" ht="35.1" customHeight="1" thickBot="1" x14ac:dyDescent="0.35">
      <c r="A19" s="51"/>
      <c r="B19" s="26" t="str">
        <f>IF(OR(ISNUMBER(SEARCH("소규모릴리즈",SUBSTITUTE(D19," ",""))),ISNUMBER(SEARCH("SmallReleases",SUBSTITUTE(D19," ","")))),"O","X")</f>
        <v>O</v>
      </c>
      <c r="C19" s="18" t="s">
        <v>598</v>
      </c>
      <c r="D19" s="11" t="s">
        <v>757</v>
      </c>
      <c r="E19" s="12" t="s">
        <v>599</v>
      </c>
    </row>
    <row r="20" spans="1:5" ht="35.1" customHeight="1" thickBot="1" x14ac:dyDescent="0.35">
      <c r="B20" s="26" t="str">
        <f t="shared" si="0"/>
        <v>O</v>
      </c>
      <c r="C20" s="18" t="s">
        <v>606</v>
      </c>
      <c r="D20" s="11" t="s">
        <v>729</v>
      </c>
      <c r="E20" s="11" t="s">
        <v>607</v>
      </c>
    </row>
    <row r="21" spans="1:5" ht="35.1" customHeight="1" thickBot="1" x14ac:dyDescent="0.35">
      <c r="A21" s="51"/>
      <c r="B21" s="26" t="str">
        <f>IF(AND(ISNUMBER(SEARCH("기능",SUBSTITUTE(D21," ",""))),ISNUMBER(SEARCH("비기능",SUBSTITUTE(D21," ",""))),ISNUMBER(SEARCH("사용자",SUBSTITUTE(D21," ",""))),ISNUMBER(SEARCH("시스템",SUBSTITUTE(D21," ","")))),"O","X")</f>
        <v>O</v>
      </c>
      <c r="C21" s="18" t="s">
        <v>609</v>
      </c>
      <c r="D21" s="11" t="s">
        <v>1326</v>
      </c>
      <c r="E21" s="11" t="s">
        <v>608</v>
      </c>
    </row>
    <row r="22" spans="1:5" ht="35.1" customHeight="1" thickBot="1" x14ac:dyDescent="0.35">
      <c r="B22" s="26" t="str">
        <f t="shared" si="0"/>
        <v>O</v>
      </c>
      <c r="C22" s="18" t="s">
        <v>610</v>
      </c>
      <c r="D22" s="11" t="s">
        <v>730</v>
      </c>
      <c r="E22" s="11" t="s">
        <v>615</v>
      </c>
    </row>
    <row r="23" spans="1:5" ht="35.1" customHeight="1" thickBot="1" x14ac:dyDescent="0.35">
      <c r="B23" s="26" t="str">
        <f t="shared" si="0"/>
        <v>O</v>
      </c>
      <c r="C23" s="18" t="s">
        <v>611</v>
      </c>
      <c r="D23" s="11" t="s">
        <v>731</v>
      </c>
      <c r="E23" s="12" t="s">
        <v>688</v>
      </c>
    </row>
    <row r="24" spans="1:5" ht="35.1" customHeight="1" thickBot="1" x14ac:dyDescent="0.35">
      <c r="B24" s="26" t="str">
        <f t="shared" si="0"/>
        <v>O</v>
      </c>
      <c r="C24" s="18" t="s">
        <v>612</v>
      </c>
      <c r="D24" s="11" t="s">
        <v>732</v>
      </c>
      <c r="E24" s="11" t="s">
        <v>614</v>
      </c>
    </row>
    <row r="25" spans="1:5" ht="35.1" customHeight="1" thickBot="1" x14ac:dyDescent="0.35">
      <c r="B25" s="26" t="str">
        <f t="shared" si="0"/>
        <v>O</v>
      </c>
      <c r="C25" s="18" t="s">
        <v>613</v>
      </c>
      <c r="D25" s="11" t="s">
        <v>733</v>
      </c>
      <c r="E25" s="11" t="s">
        <v>689</v>
      </c>
    </row>
    <row r="26" spans="1:5" ht="35.1" customHeight="1" thickBot="1" x14ac:dyDescent="0.35">
      <c r="B26" s="26" t="str">
        <f t="shared" si="0"/>
        <v>O</v>
      </c>
      <c r="C26" s="18" t="s">
        <v>616</v>
      </c>
      <c r="D26" s="11" t="s">
        <v>734</v>
      </c>
      <c r="E26" s="12" t="s">
        <v>617</v>
      </c>
    </row>
    <row r="27" spans="1:5" ht="35.1" customHeight="1" thickBot="1" x14ac:dyDescent="0.35">
      <c r="A27" s="51"/>
      <c r="B27" s="26" t="str">
        <f>IF(AND(ISNUMBER(SEARCH("연관",SUBSTITUTE(D27," ",""))),ISNUMBER(SEARCH("집합",SUBSTITUTE(D27," ",""))),ISNUMBER(SEARCH("일반화",SUBSTITUTE(D27," ",""))),ISNUMBER(SEARCH("의존",SUBSTITUTE(D27," ",""))),ISNUMBER(SEARCH("실체화",SUBSTITUTE(D27," ",""))),ISNUMBER(SEARCH("포함",SUBSTITUTE(D27," ","")))),"O","X")</f>
        <v>O</v>
      </c>
      <c r="C27" s="18" t="s">
        <v>619</v>
      </c>
      <c r="D27" s="11" t="s">
        <v>735</v>
      </c>
      <c r="E27" s="11" t="s">
        <v>618</v>
      </c>
    </row>
    <row r="28" spans="1:5" ht="35.1" customHeight="1" thickBot="1" x14ac:dyDescent="0.35">
      <c r="B28" s="26" t="str">
        <f>IF(OR(ISNUMBER(SEARCH("연관",SUBSTITUTE(D28," ",""))),ISNUMBER(SEARCH("Association",SUBSTITUTE(D28," ","")))),"O","X")</f>
        <v>O</v>
      </c>
      <c r="C28" s="18" t="s">
        <v>620</v>
      </c>
      <c r="D28" s="11" t="s">
        <v>1316</v>
      </c>
      <c r="E28" s="11" t="s">
        <v>631</v>
      </c>
    </row>
    <row r="29" spans="1:5" ht="35.1" customHeight="1" thickBot="1" x14ac:dyDescent="0.35">
      <c r="B29" s="26" t="str">
        <f>IF(OR(ISNUMBER(SEARCH("집합",SUBSTITUTE(D29," ",""))),ISNUMBER(SEARCH("Aggregation",SUBSTITUTE(D29," ","")))),"O","X")</f>
        <v>O</v>
      </c>
      <c r="C29" s="18" t="s">
        <v>621</v>
      </c>
      <c r="D29" s="11" t="s">
        <v>1317</v>
      </c>
      <c r="E29" s="11" t="s">
        <v>630</v>
      </c>
    </row>
    <row r="30" spans="1:5" ht="35.1" customHeight="1" thickBot="1" x14ac:dyDescent="0.35">
      <c r="B30" s="26" t="str">
        <f>IF(OR(ISNUMBER(SEARCH("포함",SUBSTITUTE(D30," ",""))),ISNUMBER(SEARCH("Composition",SUBSTITUTE(D30," ","")))),"O","X")</f>
        <v>O</v>
      </c>
      <c r="C30" s="18" t="s">
        <v>622</v>
      </c>
      <c r="D30" s="11" t="s">
        <v>1318</v>
      </c>
      <c r="E30" s="11" t="s">
        <v>629</v>
      </c>
    </row>
    <row r="31" spans="1:5" ht="35.1" customHeight="1" thickBot="1" x14ac:dyDescent="0.35">
      <c r="B31" s="26" t="str">
        <f>IF(OR(ISNUMBER(SEARCH("일반화",SUBSTITUTE(D31," ",""))),ISNUMBER(SEARCH("Generalization",SUBSTITUTE(D31," ","")))),"O","X")</f>
        <v>O</v>
      </c>
      <c r="C31" s="18" t="s">
        <v>623</v>
      </c>
      <c r="D31" s="11" t="s">
        <v>1093</v>
      </c>
      <c r="E31" s="12" t="s">
        <v>628</v>
      </c>
    </row>
    <row r="32" spans="1:5" ht="35.1" customHeight="1" thickBot="1" x14ac:dyDescent="0.35">
      <c r="B32" s="26" t="str">
        <f>IF(OR(ISNUMBER(SEARCH("의존",SUBSTITUTE(D32," ",""))),ISNUMBER(SEARCH("Dependency",SUBSTITUTE(D32," ","")))),"O","X")</f>
        <v>O</v>
      </c>
      <c r="C32" s="18" t="s">
        <v>624</v>
      </c>
      <c r="D32" s="11" t="s">
        <v>1319</v>
      </c>
      <c r="E32" s="12" t="s">
        <v>627</v>
      </c>
    </row>
    <row r="33" spans="1:5" ht="35.1" customHeight="1" thickBot="1" x14ac:dyDescent="0.35">
      <c r="B33" s="26" t="str">
        <f>IF(OR(ISNUMBER(SEARCH("실체화",SUBSTITUTE(D33," ",""))),ISNUMBER(SEARCH("Realization",SUBSTITUTE(D33," ","")))),"O","X")</f>
        <v>O</v>
      </c>
      <c r="C33" s="18" t="s">
        <v>625</v>
      </c>
      <c r="D33" s="11" t="s">
        <v>1320</v>
      </c>
      <c r="E33" s="11" t="s">
        <v>626</v>
      </c>
    </row>
    <row r="34" spans="1:5" ht="35.1" customHeight="1" thickBot="1" x14ac:dyDescent="0.35">
      <c r="A34" s="51"/>
      <c r="B34" s="26" t="str">
        <f t="shared" si="0"/>
        <v>X</v>
      </c>
      <c r="C34" s="18" t="s">
        <v>632</v>
      </c>
      <c r="D34" s="11"/>
      <c r="E34" s="12" t="s">
        <v>633</v>
      </c>
    </row>
    <row r="35" spans="1:5" ht="35.1" customHeight="1" thickBot="1" x14ac:dyDescent="0.35">
      <c r="A35" s="51"/>
      <c r="B35" s="26" t="str">
        <f t="shared" si="0"/>
        <v>O</v>
      </c>
      <c r="C35" s="18" t="s">
        <v>634</v>
      </c>
      <c r="D35" s="11" t="s">
        <v>736</v>
      </c>
      <c r="E35" s="11" t="s">
        <v>635</v>
      </c>
    </row>
    <row r="36" spans="1:5" ht="35.1" customHeight="1" thickBot="1" x14ac:dyDescent="0.35">
      <c r="A36" s="51"/>
      <c r="B36" s="26" t="str">
        <f>IF(AND(ISNUMBER(SEARCH("클래스",SUBSTITUTE(D36," ",""))),ISNUMBER(SEARCH("관계",SUBSTITUTE(D36," ",""))),ISNUMBER(SEARCH("제약조건",SUBSTITUTE(D36," ","")))),"O","X")</f>
        <v>O</v>
      </c>
      <c r="C36" s="6" t="s">
        <v>636</v>
      </c>
      <c r="D36" s="5" t="s">
        <v>1327</v>
      </c>
      <c r="E36" s="11" t="s">
        <v>755</v>
      </c>
    </row>
    <row r="37" spans="1:5" ht="35.1" customHeight="1" thickBot="1" x14ac:dyDescent="0.35">
      <c r="B37" s="26" t="str">
        <f t="shared" si="0"/>
        <v>O</v>
      </c>
      <c r="C37" s="18" t="s">
        <v>637</v>
      </c>
      <c r="D37" s="11" t="s">
        <v>737</v>
      </c>
      <c r="E37" s="12" t="s">
        <v>638</v>
      </c>
    </row>
    <row r="38" spans="1:5" ht="35.1" customHeight="1" thickBot="1" x14ac:dyDescent="0.35">
      <c r="A38" s="51"/>
      <c r="B38" s="26" t="str">
        <f t="shared" si="0"/>
        <v>O</v>
      </c>
      <c r="C38" s="18" t="s">
        <v>639</v>
      </c>
      <c r="D38" s="11" t="s">
        <v>738</v>
      </c>
      <c r="E38" s="11" t="s">
        <v>692</v>
      </c>
    </row>
    <row r="39" spans="1:5" ht="35.1" customHeight="1" thickBot="1" x14ac:dyDescent="0.35">
      <c r="A39" s="51"/>
      <c r="B39" s="26" t="str">
        <f>IF(AND(ISNUMBER(SEARCH("패키지",SUBSTITUTE(D39," ",""))),ISNUMBER(SEARCH("객체",SUBSTITUTE(D39," ",""))),ISNUMBER(SEARCH("의존관계",SUBSTITUTE(D39," ","")))),"O","X")</f>
        <v>X</v>
      </c>
      <c r="C39" s="18" t="s">
        <v>641</v>
      </c>
      <c r="D39" s="11"/>
      <c r="E39" s="11" t="s">
        <v>640</v>
      </c>
    </row>
    <row r="40" spans="1:5" ht="35.1" customHeight="1" thickBot="1" x14ac:dyDescent="0.35">
      <c r="A40" s="51"/>
      <c r="B40" s="26" t="str">
        <f>IF(AND(ISNUMBER(SEARCH("cocomo",SUBSTITUTE(D40," ",""))),ISNUMBER(SEARCH("putnam",SUBSTITUTE(D40," ",""))),ISNUMBER(SEARCH("fp",SUBSTITUTE(D40," ","")))),"O","X")</f>
        <v>O</v>
      </c>
      <c r="C40" s="21" t="s">
        <v>684</v>
      </c>
      <c r="D40" s="13" t="s">
        <v>1328</v>
      </c>
      <c r="E40" s="11" t="s">
        <v>642</v>
      </c>
    </row>
    <row r="41" spans="1:5" ht="35.1" customHeight="1" thickBot="1" x14ac:dyDescent="0.35">
      <c r="A41" s="51"/>
      <c r="B41" s="26" t="str">
        <f t="shared" si="0"/>
        <v>O</v>
      </c>
      <c r="C41" s="18" t="s">
        <v>643</v>
      </c>
      <c r="D41" s="11" t="s">
        <v>739</v>
      </c>
      <c r="E41" s="11" t="s">
        <v>712</v>
      </c>
    </row>
    <row r="42" spans="1:5" ht="35.1" customHeight="1" thickBot="1" x14ac:dyDescent="0.35">
      <c r="A42" s="51"/>
      <c r="B42" s="26" t="str">
        <f t="shared" si="0"/>
        <v>O</v>
      </c>
      <c r="C42" s="6" t="s">
        <v>690</v>
      </c>
      <c r="D42" s="5" t="s">
        <v>690</v>
      </c>
      <c r="E42" s="11" t="s">
        <v>644</v>
      </c>
    </row>
    <row r="43" spans="1:5" ht="35.1" customHeight="1" thickBot="1" x14ac:dyDescent="0.35">
      <c r="A43" s="51"/>
      <c r="B43" s="26" t="str">
        <f t="shared" si="0"/>
        <v>O</v>
      </c>
      <c r="C43" s="18" t="s">
        <v>645</v>
      </c>
      <c r="D43" s="11" t="s">
        <v>1329</v>
      </c>
      <c r="E43" s="11" t="s">
        <v>650</v>
      </c>
    </row>
    <row r="44" spans="1:5" ht="35.1" customHeight="1" thickBot="1" x14ac:dyDescent="0.35">
      <c r="B44" s="26" t="str">
        <f t="shared" si="0"/>
        <v>O</v>
      </c>
      <c r="C44" s="18" t="s">
        <v>646</v>
      </c>
      <c r="D44" s="11" t="s">
        <v>740</v>
      </c>
      <c r="E44" s="12" t="s">
        <v>649</v>
      </c>
    </row>
    <row r="45" spans="1:5" ht="35.1" customHeight="1" thickBot="1" x14ac:dyDescent="0.35">
      <c r="B45" s="26" t="str">
        <f t="shared" si="0"/>
        <v>O</v>
      </c>
      <c r="C45" s="18" t="s">
        <v>647</v>
      </c>
      <c r="D45" s="11" t="s">
        <v>741</v>
      </c>
      <c r="E45" s="11" t="s">
        <v>648</v>
      </c>
    </row>
    <row r="46" spans="1:5" ht="35.1" customHeight="1" thickBot="1" x14ac:dyDescent="0.35">
      <c r="A46" s="51"/>
      <c r="B46" s="26" t="str">
        <f>IF(AND(ISNUMBER(SEARCH("기본형",SUBSTITUTE(D46," ",""))),ISNUMBER(SEARCH("중간형",SUBSTITUTE(D46," ",""))),ISNUMBER(SEARCH("발전형",SUBSTITUTE(D46," ","")))),"O","X")</f>
        <v>O</v>
      </c>
      <c r="C46" s="6" t="s">
        <v>652</v>
      </c>
      <c r="D46" s="5" t="s">
        <v>652</v>
      </c>
      <c r="E46" s="11" t="s">
        <v>651</v>
      </c>
    </row>
    <row r="47" spans="1:5" ht="35.1" customHeight="1" thickBot="1" x14ac:dyDescent="0.35">
      <c r="B47" s="26" t="str">
        <f>IF(ISNUMBER(SEARCH("기본형",SUBSTITUTE(D47," ",""))),"O","X")</f>
        <v>O</v>
      </c>
      <c r="C47" s="18" t="s">
        <v>653</v>
      </c>
      <c r="D47" s="11" t="s">
        <v>1322</v>
      </c>
      <c r="E47" s="11" t="s">
        <v>656</v>
      </c>
    </row>
    <row r="48" spans="1:5" ht="35.1" customHeight="1" thickBot="1" x14ac:dyDescent="0.35">
      <c r="B48" s="26" t="str">
        <f>IF(ISNUMBER(SEARCH("중간형",SUBSTITUTE(D48," ",""))),"O","X")</f>
        <v>O</v>
      </c>
      <c r="C48" s="18" t="s">
        <v>654</v>
      </c>
      <c r="D48" s="11" t="s">
        <v>742</v>
      </c>
      <c r="E48" s="12" t="s">
        <v>691</v>
      </c>
    </row>
    <row r="49" spans="1:5" ht="35.1" customHeight="1" thickBot="1" x14ac:dyDescent="0.35">
      <c r="B49" s="26" t="str">
        <f>IF(ISNUMBER(SEARCH("발전형",SUBSTITUTE(D49," ",""))),"O","X")</f>
        <v>O</v>
      </c>
      <c r="C49" s="18" t="s">
        <v>655</v>
      </c>
      <c r="D49" s="11" t="s">
        <v>743</v>
      </c>
      <c r="E49" s="11" t="s">
        <v>657</v>
      </c>
    </row>
    <row r="50" spans="1:5" ht="35.1" customHeight="1" thickBot="1" x14ac:dyDescent="0.35">
      <c r="A50" s="51"/>
      <c r="B50" s="26" t="str">
        <f t="shared" si="0"/>
        <v>O</v>
      </c>
      <c r="C50" s="18" t="s">
        <v>658</v>
      </c>
      <c r="D50" s="11" t="s">
        <v>744</v>
      </c>
      <c r="E50" s="12" t="s">
        <v>659</v>
      </c>
    </row>
    <row r="51" spans="1:5" ht="35.1" customHeight="1" thickBot="1" x14ac:dyDescent="0.35">
      <c r="B51" s="26" t="str">
        <f>IF(OR(ISNUMBER(SEARCH("기능점수",SUBSTITUTE(D51," ",""))),ISNUMBER(SEARCH("FP",SUBSTITUTE(D51," ","")))),"O","X")</f>
        <v>O</v>
      </c>
      <c r="C51" s="18" t="s">
        <v>660</v>
      </c>
      <c r="D51" s="11" t="s">
        <v>1321</v>
      </c>
      <c r="E51" s="11" t="s">
        <v>713</v>
      </c>
    </row>
    <row r="52" spans="1:5" ht="35.1" customHeight="1" thickBot="1" x14ac:dyDescent="0.35">
      <c r="A52" s="51"/>
      <c r="B52" s="26" t="str">
        <f t="shared" si="0"/>
        <v>O</v>
      </c>
      <c r="C52" s="18" t="s">
        <v>661</v>
      </c>
      <c r="D52" s="11" t="s">
        <v>745</v>
      </c>
      <c r="E52" s="12" t="s">
        <v>715</v>
      </c>
    </row>
    <row r="53" spans="1:5" ht="35.1" customHeight="1" thickBot="1" x14ac:dyDescent="0.35">
      <c r="A53" s="51"/>
      <c r="B53" s="26" t="str">
        <f t="shared" si="0"/>
        <v>O</v>
      </c>
      <c r="C53" s="18" t="s">
        <v>662</v>
      </c>
      <c r="D53" s="11" t="s">
        <v>746</v>
      </c>
      <c r="E53" s="11" t="s">
        <v>714</v>
      </c>
    </row>
    <row r="54" spans="1:5" ht="35.1" customHeight="1" thickBot="1" x14ac:dyDescent="0.35">
      <c r="A54" s="51"/>
      <c r="B54" s="26" t="str">
        <f t="shared" si="0"/>
        <v>X</v>
      </c>
      <c r="C54" s="18" t="s">
        <v>663</v>
      </c>
      <c r="D54" s="11"/>
      <c r="E54" s="11" t="s">
        <v>716</v>
      </c>
    </row>
    <row r="55" spans="1:5" ht="35.1" customHeight="1" thickBot="1" x14ac:dyDescent="0.35">
      <c r="A55" s="51"/>
      <c r="B55" s="26" t="str">
        <f t="shared" si="0"/>
        <v>X</v>
      </c>
      <c r="C55" s="18" t="s">
        <v>664</v>
      </c>
      <c r="D55" s="11"/>
      <c r="E55" s="11" t="s">
        <v>717</v>
      </c>
    </row>
    <row r="56" spans="1:5" ht="35.1" customHeight="1" thickBot="1" x14ac:dyDescent="0.35">
      <c r="A56" s="51"/>
      <c r="B56" s="26" t="str">
        <f t="shared" si="0"/>
        <v>X</v>
      </c>
      <c r="C56" s="18" t="s">
        <v>665</v>
      </c>
      <c r="D56" s="11"/>
      <c r="E56" s="12" t="s">
        <v>666</v>
      </c>
    </row>
    <row r="57" spans="1:5" ht="35.1" customHeight="1" thickBot="1" x14ac:dyDescent="0.35">
      <c r="A57" s="51"/>
      <c r="B57" s="26" t="str">
        <f t="shared" si="0"/>
        <v>X</v>
      </c>
      <c r="C57" s="6" t="s">
        <v>668</v>
      </c>
      <c r="D57" s="5"/>
      <c r="E57" s="11" t="s">
        <v>667</v>
      </c>
    </row>
    <row r="58" spans="1:5" ht="35.1" customHeight="1" thickBot="1" x14ac:dyDescent="0.35">
      <c r="A58" s="51"/>
      <c r="B58" s="26" t="str">
        <f t="shared" si="0"/>
        <v>X</v>
      </c>
      <c r="C58" s="18" t="s">
        <v>1324</v>
      </c>
      <c r="D58" s="11"/>
      <c r="E58" s="12" t="s">
        <v>1325</v>
      </c>
    </row>
    <row r="59" spans="1:5" ht="35.1" customHeight="1" thickBot="1" x14ac:dyDescent="0.35">
      <c r="A59" s="51"/>
      <c r="B59" s="26" t="str">
        <f t="shared" si="0"/>
        <v>X</v>
      </c>
      <c r="C59" s="6" t="s">
        <v>670</v>
      </c>
      <c r="D59" s="5"/>
      <c r="E59" s="11" t="s">
        <v>669</v>
      </c>
    </row>
    <row r="60" spans="1:5" ht="35.1" customHeight="1" thickBot="1" x14ac:dyDescent="0.35">
      <c r="A60" s="51"/>
      <c r="B60" s="26" t="str">
        <f t="shared" si="0"/>
        <v>X</v>
      </c>
      <c r="C60" s="18" t="s">
        <v>671</v>
      </c>
      <c r="D60" s="11"/>
      <c r="E60" s="12" t="s">
        <v>693</v>
      </c>
    </row>
    <row r="61" spans="1:5" ht="35.1" customHeight="1" thickBot="1" x14ac:dyDescent="0.35">
      <c r="A61" s="51"/>
      <c r="B61" s="26" t="str">
        <f>IF(AND(ISNUMBER(SEARCH("고객-공급자",SUBSTITUTE(D61," ",""))),ISNUMBER(SEARCH("공학",SUBSTITUTE(D61," ",""))),ISNUMBER(SEARCH("지원",SUBSTITUTE(D61," ",""))),ISNUMBER(SEARCH("관리",SUBSTITUTE(D61," ",""))),ISNUMBER(SEARCH("조직",SUBSTITUTE(D61," ","")))),"O","X")</f>
        <v>X</v>
      </c>
      <c r="C61" s="6" t="s">
        <v>672</v>
      </c>
      <c r="D61" s="5"/>
      <c r="E61" s="11" t="s">
        <v>718</v>
      </c>
    </row>
    <row r="62" spans="1:5" ht="35.1" customHeight="1" thickBot="1" x14ac:dyDescent="0.35">
      <c r="A62" s="51"/>
      <c r="B62" s="26" t="str">
        <f t="shared" si="0"/>
        <v>X</v>
      </c>
      <c r="C62" s="18" t="s">
        <v>680</v>
      </c>
      <c r="D62" s="11"/>
      <c r="E62" s="12" t="s">
        <v>694</v>
      </c>
    </row>
    <row r="63" spans="1:5" ht="35.1" customHeight="1" thickBot="1" x14ac:dyDescent="0.35">
      <c r="A63" s="51"/>
      <c r="B63" s="26" t="str">
        <f t="shared" si="0"/>
        <v>X</v>
      </c>
      <c r="C63" s="18" t="s">
        <v>681</v>
      </c>
      <c r="D63" s="11"/>
      <c r="E63" s="12" t="s">
        <v>695</v>
      </c>
    </row>
    <row r="64" spans="1:5" ht="35.1" customHeight="1" thickBot="1" x14ac:dyDescent="0.35">
      <c r="A64" s="51"/>
      <c r="B64" s="26" t="str">
        <f t="shared" si="0"/>
        <v>X</v>
      </c>
      <c r="C64" s="18" t="s">
        <v>720</v>
      </c>
      <c r="D64" s="11"/>
      <c r="E64" s="11" t="s">
        <v>696</v>
      </c>
    </row>
    <row r="65" spans="1:5" ht="35.1" customHeight="1" thickBot="1" x14ac:dyDescent="0.35">
      <c r="A65" s="51"/>
      <c r="B65" s="26" t="str">
        <f t="shared" si="0"/>
        <v>X</v>
      </c>
      <c r="C65" s="18" t="s">
        <v>682</v>
      </c>
      <c r="D65" s="11"/>
      <c r="E65" s="12" t="s">
        <v>697</v>
      </c>
    </row>
    <row r="66" spans="1:5" ht="35.1" customHeight="1" thickBot="1" x14ac:dyDescent="0.35">
      <c r="A66" s="51"/>
      <c r="B66" s="26" t="str">
        <f t="shared" si="0"/>
        <v>X</v>
      </c>
      <c r="C66" s="18" t="s">
        <v>683</v>
      </c>
      <c r="D66" s="11"/>
      <c r="E66" s="11" t="s">
        <v>698</v>
      </c>
    </row>
    <row r="67" spans="1:5" ht="35.1" customHeight="1" thickBot="1" x14ac:dyDescent="0.35">
      <c r="A67" s="51"/>
      <c r="B67" s="26" t="str">
        <f>IF(EXACT(SUBSTITUTE(C67," ",""),SUBSTITUTE(D67," ","")),"O","X")</f>
        <v>O</v>
      </c>
      <c r="C67" s="6" t="s">
        <v>673</v>
      </c>
      <c r="D67" s="5" t="s">
        <v>1332</v>
      </c>
      <c r="E67" s="11" t="s">
        <v>699</v>
      </c>
    </row>
    <row r="68" spans="1:5" ht="35.1" customHeight="1" thickBot="1" x14ac:dyDescent="0.35">
      <c r="A68" s="51"/>
      <c r="B68" s="26" t="str">
        <f>IF(ISNUMBER(SEARCH("불완전",SUBSTITUTE(D68," ",""))),"O","X")</f>
        <v>O</v>
      </c>
      <c r="C68" s="18" t="s">
        <v>679</v>
      </c>
      <c r="D68" s="11" t="s">
        <v>749</v>
      </c>
      <c r="E68" s="11" t="s">
        <v>700</v>
      </c>
    </row>
    <row r="69" spans="1:5" ht="35.1" customHeight="1" thickBot="1" x14ac:dyDescent="0.35">
      <c r="A69" s="51"/>
      <c r="B69" s="26" t="str">
        <f>IF(ISNUMBER(SEARCH("수행",SUBSTITUTE(D69," ",""))),"O","X")</f>
        <v>O</v>
      </c>
      <c r="C69" s="18" t="s">
        <v>678</v>
      </c>
      <c r="D69" s="11" t="s">
        <v>751</v>
      </c>
      <c r="E69" s="11" t="s">
        <v>750</v>
      </c>
    </row>
    <row r="70" spans="1:5" ht="35.1" customHeight="1" thickBot="1" x14ac:dyDescent="0.35">
      <c r="A70" s="51"/>
      <c r="B70" s="26" t="str">
        <f>IF(ISNUMBER(SEARCH("관리",SUBSTITUTE(D70," ",""))),"O","X")</f>
        <v>X</v>
      </c>
      <c r="C70" s="18" t="s">
        <v>677</v>
      </c>
      <c r="D70" s="11"/>
      <c r="E70" s="11" t="s">
        <v>701</v>
      </c>
    </row>
    <row r="71" spans="1:5" ht="35.1" customHeight="1" thickBot="1" x14ac:dyDescent="0.35">
      <c r="A71" s="51"/>
      <c r="B71" s="26" t="str">
        <f>IF(ISNUMBER(SEARCH("확립",SUBSTITUTE(D71," ",""))),"O","X")</f>
        <v>O</v>
      </c>
      <c r="C71" s="18" t="s">
        <v>676</v>
      </c>
      <c r="D71" s="11" t="s">
        <v>752</v>
      </c>
      <c r="E71" s="11" t="s">
        <v>702</v>
      </c>
    </row>
    <row r="72" spans="1:5" ht="35.1" customHeight="1" thickBot="1" x14ac:dyDescent="0.35">
      <c r="A72" s="51"/>
      <c r="B72" s="26" t="str">
        <f>IF(ISNUMBER(SEARCH("예측",SUBSTITUTE(D72," ",""))),"O","X")</f>
        <v>O</v>
      </c>
      <c r="C72" s="18" t="s">
        <v>675</v>
      </c>
      <c r="D72" s="11" t="s">
        <v>753</v>
      </c>
      <c r="E72" s="12" t="s">
        <v>748</v>
      </c>
    </row>
    <row r="73" spans="1:5" ht="35.1" customHeight="1" thickBot="1" x14ac:dyDescent="0.35">
      <c r="A73" s="51"/>
      <c r="B73" s="26" t="str">
        <f>IF(ISNUMBER(SEARCH("최적화",SUBSTITUTE(D73," ",""))),"O","X")</f>
        <v>O</v>
      </c>
      <c r="C73" s="18" t="s">
        <v>674</v>
      </c>
      <c r="D73" s="11" t="s">
        <v>747</v>
      </c>
      <c r="E73" s="11" t="s">
        <v>703</v>
      </c>
    </row>
    <row r="74" spans="1:5" x14ac:dyDescent="0.3">
      <c r="B74" s="20"/>
      <c r="C74" s="9"/>
      <c r="D74" s="9"/>
      <c r="E74" s="9"/>
    </row>
    <row r="75" spans="1:5" x14ac:dyDescent="0.3">
      <c r="B75" s="20"/>
      <c r="C75" s="9"/>
      <c r="D75" s="9"/>
      <c r="E75" s="9"/>
    </row>
    <row r="76" spans="1:5" x14ac:dyDescent="0.3">
      <c r="B76" s="20"/>
      <c r="C76" s="9"/>
      <c r="D76" s="9"/>
      <c r="E76" s="9"/>
    </row>
    <row r="77" spans="1:5" x14ac:dyDescent="0.3">
      <c r="B77" s="20"/>
      <c r="C77" s="9"/>
      <c r="D77" s="9"/>
      <c r="E77" s="9"/>
    </row>
    <row r="78" spans="1:5" x14ac:dyDescent="0.3">
      <c r="B78" s="20"/>
      <c r="C78" s="9"/>
      <c r="D78" s="9"/>
      <c r="E78" s="9"/>
    </row>
    <row r="79" spans="1:5" x14ac:dyDescent="0.3">
      <c r="B79" s="20"/>
      <c r="C79" s="9"/>
      <c r="D79" s="9"/>
      <c r="E79" s="9"/>
    </row>
    <row r="80" spans="1:5" x14ac:dyDescent="0.3">
      <c r="B80" s="20"/>
      <c r="C80" s="9"/>
      <c r="D80" s="9"/>
      <c r="E80" s="9"/>
    </row>
    <row r="81" spans="2:5" x14ac:dyDescent="0.3">
      <c r="B81" s="20"/>
      <c r="C81" s="9"/>
      <c r="D81" s="9"/>
      <c r="E81" s="9"/>
    </row>
    <row r="82" spans="2:5" x14ac:dyDescent="0.3">
      <c r="B82" s="20"/>
      <c r="C82" s="9"/>
      <c r="D82" s="9"/>
      <c r="E82" s="9"/>
    </row>
    <row r="83" spans="2:5" x14ac:dyDescent="0.3">
      <c r="B83" s="20"/>
      <c r="C83" s="9"/>
      <c r="D83" s="9"/>
      <c r="E83" s="9"/>
    </row>
    <row r="84" spans="2:5" x14ac:dyDescent="0.3">
      <c r="B84" s="20"/>
      <c r="C84" s="9"/>
      <c r="D84" s="9"/>
      <c r="E84" s="9"/>
    </row>
    <row r="85" spans="2:5" x14ac:dyDescent="0.3">
      <c r="B85" s="20"/>
      <c r="C85" s="9"/>
      <c r="D85" s="9"/>
      <c r="E85" s="9"/>
    </row>
    <row r="91" spans="2:5" x14ac:dyDescent="0.3">
      <c r="E91" s="7" t="s">
        <v>1330</v>
      </c>
    </row>
    <row r="92" spans="2:5" x14ac:dyDescent="0.3">
      <c r="E92" s="7" t="s">
        <v>1331</v>
      </c>
    </row>
    <row r="93" spans="2:5" x14ac:dyDescent="0.3">
      <c r="E93" s="7" t="s">
        <v>1333</v>
      </c>
    </row>
  </sheetData>
  <autoFilter ref="B1:B73" xr:uid="{F17EECA0-5949-4381-8C60-25362F0809BA}"/>
  <phoneticPr fontId="3" type="noConversion"/>
  <conditionalFormatting sqref="B1:B1048576">
    <cfRule type="containsText" dxfId="140" priority="1" operator="containsText" text="X">
      <formula>NOT(ISERROR(SEARCH("X",B1)))</formula>
    </cfRule>
  </conditionalFormatting>
  <pageMargins left="0.7" right="0.7" top="0.75" bottom="0.75" header="0.3" footer="0.3"/>
  <pageSetup paperSize="9" orientation="portrait" r:id="rId1"/>
  <ignoredErrors>
    <ignoredError sqref="B21 B36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96CE-4AFD-4478-9F0D-D6794A4586D3}">
  <dimension ref="A1:E212"/>
  <sheetViews>
    <sheetView topLeftCell="A205" zoomScale="85" zoomScaleNormal="85" workbookViewId="0">
      <selection activeCell="A214" sqref="A214"/>
    </sheetView>
  </sheetViews>
  <sheetFormatPr defaultRowHeight="30" x14ac:dyDescent="0.3"/>
  <cols>
    <col min="1" max="1" width="9" style="34"/>
    <col min="2" max="2" width="9" style="34" customWidth="1"/>
    <col min="3" max="3" width="56.875" style="8" hidden="1" customWidth="1"/>
    <col min="4" max="4" width="56.875" style="8" customWidth="1"/>
    <col min="5" max="5" width="203.75" style="34" customWidth="1"/>
    <col min="6" max="16384" width="9" style="34"/>
  </cols>
  <sheetData>
    <row r="1" spans="1:5" ht="30.75" thickBot="1" x14ac:dyDescent="0.35">
      <c r="B1" s="53" t="s">
        <v>1167</v>
      </c>
    </row>
    <row r="2" spans="1:5" ht="35.1" customHeight="1" thickBot="1" x14ac:dyDescent="0.35">
      <c r="B2" s="26" t="str">
        <f>IF(EXACT(SUBSTITUTE(LOWER(C2)," ",""),SUBSTITUTE(LOWER(D2)," ","")),"O","X")</f>
        <v>O</v>
      </c>
      <c r="C2" s="12" t="s">
        <v>856</v>
      </c>
      <c r="D2" s="12" t="s">
        <v>1417</v>
      </c>
      <c r="E2" s="39" t="s">
        <v>857</v>
      </c>
    </row>
    <row r="3" spans="1:5" ht="51" customHeight="1" thickBot="1" x14ac:dyDescent="0.35">
      <c r="A3" s="51"/>
      <c r="B3" s="26" t="str">
        <f t="shared" ref="B3:B66" si="0">IF(EXACT(SUBSTITUTE(LOWER(C3)," ",""),SUBSTITUTE(LOWER(D3)," ","")),"O","X")</f>
        <v>X</v>
      </c>
      <c r="C3" s="43" t="s">
        <v>858</v>
      </c>
      <c r="D3" s="43"/>
      <c r="E3" s="11" t="s">
        <v>1339</v>
      </c>
    </row>
    <row r="4" spans="1:5" ht="35.1" customHeight="1" thickBot="1" x14ac:dyDescent="0.35">
      <c r="B4" s="26" t="str">
        <f t="shared" si="0"/>
        <v>O</v>
      </c>
      <c r="C4" s="12" t="s">
        <v>859</v>
      </c>
      <c r="D4" s="12" t="s">
        <v>1418</v>
      </c>
      <c r="E4" s="11" t="s">
        <v>1338</v>
      </c>
    </row>
    <row r="5" spans="1:5" ht="35.1" customHeight="1" thickBot="1" x14ac:dyDescent="0.35">
      <c r="B5" s="26" t="str">
        <f>IF(AND(ISNUMBER(SEARCH("커널",SUBSTITUTE(D5," ",""))),ISNUMBER(SEARCH("쉘",SUBSTITUTE(D5," ",""))),ISNUMBER(SEARCH("유틸리티프로그램",SUBSTITUTE(D5," ","")))),"O","X")</f>
        <v>O</v>
      </c>
      <c r="C5" s="41" t="s">
        <v>860</v>
      </c>
      <c r="D5" s="45" t="s">
        <v>1419</v>
      </c>
      <c r="E5" s="11" t="s">
        <v>1384</v>
      </c>
    </row>
    <row r="6" spans="1:5" ht="35.1" customHeight="1" thickBot="1" x14ac:dyDescent="0.35">
      <c r="B6" s="26" t="str">
        <f>IF(ISNUMBER(SEARCH("커널",SUBSTITUTE(D6," ",""))),"O","X")</f>
        <v>O</v>
      </c>
      <c r="C6" s="12" t="s">
        <v>861</v>
      </c>
      <c r="D6" s="12" t="s">
        <v>1420</v>
      </c>
      <c r="E6" s="11" t="s">
        <v>1385</v>
      </c>
    </row>
    <row r="7" spans="1:5" ht="35.1" customHeight="1" thickBot="1" x14ac:dyDescent="0.35">
      <c r="B7" s="26" t="str">
        <f>IF(ISNUMBER(SEARCH("쉘",SUBSTITUTE(D7," ",""))),"O","X")</f>
        <v>O</v>
      </c>
      <c r="C7" s="12" t="s">
        <v>862</v>
      </c>
      <c r="D7" s="12" t="s">
        <v>1421</v>
      </c>
      <c r="E7" s="11" t="s">
        <v>1341</v>
      </c>
    </row>
    <row r="8" spans="1:5" ht="35.1" customHeight="1" thickBot="1" x14ac:dyDescent="0.35">
      <c r="B8" s="26" t="str">
        <f>IF(ISNUMBER(SEARCH("유틸리티프로그램",SUBSTITUTE(D8," ",""))),"O","X")</f>
        <v>O</v>
      </c>
      <c r="C8" s="12" t="s">
        <v>863</v>
      </c>
      <c r="D8" s="12" t="s">
        <v>1422</v>
      </c>
      <c r="E8" s="11" t="s">
        <v>1386</v>
      </c>
    </row>
    <row r="9" spans="1:5" ht="35.1" customHeight="1" thickBot="1" x14ac:dyDescent="0.35">
      <c r="B9" s="26" t="str">
        <f t="shared" si="0"/>
        <v>O</v>
      </c>
      <c r="C9" s="12" t="s">
        <v>864</v>
      </c>
      <c r="D9" s="12" t="s">
        <v>1423</v>
      </c>
      <c r="E9" s="11" t="s">
        <v>1387</v>
      </c>
    </row>
    <row r="10" spans="1:5" ht="35.1" customHeight="1" thickBot="1" x14ac:dyDescent="0.35">
      <c r="B10" s="26" t="str">
        <f t="shared" si="0"/>
        <v>O</v>
      </c>
      <c r="C10" s="12" t="s">
        <v>865</v>
      </c>
      <c r="D10" s="12" t="s">
        <v>1424</v>
      </c>
      <c r="E10" s="11" t="s">
        <v>1388</v>
      </c>
    </row>
    <row r="11" spans="1:5" ht="35.1" customHeight="1" thickBot="1" x14ac:dyDescent="0.35">
      <c r="B11" s="26" t="str">
        <f t="shared" si="0"/>
        <v>O</v>
      </c>
      <c r="C11" s="12" t="s">
        <v>866</v>
      </c>
      <c r="D11" s="12" t="s">
        <v>1425</v>
      </c>
      <c r="E11" s="11" t="s">
        <v>1389</v>
      </c>
    </row>
    <row r="12" spans="1:5" ht="35.1" customHeight="1" thickBot="1" x14ac:dyDescent="0.35">
      <c r="B12" s="26" t="str">
        <f t="shared" si="0"/>
        <v>O</v>
      </c>
      <c r="C12" s="12" t="s">
        <v>867</v>
      </c>
      <c r="D12" s="12" t="s">
        <v>1426</v>
      </c>
      <c r="E12" s="11" t="s">
        <v>868</v>
      </c>
    </row>
    <row r="13" spans="1:5" ht="35.1" customHeight="1" thickBot="1" x14ac:dyDescent="0.35">
      <c r="B13" s="26" t="str">
        <f>IF(AND(ISNUMBER(SEARCH("반입",SUBSTITUTE(D13," ",""))),ISNUMBER(SEARCH("배치",SUBSTITUTE(D13," ",""))),ISNUMBER(SEARCH("교체",SUBSTITUTE(D13," ","")))),"O","X")</f>
        <v>O</v>
      </c>
      <c r="C13" s="41" t="s">
        <v>869</v>
      </c>
      <c r="D13" s="45" t="s">
        <v>1427</v>
      </c>
      <c r="E13" s="11" t="s">
        <v>1390</v>
      </c>
    </row>
    <row r="14" spans="1:5" ht="35.1" customHeight="1" thickBot="1" x14ac:dyDescent="0.35">
      <c r="B14" s="26" t="str">
        <f t="shared" si="0"/>
        <v>O</v>
      </c>
      <c r="C14" s="12" t="s">
        <v>870</v>
      </c>
      <c r="D14" s="12" t="s">
        <v>1429</v>
      </c>
      <c r="E14" s="39" t="s">
        <v>1391</v>
      </c>
    </row>
    <row r="15" spans="1:5" ht="35.1" customHeight="1" thickBot="1" x14ac:dyDescent="0.35">
      <c r="A15" s="51"/>
      <c r="B15" s="26" t="str">
        <f>IF(AND(ISNUMBER(SEARCH("요구반입",SUBSTITUTE(D15," ",""))),ISNUMBER(SEARCH("예상반입",SUBSTITUTE(D15," ","")))),"O","X")</f>
        <v>O</v>
      </c>
      <c r="C15" s="12" t="s">
        <v>875</v>
      </c>
      <c r="D15" s="12" t="s">
        <v>1649</v>
      </c>
      <c r="E15" s="11" t="s">
        <v>874</v>
      </c>
    </row>
    <row r="16" spans="1:5" ht="35.1" customHeight="1" thickBot="1" x14ac:dyDescent="0.35">
      <c r="B16" s="26" t="str">
        <f t="shared" si="0"/>
        <v>O</v>
      </c>
      <c r="C16" s="12" t="s">
        <v>871</v>
      </c>
      <c r="D16" s="12" t="s">
        <v>1428</v>
      </c>
      <c r="E16" s="11" t="s">
        <v>873</v>
      </c>
    </row>
    <row r="17" spans="2:5" ht="35.1" customHeight="1" thickBot="1" x14ac:dyDescent="0.35">
      <c r="B17" s="26" t="str">
        <f>IF(AND(ISNUMBER(SEARCH("최초",SUBSTITUTE(D17," ",""))),ISNUMBER(SEARCH("최악",SUBSTITUTE(D17," ",""))),ISNUMBER(SEARCH("최적",SUBSTITUTE(D17," ","")))),"O","X")</f>
        <v>O</v>
      </c>
      <c r="C17" s="12" t="s">
        <v>876</v>
      </c>
      <c r="D17" s="12" t="s">
        <v>876</v>
      </c>
      <c r="E17" s="11" t="s">
        <v>877</v>
      </c>
    </row>
    <row r="18" spans="2:5" ht="35.1" customHeight="1" thickBot="1" x14ac:dyDescent="0.35">
      <c r="B18" s="26" t="str">
        <f t="shared" si="0"/>
        <v>O</v>
      </c>
      <c r="C18" s="12" t="s">
        <v>872</v>
      </c>
      <c r="D18" s="12" t="s">
        <v>1430</v>
      </c>
      <c r="E18" s="11" t="s">
        <v>1395</v>
      </c>
    </row>
    <row r="19" spans="2:5" ht="35.1" customHeight="1" thickBot="1" x14ac:dyDescent="0.35">
      <c r="B19" s="26" t="str">
        <f t="shared" si="0"/>
        <v>O</v>
      </c>
      <c r="C19" s="12" t="s">
        <v>878</v>
      </c>
      <c r="D19" s="12" t="s">
        <v>1431</v>
      </c>
      <c r="E19" s="39" t="s">
        <v>1394</v>
      </c>
    </row>
    <row r="20" spans="2:5" ht="35.1" customHeight="1" thickBot="1" x14ac:dyDescent="0.35">
      <c r="B20" s="26" t="str">
        <f>IF(ISNUMBER(SEARCH("페이징기법",SUBSTITUTE(D20," ",""))),"O","X")</f>
        <v>O</v>
      </c>
      <c r="C20" s="12" t="s">
        <v>879</v>
      </c>
      <c r="D20" s="12" t="s">
        <v>1432</v>
      </c>
      <c r="E20" s="11" t="s">
        <v>1393</v>
      </c>
    </row>
    <row r="21" spans="2:5" ht="35.1" customHeight="1" thickBot="1" x14ac:dyDescent="0.35">
      <c r="B21" s="26" t="str">
        <f>IF(ISNUMBER(SEARCH("페이지",SUBSTITUTE(D21," ",""))),"O","X")</f>
        <v>O</v>
      </c>
      <c r="C21" s="12" t="s">
        <v>880</v>
      </c>
      <c r="D21" s="12" t="s">
        <v>1433</v>
      </c>
      <c r="E21" s="39" t="s">
        <v>1392</v>
      </c>
    </row>
    <row r="22" spans="2:5" ht="35.1" customHeight="1" thickBot="1" x14ac:dyDescent="0.35">
      <c r="B22" s="26" t="str">
        <f>IF(ISNUMBER(SEARCH("페이지프레임",SUBSTITUTE(D22," ",""))),"O","X")</f>
        <v>O</v>
      </c>
      <c r="C22" s="12" t="s">
        <v>881</v>
      </c>
      <c r="D22" s="12" t="s">
        <v>1434</v>
      </c>
      <c r="E22" s="11" t="s">
        <v>1396</v>
      </c>
    </row>
    <row r="23" spans="2:5" ht="35.1" customHeight="1" thickBot="1" x14ac:dyDescent="0.35">
      <c r="B23" s="26" t="str">
        <f t="shared" si="0"/>
        <v>O</v>
      </c>
      <c r="C23" s="12" t="s">
        <v>882</v>
      </c>
      <c r="D23" s="12" t="s">
        <v>1435</v>
      </c>
      <c r="E23" s="11" t="s">
        <v>1397</v>
      </c>
    </row>
    <row r="24" spans="2:5" ht="35.1" customHeight="1" thickBot="1" x14ac:dyDescent="0.35">
      <c r="B24" s="26" t="str">
        <f t="shared" si="0"/>
        <v>O</v>
      </c>
      <c r="C24" s="12" t="s">
        <v>883</v>
      </c>
      <c r="D24" s="12" t="s">
        <v>1436</v>
      </c>
      <c r="E24" s="39" t="s">
        <v>1398</v>
      </c>
    </row>
    <row r="25" spans="2:5" ht="35.1" customHeight="1" thickBot="1" x14ac:dyDescent="0.35">
      <c r="B25" s="26" t="str">
        <f t="shared" si="0"/>
        <v>O</v>
      </c>
      <c r="C25" s="12" t="s">
        <v>884</v>
      </c>
      <c r="D25" s="12" t="s">
        <v>1437</v>
      </c>
      <c r="E25" s="11" t="s">
        <v>1399</v>
      </c>
    </row>
    <row r="26" spans="2:5" ht="35.1" customHeight="1" thickBot="1" x14ac:dyDescent="0.35">
      <c r="B26" s="26" t="str">
        <f>IF(ISNUMBER(SEARCH("OPT",SUBSTITUTE(D26," ",""))),"O","X")</f>
        <v>O</v>
      </c>
      <c r="C26" s="12" t="s">
        <v>885</v>
      </c>
      <c r="D26" s="12" t="s">
        <v>1438</v>
      </c>
      <c r="E26" s="39" t="s">
        <v>1400</v>
      </c>
    </row>
    <row r="27" spans="2:5" ht="35.1" customHeight="1" thickBot="1" x14ac:dyDescent="0.35">
      <c r="B27" s="26" t="str">
        <f t="shared" si="0"/>
        <v>O</v>
      </c>
      <c r="C27" s="41" t="s">
        <v>886</v>
      </c>
      <c r="D27" s="45" t="s">
        <v>886</v>
      </c>
      <c r="E27" s="11" t="s">
        <v>1334</v>
      </c>
    </row>
    <row r="28" spans="2:5" ht="35.1" customHeight="1" thickBot="1" x14ac:dyDescent="0.35">
      <c r="B28" s="26" t="str">
        <f t="shared" si="0"/>
        <v>O</v>
      </c>
      <c r="C28" s="41" t="s">
        <v>887</v>
      </c>
      <c r="D28" s="45" t="s">
        <v>887</v>
      </c>
      <c r="E28" s="39" t="s">
        <v>1401</v>
      </c>
    </row>
    <row r="29" spans="2:5" ht="35.1" customHeight="1" thickBot="1" x14ac:dyDescent="0.35">
      <c r="B29" s="26" t="str">
        <f t="shared" si="0"/>
        <v>O</v>
      </c>
      <c r="C29" s="41" t="s">
        <v>888</v>
      </c>
      <c r="D29" s="45" t="s">
        <v>888</v>
      </c>
      <c r="E29" s="11" t="s">
        <v>892</v>
      </c>
    </row>
    <row r="30" spans="2:5" ht="35.1" customHeight="1" thickBot="1" x14ac:dyDescent="0.35">
      <c r="B30" s="26" t="str">
        <f t="shared" si="0"/>
        <v>O</v>
      </c>
      <c r="C30" s="41" t="s">
        <v>889</v>
      </c>
      <c r="D30" s="45" t="s">
        <v>889</v>
      </c>
      <c r="E30" s="11" t="s">
        <v>891</v>
      </c>
    </row>
    <row r="31" spans="2:5" ht="35.1" customHeight="1" thickBot="1" x14ac:dyDescent="0.35">
      <c r="B31" s="26" t="str">
        <f>IF(ISNUMBER(SEARCH("SCR",SUBSTITUTE(D31," ",""))),"O","X")</f>
        <v>O</v>
      </c>
      <c r="C31" s="41" t="s">
        <v>890</v>
      </c>
      <c r="D31" s="45" t="s">
        <v>1439</v>
      </c>
      <c r="E31" s="39" t="s">
        <v>1402</v>
      </c>
    </row>
    <row r="32" spans="2:5" ht="35.1" customHeight="1" thickBot="1" x14ac:dyDescent="0.35">
      <c r="B32" s="26" t="str">
        <f t="shared" si="0"/>
        <v>O</v>
      </c>
      <c r="C32" s="12" t="s">
        <v>893</v>
      </c>
      <c r="D32" s="12" t="s">
        <v>1440</v>
      </c>
      <c r="E32" s="39" t="s">
        <v>1403</v>
      </c>
    </row>
    <row r="33" spans="1:5" ht="35.1" customHeight="1" thickBot="1" x14ac:dyDescent="0.35">
      <c r="B33" s="26" t="str">
        <f>IF(OR(ISNUMBER(SEARCH("프로세스제어블록",SUBSTITUTE(D33," ",""))),ISNUMBER(SEARCH("PCB",SUBSTITUTE(D33," ","")))),"O","X")</f>
        <v>O</v>
      </c>
      <c r="C33" s="12" t="s">
        <v>894</v>
      </c>
      <c r="D33" s="12" t="s">
        <v>1441</v>
      </c>
      <c r="E33" s="39" t="s">
        <v>1404</v>
      </c>
    </row>
    <row r="34" spans="1:5" ht="35.1" customHeight="1" thickBot="1" x14ac:dyDescent="0.35">
      <c r="A34" s="51"/>
      <c r="B34" s="26" t="str">
        <f t="shared" si="0"/>
        <v>O</v>
      </c>
      <c r="C34" s="41" t="s">
        <v>896</v>
      </c>
      <c r="D34" s="45" t="s">
        <v>1650</v>
      </c>
      <c r="E34" s="11" t="s">
        <v>895</v>
      </c>
    </row>
    <row r="35" spans="1:5" ht="35.1" customHeight="1" thickBot="1" x14ac:dyDescent="0.35">
      <c r="B35" s="26" t="str">
        <f>IF(OR(ISNUMBER(SEARCH("제출",SUBSTITUTE(D35," ",""))),ISNUMBER(SEARCH("submit",SUBSTITUTE(LOWER(D35)," ","")))),"O","X")</f>
        <v>O</v>
      </c>
      <c r="C35" s="12" t="s">
        <v>897</v>
      </c>
      <c r="D35" s="12" t="s">
        <v>1442</v>
      </c>
      <c r="E35" s="39" t="s">
        <v>906</v>
      </c>
    </row>
    <row r="36" spans="1:5" ht="35.1" customHeight="1" thickBot="1" x14ac:dyDescent="0.35">
      <c r="B36" s="26" t="str">
        <f>IF(OR(ISNUMBER(SEARCH("접수",SUBSTITUTE(D36," ",""))),ISNUMBER(SEARCH("hold",SUBSTITUTE(LOWER(D36)," ","")))),"O","X")</f>
        <v>O</v>
      </c>
      <c r="C36" s="12" t="s">
        <v>898</v>
      </c>
      <c r="D36" s="12" t="s">
        <v>1443</v>
      </c>
      <c r="E36" s="11" t="s">
        <v>905</v>
      </c>
    </row>
    <row r="37" spans="1:5" ht="35.1" customHeight="1" thickBot="1" x14ac:dyDescent="0.35">
      <c r="B37" s="26" t="str">
        <f>IF(OR(ISNUMBER(SEARCH("준비",SUBSTITUTE(D37," ",""))),ISNUMBER(SEARCH("ready",SUBSTITUTE(LOWER(D37)," ","")))),"O","X")</f>
        <v>O</v>
      </c>
      <c r="C37" s="12" t="s">
        <v>899</v>
      </c>
      <c r="D37" s="12" t="s">
        <v>1444</v>
      </c>
      <c r="E37" s="39" t="s">
        <v>907</v>
      </c>
    </row>
    <row r="38" spans="1:5" ht="35.1" customHeight="1" thickBot="1" x14ac:dyDescent="0.35">
      <c r="B38" s="26" t="str">
        <f>IF(OR(ISNUMBER(SEARCH("실행",SUBSTITUTE(D38," ",""))),ISNUMBER(SEARCH("run",SUBSTITUTE(LOWER(D38)," ","")))),"O","X")</f>
        <v>O</v>
      </c>
      <c r="C38" s="12" t="s">
        <v>900</v>
      </c>
      <c r="D38" s="12" t="s">
        <v>1445</v>
      </c>
      <c r="E38" s="11" t="s">
        <v>904</v>
      </c>
    </row>
    <row r="39" spans="1:5" ht="35.1" customHeight="1" thickBot="1" x14ac:dyDescent="0.35">
      <c r="B39" s="26" t="str">
        <f>IF(AND(OR(ISNUMBER(SEARCH("대기",SUBSTITUTE(D39," ",""))),ISNUMBER(SEARCH("wait",SUBSTITUTE(LOWER(D39)," ","")))), OR(ISNUMBER(SEARCH("블록",SUBSTITUTE(D39," ",""))),ISNUMBER(SEARCH("block",SUBSTITUTE(LOWER(D39)," ",""))))),"O","X")</f>
        <v>O</v>
      </c>
      <c r="C39" s="12" t="s">
        <v>901</v>
      </c>
      <c r="D39" s="12" t="s">
        <v>1446</v>
      </c>
      <c r="E39" s="11" t="s">
        <v>903</v>
      </c>
    </row>
    <row r="40" spans="1:5" ht="35.1" customHeight="1" thickBot="1" x14ac:dyDescent="0.35">
      <c r="B40" s="26" t="str">
        <f>IF(OR(ISNUMBER(SEARCH("종료",SUBSTITUTE(D40," ",""))),ISNUMBER(SEARCH("terminated",SUBSTITUTE(LOWER(D40)," ",""))),ISNUMBER(SEARCH("exit",SUBSTITUTE(LOWER(D40)," ","")))),"O","X")</f>
        <v>O</v>
      </c>
      <c r="C40" s="12" t="s">
        <v>902</v>
      </c>
      <c r="D40" s="12" t="s">
        <v>1447</v>
      </c>
      <c r="E40" s="11" t="s">
        <v>1342</v>
      </c>
    </row>
    <row r="41" spans="1:5" ht="35.1" customHeight="1" thickBot="1" x14ac:dyDescent="0.35">
      <c r="B41" s="26" t="str">
        <f t="shared" si="0"/>
        <v>O</v>
      </c>
      <c r="C41" s="12" t="s">
        <v>908</v>
      </c>
      <c r="D41" s="12" t="s">
        <v>1448</v>
      </c>
      <c r="E41" s="11" t="s">
        <v>1335</v>
      </c>
    </row>
    <row r="42" spans="1:5" ht="35.1" customHeight="1" thickBot="1" x14ac:dyDescent="0.35">
      <c r="B42" s="26" t="str">
        <f t="shared" si="0"/>
        <v>O</v>
      </c>
      <c r="C42" s="12" t="s">
        <v>909</v>
      </c>
      <c r="D42" s="12" t="s">
        <v>1449</v>
      </c>
      <c r="E42" s="11" t="s">
        <v>1336</v>
      </c>
    </row>
    <row r="43" spans="1:5" ht="35.1" customHeight="1" thickBot="1" x14ac:dyDescent="0.35">
      <c r="B43" s="26" t="str">
        <f t="shared" si="0"/>
        <v>O</v>
      </c>
      <c r="C43" s="12" t="s">
        <v>910</v>
      </c>
      <c r="D43" s="12" t="s">
        <v>1450</v>
      </c>
      <c r="E43" s="39" t="s">
        <v>913</v>
      </c>
    </row>
    <row r="44" spans="1:5" ht="35.1" customHeight="1" thickBot="1" x14ac:dyDescent="0.35">
      <c r="B44" s="26" t="str">
        <f t="shared" si="0"/>
        <v>O</v>
      </c>
      <c r="C44" s="12" t="s">
        <v>911</v>
      </c>
      <c r="D44" s="12" t="s">
        <v>1451</v>
      </c>
      <c r="E44" s="39" t="s">
        <v>1406</v>
      </c>
    </row>
    <row r="45" spans="1:5" ht="35.1" customHeight="1" thickBot="1" x14ac:dyDescent="0.35">
      <c r="B45" s="26" t="str">
        <f t="shared" si="0"/>
        <v>O</v>
      </c>
      <c r="C45" s="12" t="s">
        <v>912</v>
      </c>
      <c r="D45" s="12" t="s">
        <v>1452</v>
      </c>
      <c r="E45" s="11" t="s">
        <v>1405</v>
      </c>
    </row>
    <row r="46" spans="1:5" ht="35.1" customHeight="1" thickBot="1" x14ac:dyDescent="0.35">
      <c r="B46" s="26" t="str">
        <f>IF(OR(ISNUMBER(SEARCH("선입선출",SUBSTITUTE(D46," ",""))),ISNUMBER(SEARCH("fcfs",SUBSTITUTE(LOWER(D46)," ","")))),"O","X")</f>
        <v>O</v>
      </c>
      <c r="C46" s="12" t="s">
        <v>914</v>
      </c>
      <c r="D46" s="12" t="s">
        <v>1453</v>
      </c>
      <c r="E46" s="39" t="s">
        <v>1407</v>
      </c>
    </row>
    <row r="47" spans="1:5" ht="35.1" customHeight="1" thickBot="1" x14ac:dyDescent="0.35">
      <c r="A47" s="51"/>
      <c r="B47" s="26" t="str">
        <f>IF(OR(ISNUMBER(SEARCH("단기작업우선",SUBSTITUTE(D47," ",""))),ISNUMBER(SEARCH("sjf",SUBSTITUTE(LOWER(D47)," ","")))),"O","X")</f>
        <v>O</v>
      </c>
      <c r="C47" s="12" t="s">
        <v>1337</v>
      </c>
      <c r="D47" s="12" t="s">
        <v>1651</v>
      </c>
      <c r="E47" s="39" t="s">
        <v>1408</v>
      </c>
    </row>
    <row r="48" spans="1:5" ht="35.1" customHeight="1" thickBot="1" x14ac:dyDescent="0.35">
      <c r="B48" s="26" t="str">
        <f>IF(ISNUMBER(SEARCH("HRN",SUBSTITUTE(UPPER(D48)," ",""))),"O","X")</f>
        <v>O</v>
      </c>
      <c r="C48" s="44" t="s">
        <v>915</v>
      </c>
      <c r="D48" s="44" t="s">
        <v>1454</v>
      </c>
      <c r="E48" s="39" t="s">
        <v>1409</v>
      </c>
    </row>
    <row r="49" spans="1:5" ht="35.1" customHeight="1" thickBot="1" x14ac:dyDescent="0.35">
      <c r="B49" s="26" t="str">
        <f t="shared" si="0"/>
        <v>O</v>
      </c>
      <c r="C49" s="41" t="s">
        <v>917</v>
      </c>
      <c r="D49" s="45" t="s">
        <v>917</v>
      </c>
      <c r="E49" s="2" t="s">
        <v>916</v>
      </c>
    </row>
    <row r="50" spans="1:5" ht="35.1" customHeight="1" thickBot="1" x14ac:dyDescent="0.35">
      <c r="B50" s="26" t="str">
        <f t="shared" si="0"/>
        <v>O</v>
      </c>
      <c r="C50" s="41" t="s">
        <v>918</v>
      </c>
      <c r="D50" s="45" t="s">
        <v>1455</v>
      </c>
      <c r="E50" s="11" t="s">
        <v>1410</v>
      </c>
    </row>
    <row r="51" spans="1:5" ht="35.1" customHeight="1" thickBot="1" x14ac:dyDescent="0.35">
      <c r="B51" s="26" t="str">
        <f t="shared" si="0"/>
        <v>O</v>
      </c>
      <c r="C51" s="12" t="s">
        <v>919</v>
      </c>
      <c r="D51" s="12" t="s">
        <v>1456</v>
      </c>
      <c r="E51" s="11" t="s">
        <v>1411</v>
      </c>
    </row>
    <row r="52" spans="1:5" ht="35.1" customHeight="1" thickBot="1" x14ac:dyDescent="0.35">
      <c r="B52" s="26" t="str">
        <f t="shared" si="0"/>
        <v>O</v>
      </c>
      <c r="C52" s="12" t="s">
        <v>920</v>
      </c>
      <c r="D52" s="12" t="s">
        <v>1457</v>
      </c>
      <c r="E52" s="11" t="s">
        <v>1412</v>
      </c>
    </row>
    <row r="53" spans="1:5" ht="35.1" customHeight="1" thickBot="1" x14ac:dyDescent="0.35">
      <c r="B53" s="26" t="str">
        <f t="shared" si="0"/>
        <v>O</v>
      </c>
      <c r="C53" s="12" t="s">
        <v>921</v>
      </c>
      <c r="D53" s="12" t="s">
        <v>1340</v>
      </c>
      <c r="E53" s="39" t="s">
        <v>922</v>
      </c>
    </row>
    <row r="54" spans="1:5" ht="35.1" customHeight="1" thickBot="1" x14ac:dyDescent="0.35">
      <c r="A54" s="51"/>
      <c r="B54" s="26" t="str">
        <f t="shared" si="0"/>
        <v>O</v>
      </c>
      <c r="C54" s="41" t="s">
        <v>924</v>
      </c>
      <c r="D54" s="45" t="s">
        <v>924</v>
      </c>
      <c r="E54" s="11" t="s">
        <v>923</v>
      </c>
    </row>
    <row r="55" spans="1:5" ht="35.1" customHeight="1" thickBot="1" x14ac:dyDescent="0.35">
      <c r="B55" s="26" t="str">
        <f t="shared" si="0"/>
        <v>O</v>
      </c>
      <c r="C55" s="41" t="s">
        <v>925</v>
      </c>
      <c r="D55" s="45" t="s">
        <v>925</v>
      </c>
      <c r="E55" s="11" t="s">
        <v>1413</v>
      </c>
    </row>
    <row r="56" spans="1:5" ht="35.1" customHeight="1" thickBot="1" x14ac:dyDescent="0.35">
      <c r="B56" s="26" t="str">
        <f t="shared" si="0"/>
        <v>O</v>
      </c>
      <c r="C56" s="12" t="s">
        <v>926</v>
      </c>
      <c r="D56" s="12" t="s">
        <v>1458</v>
      </c>
      <c r="E56" s="11" t="s">
        <v>1414</v>
      </c>
    </row>
    <row r="57" spans="1:5" ht="35.1" customHeight="1" thickBot="1" x14ac:dyDescent="0.35">
      <c r="A57" s="51"/>
      <c r="B57" s="26" t="str">
        <f t="shared" si="0"/>
        <v>X</v>
      </c>
      <c r="C57" s="12" t="s">
        <v>1483</v>
      </c>
      <c r="D57" s="12"/>
      <c r="E57" s="11" t="s">
        <v>1415</v>
      </c>
    </row>
    <row r="58" spans="1:5" ht="35.1" customHeight="1" thickBot="1" x14ac:dyDescent="0.35">
      <c r="B58" s="26" t="str">
        <f>IF(ISNUMBER(SEARCH("물리계층",SUBSTITUTE(UPPER(D58)," ",""))),"O","X")</f>
        <v>O</v>
      </c>
      <c r="C58" s="12" t="s">
        <v>927</v>
      </c>
      <c r="D58" s="12" t="s">
        <v>1459</v>
      </c>
      <c r="E58" s="39" t="s">
        <v>1343</v>
      </c>
    </row>
    <row r="59" spans="1:5" ht="35.1" customHeight="1" thickBot="1" x14ac:dyDescent="0.35">
      <c r="B59" s="26" t="str">
        <f>IF(ISNUMBER(SEARCH("데이터링크계층",SUBSTITUTE(UPPER(D59)," ",""))),"O","X")</f>
        <v>O</v>
      </c>
      <c r="C59" s="12" t="s">
        <v>928</v>
      </c>
      <c r="D59" s="12" t="s">
        <v>1460</v>
      </c>
      <c r="E59" s="11" t="s">
        <v>1344</v>
      </c>
    </row>
    <row r="60" spans="1:5" ht="35.1" customHeight="1" thickBot="1" x14ac:dyDescent="0.35">
      <c r="B60" s="26" t="str">
        <f>IF(ISNUMBER(SEARCH("네트워크계층",SUBSTITUTE(UPPER(D60)," ",""))),"O","X")</f>
        <v>O</v>
      </c>
      <c r="C60" s="44" t="s">
        <v>929</v>
      </c>
      <c r="D60" s="44" t="s">
        <v>1461</v>
      </c>
      <c r="E60" s="11" t="s">
        <v>1345</v>
      </c>
    </row>
    <row r="61" spans="1:5" ht="35.1" customHeight="1" thickBot="1" x14ac:dyDescent="0.35">
      <c r="B61" s="26" t="str">
        <f>IF(ISNUMBER(SEARCH("전송계층",SUBSTITUTE(UPPER(D61)," ",""))),"O","X")</f>
        <v>O</v>
      </c>
      <c r="C61" s="12" t="s">
        <v>930</v>
      </c>
      <c r="D61" s="12" t="s">
        <v>1462</v>
      </c>
      <c r="E61" s="39" t="s">
        <v>1346</v>
      </c>
    </row>
    <row r="62" spans="1:5" ht="35.1" customHeight="1" thickBot="1" x14ac:dyDescent="0.35">
      <c r="B62" s="26" t="str">
        <f>IF(ISNUMBER(SEARCH("세션계층",SUBSTITUTE(UPPER(D62)," ",""))),"O","X")</f>
        <v>O</v>
      </c>
      <c r="C62" s="12" t="s">
        <v>931</v>
      </c>
      <c r="D62" s="12" t="s">
        <v>1463</v>
      </c>
      <c r="E62" s="39" t="s">
        <v>1347</v>
      </c>
    </row>
    <row r="63" spans="1:5" ht="35.1" customHeight="1" thickBot="1" x14ac:dyDescent="0.35">
      <c r="B63" s="26" t="str">
        <f>IF(ISNUMBER(SEARCH("표현계층",SUBSTITUTE(UPPER(D63)," ",""))),"O","X")</f>
        <v>O</v>
      </c>
      <c r="C63" s="12" t="s">
        <v>932</v>
      </c>
      <c r="D63" s="12" t="s">
        <v>1464</v>
      </c>
      <c r="E63" s="39" t="s">
        <v>1348</v>
      </c>
    </row>
    <row r="64" spans="1:5" ht="35.1" customHeight="1" thickBot="1" x14ac:dyDescent="0.35">
      <c r="B64" s="26" t="str">
        <f>IF(ISNUMBER(SEARCH("응용계층",SUBSTITUTE(UPPER(D64)," ",""))),"O","X")</f>
        <v>O</v>
      </c>
      <c r="C64" s="12" t="s">
        <v>933</v>
      </c>
      <c r="D64" s="12" t="s">
        <v>1465</v>
      </c>
      <c r="E64" s="11" t="s">
        <v>1349</v>
      </c>
    </row>
    <row r="65" spans="2:5" ht="35.1" customHeight="1" thickBot="1" x14ac:dyDescent="0.35">
      <c r="B65" s="26" t="str">
        <f>IF(OR(ISNUMBER(SEARCH("프로토콜",SUBSTITUTE(D65," ",""))),ISNUMBER(SEARCH("protocol",SUBSTITUTE(LOWER(D65)," ","")))),"O","X")</f>
        <v>O</v>
      </c>
      <c r="C65" s="12" t="s">
        <v>934</v>
      </c>
      <c r="D65" s="12" t="s">
        <v>1466</v>
      </c>
      <c r="E65" s="39" t="s">
        <v>1350</v>
      </c>
    </row>
    <row r="66" spans="2:5" ht="35.1" customHeight="1" thickBot="1" x14ac:dyDescent="0.35">
      <c r="B66" s="26" t="str">
        <f t="shared" si="0"/>
        <v>O</v>
      </c>
      <c r="C66" s="12" t="s">
        <v>936</v>
      </c>
      <c r="D66" s="12" t="s">
        <v>936</v>
      </c>
      <c r="E66" s="11" t="s">
        <v>935</v>
      </c>
    </row>
    <row r="67" spans="2:5" ht="35.1" customHeight="1" thickBot="1" x14ac:dyDescent="0.35">
      <c r="B67" s="26" t="str">
        <f>IF(OR(ISNUMBER(SEARCH("구문",SUBSTITUTE(D67," ",""))),ISNUMBER(SEARCH("syntax",SUBSTITUTE(LOWER(D67)," ","")))),"O","X")</f>
        <v>O</v>
      </c>
      <c r="C67" s="12" t="s">
        <v>937</v>
      </c>
      <c r="D67" s="12" t="s">
        <v>1467</v>
      </c>
      <c r="E67" s="39" t="s">
        <v>1353</v>
      </c>
    </row>
    <row r="68" spans="2:5" ht="35.1" customHeight="1" thickBot="1" x14ac:dyDescent="0.35">
      <c r="B68" s="26" t="str">
        <f>IF(OR(ISNUMBER(SEARCH("의미",SUBSTITUTE(D68," ",""))),ISNUMBER(SEARCH("semantics",SUBSTITUTE(LOWER(D68)," ","")))),"O","X")</f>
        <v>O</v>
      </c>
      <c r="C68" s="12" t="s">
        <v>938</v>
      </c>
      <c r="D68" s="12" t="s">
        <v>1468</v>
      </c>
      <c r="E68" s="39" t="s">
        <v>1352</v>
      </c>
    </row>
    <row r="69" spans="2:5" ht="35.1" customHeight="1" thickBot="1" x14ac:dyDescent="0.35">
      <c r="B69" s="26" t="str">
        <f>IF(OR(ISNUMBER(SEARCH("시간",SUBSTITUTE(D69," ",""))),ISNUMBER(SEARCH("timing",SUBSTITUTE(LOWER(D69)," ","")))),"O","X")</f>
        <v>O</v>
      </c>
      <c r="C69" s="12" t="s">
        <v>939</v>
      </c>
      <c r="D69" s="12" t="s">
        <v>1469</v>
      </c>
      <c r="E69" s="39" t="s">
        <v>1351</v>
      </c>
    </row>
    <row r="70" spans="2:5" ht="35.1" customHeight="1" thickBot="1" x14ac:dyDescent="0.35">
      <c r="B70" s="26" t="str">
        <f t="shared" ref="B70:B130" si="1">IF(EXACT(SUBSTITUTE(LOWER(C70)," ",""),SUBSTITUTE(LOWER(D70)," ","")),"O","X")</f>
        <v>O</v>
      </c>
      <c r="C70" s="12" t="s">
        <v>940</v>
      </c>
      <c r="D70" s="12" t="s">
        <v>1470</v>
      </c>
      <c r="E70" s="39" t="s">
        <v>1354</v>
      </c>
    </row>
    <row r="71" spans="2:5" ht="35.1" customHeight="1" thickBot="1" x14ac:dyDescent="0.35">
      <c r="B71" s="26" t="str">
        <f t="shared" si="1"/>
        <v>O</v>
      </c>
      <c r="C71" s="12" t="s">
        <v>941</v>
      </c>
      <c r="D71" s="12" t="s">
        <v>1471</v>
      </c>
      <c r="E71" s="11" t="s">
        <v>1355</v>
      </c>
    </row>
    <row r="72" spans="2:5" ht="35.1" customHeight="1" thickBot="1" x14ac:dyDescent="0.35">
      <c r="B72" s="26" t="str">
        <f t="shared" si="1"/>
        <v>O</v>
      </c>
      <c r="C72" s="12" t="s">
        <v>942</v>
      </c>
      <c r="D72" s="12" t="s">
        <v>942</v>
      </c>
      <c r="E72" s="39" t="s">
        <v>1416</v>
      </c>
    </row>
    <row r="73" spans="2:5" ht="35.1" customHeight="1" thickBot="1" x14ac:dyDescent="0.35">
      <c r="B73" s="26" t="str">
        <f t="shared" si="1"/>
        <v>O</v>
      </c>
      <c r="C73" s="12" t="s">
        <v>943</v>
      </c>
      <c r="D73" s="12" t="s">
        <v>943</v>
      </c>
      <c r="E73" s="39" t="s">
        <v>1356</v>
      </c>
    </row>
    <row r="74" spans="2:5" ht="35.1" customHeight="1" thickBot="1" x14ac:dyDescent="0.35">
      <c r="B74" s="26" t="str">
        <f t="shared" si="1"/>
        <v>O</v>
      </c>
      <c r="C74" s="12" t="s">
        <v>944</v>
      </c>
      <c r="D74" s="12" t="s">
        <v>944</v>
      </c>
      <c r="E74" s="11" t="s">
        <v>1357</v>
      </c>
    </row>
    <row r="75" spans="2:5" ht="35.1" customHeight="1" thickBot="1" x14ac:dyDescent="0.35">
      <c r="B75" s="26" t="str">
        <f t="shared" si="1"/>
        <v>O</v>
      </c>
      <c r="C75" s="12" t="s">
        <v>945</v>
      </c>
      <c r="D75" s="12" t="s">
        <v>1458</v>
      </c>
      <c r="E75" s="39" t="s">
        <v>1358</v>
      </c>
    </row>
    <row r="76" spans="2:5" ht="35.1" customHeight="1" thickBot="1" x14ac:dyDescent="0.35">
      <c r="B76" s="26" t="str">
        <f t="shared" si="1"/>
        <v>O</v>
      </c>
      <c r="C76" s="12" t="s">
        <v>946</v>
      </c>
      <c r="D76" s="12" t="s">
        <v>946</v>
      </c>
      <c r="E76" s="39" t="s">
        <v>1359</v>
      </c>
    </row>
    <row r="77" spans="2:5" ht="35.1" customHeight="1" thickBot="1" x14ac:dyDescent="0.35">
      <c r="B77" s="26" t="str">
        <f t="shared" si="1"/>
        <v>O</v>
      </c>
      <c r="C77" s="12" t="s">
        <v>947</v>
      </c>
      <c r="D77" s="12" t="s">
        <v>947</v>
      </c>
      <c r="E77" s="11" t="s">
        <v>1360</v>
      </c>
    </row>
    <row r="78" spans="2:5" ht="35.1" customHeight="1" thickBot="1" x14ac:dyDescent="0.35">
      <c r="B78" s="26" t="str">
        <f t="shared" si="1"/>
        <v>O</v>
      </c>
      <c r="C78" s="12" t="s">
        <v>948</v>
      </c>
      <c r="D78" s="12" t="s">
        <v>948</v>
      </c>
      <c r="E78" s="11" t="s">
        <v>1361</v>
      </c>
    </row>
    <row r="79" spans="2:5" ht="35.1" customHeight="1" thickBot="1" x14ac:dyDescent="0.35">
      <c r="B79" s="26" t="str">
        <f t="shared" si="1"/>
        <v>O</v>
      </c>
      <c r="C79" s="12" t="s">
        <v>949</v>
      </c>
      <c r="D79" s="12" t="s">
        <v>949</v>
      </c>
      <c r="E79" s="11" t="s">
        <v>1362</v>
      </c>
    </row>
    <row r="80" spans="2:5" ht="35.1" customHeight="1" thickBot="1" x14ac:dyDescent="0.35">
      <c r="B80" s="26" t="str">
        <f t="shared" si="1"/>
        <v>O</v>
      </c>
      <c r="C80" s="12" t="s">
        <v>950</v>
      </c>
      <c r="D80" s="12" t="s">
        <v>950</v>
      </c>
      <c r="E80" s="11" t="s">
        <v>1363</v>
      </c>
    </row>
    <row r="81" spans="1:5" ht="35.1" customHeight="1" thickBot="1" x14ac:dyDescent="0.35">
      <c r="B81" s="26" t="str">
        <f t="shared" si="1"/>
        <v>O</v>
      </c>
      <c r="C81" s="12" t="s">
        <v>951</v>
      </c>
      <c r="D81" s="12" t="s">
        <v>951</v>
      </c>
      <c r="E81" s="11" t="s">
        <v>1364</v>
      </c>
    </row>
    <row r="82" spans="1:5" ht="35.1" customHeight="1" thickBot="1" x14ac:dyDescent="0.35">
      <c r="B82" s="26" t="str">
        <f t="shared" si="1"/>
        <v>O</v>
      </c>
      <c r="C82" s="12" t="s">
        <v>952</v>
      </c>
      <c r="D82" s="12" t="s">
        <v>952</v>
      </c>
      <c r="E82" s="39" t="s">
        <v>1365</v>
      </c>
    </row>
    <row r="83" spans="1:5" ht="35.1" customHeight="1" thickBot="1" x14ac:dyDescent="0.35">
      <c r="B83" s="26" t="str">
        <f t="shared" si="1"/>
        <v>O</v>
      </c>
      <c r="C83" s="12" t="s">
        <v>953</v>
      </c>
      <c r="D83" s="12" t="s">
        <v>953</v>
      </c>
      <c r="E83" s="11" t="s">
        <v>960</v>
      </c>
    </row>
    <row r="84" spans="1:5" ht="35.1" customHeight="1" thickBot="1" x14ac:dyDescent="0.35">
      <c r="B84" s="26" t="str">
        <f t="shared" si="1"/>
        <v>O</v>
      </c>
      <c r="C84" s="12" t="s">
        <v>954</v>
      </c>
      <c r="D84" s="12" t="s">
        <v>954</v>
      </c>
      <c r="E84" s="11" t="s">
        <v>1366</v>
      </c>
    </row>
    <row r="85" spans="1:5" ht="35.1" customHeight="1" thickBot="1" x14ac:dyDescent="0.35">
      <c r="B85" s="26" t="str">
        <f t="shared" si="1"/>
        <v>O</v>
      </c>
      <c r="C85" s="12" t="s">
        <v>955</v>
      </c>
      <c r="D85" s="12" t="s">
        <v>955</v>
      </c>
      <c r="E85" s="11" t="s">
        <v>1367</v>
      </c>
    </row>
    <row r="86" spans="1:5" ht="35.1" customHeight="1" thickBot="1" x14ac:dyDescent="0.35">
      <c r="B86" s="26" t="str">
        <f t="shared" si="1"/>
        <v>O</v>
      </c>
      <c r="C86" s="12" t="s">
        <v>956</v>
      </c>
      <c r="D86" s="12" t="s">
        <v>956</v>
      </c>
      <c r="E86" s="39" t="s">
        <v>1368</v>
      </c>
    </row>
    <row r="87" spans="1:5" ht="35.1" customHeight="1" thickBot="1" x14ac:dyDescent="0.35">
      <c r="A87" s="51"/>
      <c r="B87" s="26" t="str">
        <f t="shared" si="1"/>
        <v>O</v>
      </c>
      <c r="C87" s="12" t="s">
        <v>957</v>
      </c>
      <c r="D87" s="12" t="s">
        <v>957</v>
      </c>
      <c r="E87" s="11" t="s">
        <v>1369</v>
      </c>
    </row>
    <row r="88" spans="1:5" ht="35.1" customHeight="1" thickBot="1" x14ac:dyDescent="0.35">
      <c r="B88" s="26" t="str">
        <f t="shared" si="1"/>
        <v>O</v>
      </c>
      <c r="C88" s="12" t="s">
        <v>958</v>
      </c>
      <c r="D88" s="12" t="s">
        <v>958</v>
      </c>
      <c r="E88" s="39" t="s">
        <v>1370</v>
      </c>
    </row>
    <row r="89" spans="1:5" ht="35.1" customHeight="1" thickBot="1" x14ac:dyDescent="0.35">
      <c r="B89" s="26" t="str">
        <f t="shared" si="1"/>
        <v>O</v>
      </c>
      <c r="C89" s="12" t="s">
        <v>959</v>
      </c>
      <c r="D89" s="12" t="s">
        <v>959</v>
      </c>
      <c r="E89" s="11" t="s">
        <v>1371</v>
      </c>
    </row>
    <row r="90" spans="1:5" ht="35.1" customHeight="1" thickBot="1" x14ac:dyDescent="0.35">
      <c r="B90" s="26" t="str">
        <f>IF(ISNUMBER(SEARCH("iot",SUBSTITUTE(LOWER(D90)," ",""))),"O","X")</f>
        <v>O</v>
      </c>
      <c r="C90" s="41" t="s">
        <v>1008</v>
      </c>
      <c r="D90" s="45" t="s">
        <v>1472</v>
      </c>
      <c r="E90" s="2" t="s">
        <v>961</v>
      </c>
    </row>
    <row r="91" spans="1:5" ht="35.1" customHeight="1" thickBot="1" x14ac:dyDescent="0.35">
      <c r="B91" s="26" t="str">
        <f>IF(ISNUMBER(SEARCH("m2m",SUBSTITUTE(LOWER(D91)," ",""))),"O","X")</f>
        <v>O</v>
      </c>
      <c r="C91" s="41" t="s">
        <v>1009</v>
      </c>
      <c r="D91" s="45" t="s">
        <v>1473</v>
      </c>
      <c r="E91" s="2" t="s">
        <v>1372</v>
      </c>
    </row>
    <row r="92" spans="1:5" ht="35.1" customHeight="1" thickBot="1" x14ac:dyDescent="0.35">
      <c r="B92" s="26" t="str">
        <f>IF(ISNUMBER(SEARCH("모바일컴퓨팅",SUBSTITUTE(LOWER(D92)," ",""))),"O","X")</f>
        <v>O</v>
      </c>
      <c r="C92" s="41" t="s">
        <v>1010</v>
      </c>
      <c r="D92" s="45" t="s">
        <v>1474</v>
      </c>
      <c r="E92" s="2" t="s">
        <v>1373</v>
      </c>
    </row>
    <row r="93" spans="1:5" ht="35.1" customHeight="1" thickBot="1" x14ac:dyDescent="0.35">
      <c r="B93" s="26" t="str">
        <f>IF(ISNUMBER(SEARCH("클라우드컴퓨팅",SUBSTITUTE(LOWER(D93)," ",""))),"O","X")</f>
        <v>O</v>
      </c>
      <c r="C93" s="41" t="s">
        <v>1011</v>
      </c>
      <c r="D93" s="45" t="s">
        <v>1475</v>
      </c>
      <c r="E93" s="2" t="s">
        <v>1374</v>
      </c>
    </row>
    <row r="94" spans="1:5" ht="35.1" customHeight="1" thickBot="1" x14ac:dyDescent="0.35">
      <c r="B94" s="26" t="str">
        <f>IF(ISNUMBER(SEARCH("그리드컴퓨팅",SUBSTITUTE(LOWER(D94)," ",""))),"O","X")</f>
        <v>O</v>
      </c>
      <c r="C94" s="41" t="s">
        <v>1012</v>
      </c>
      <c r="D94" s="45" t="s">
        <v>1476</v>
      </c>
      <c r="E94" s="2" t="s">
        <v>1375</v>
      </c>
    </row>
    <row r="95" spans="1:5" ht="35.1" customHeight="1" thickBot="1" x14ac:dyDescent="0.35">
      <c r="B95" s="26" t="str">
        <f>IF(ISNUMBER(SEARCH("모바일클라우드컴퓨팅",SUBSTITUTE(LOWER(D95)," ",""))),"O","X")</f>
        <v>O</v>
      </c>
      <c r="C95" s="41" t="s">
        <v>1013</v>
      </c>
      <c r="D95" s="45" t="s">
        <v>1477</v>
      </c>
      <c r="E95" s="2" t="s">
        <v>1376</v>
      </c>
    </row>
    <row r="96" spans="1:5" ht="63.75" customHeight="1" thickBot="1" x14ac:dyDescent="0.35">
      <c r="B96" s="26" t="str">
        <f>IF(ISNUMBER(SEARCH("인터클라우드컴퓨팅",SUBSTITUTE(LOWER(D96)," ",""))),"O","X")</f>
        <v>O</v>
      </c>
      <c r="C96" s="41" t="s">
        <v>1054</v>
      </c>
      <c r="D96" s="45" t="s">
        <v>1478</v>
      </c>
      <c r="E96" s="2" t="s">
        <v>1377</v>
      </c>
    </row>
    <row r="97" spans="1:5" ht="35.1" customHeight="1" thickBot="1" x14ac:dyDescent="0.35">
      <c r="B97" s="26" t="str">
        <f>IF(ISNUMBER(SEARCH("메시네트워크",SUBSTITUTE(LOWER(D97)," ",""))),"O","X")</f>
        <v>O</v>
      </c>
      <c r="C97" s="41" t="s">
        <v>1014</v>
      </c>
      <c r="D97" s="45" t="s">
        <v>1479</v>
      </c>
      <c r="E97" s="2" t="s">
        <v>1378</v>
      </c>
    </row>
    <row r="98" spans="1:5" ht="35.1" customHeight="1" thickBot="1" x14ac:dyDescent="0.35">
      <c r="B98" s="26" t="str">
        <f>IF(ISNUMBER(SEARCH("와이선",SUBSTITUTE(LOWER(D98)," ",""))),"O","X")</f>
        <v>O</v>
      </c>
      <c r="C98" s="41" t="s">
        <v>1015</v>
      </c>
      <c r="D98" s="45" t="s">
        <v>1480</v>
      </c>
      <c r="E98" s="2" t="s">
        <v>1379</v>
      </c>
    </row>
    <row r="99" spans="1:5" ht="35.1" customHeight="1" thickBot="1" x14ac:dyDescent="0.35">
      <c r="A99" s="51"/>
      <c r="B99" s="26" t="str">
        <f>IF(ISNUMBER(SEARCH("ndn",SUBSTITUTE(LOWER(D99)," ",""))),"O","X")</f>
        <v>O</v>
      </c>
      <c r="C99" s="41" t="s">
        <v>1016</v>
      </c>
      <c r="D99" s="45" t="s">
        <v>1665</v>
      </c>
      <c r="E99" s="2" t="s">
        <v>1380</v>
      </c>
    </row>
    <row r="100" spans="1:5" ht="60.75" customHeight="1" thickBot="1" x14ac:dyDescent="0.35">
      <c r="B100" s="26" t="str">
        <f>IF(ISNUMBER(SEARCH("ngn",SUBSTITUTE(LOWER(D100)," ",""))),"O","X")</f>
        <v>O</v>
      </c>
      <c r="C100" s="41" t="s">
        <v>1017</v>
      </c>
      <c r="D100" s="45" t="s">
        <v>1481</v>
      </c>
      <c r="E100" s="2" t="s">
        <v>1381</v>
      </c>
    </row>
    <row r="101" spans="1:5" ht="64.5" customHeight="1" thickBot="1" x14ac:dyDescent="0.35">
      <c r="B101" s="26" t="str">
        <f>IF(ISNUMBER(SEARCH("sdn",SUBSTITUTE(LOWER(D101)," ",""))),"O","X")</f>
        <v>O</v>
      </c>
      <c r="C101" s="42" t="s">
        <v>1051</v>
      </c>
      <c r="D101" s="42" t="s">
        <v>1482</v>
      </c>
      <c r="E101" s="2" t="s">
        <v>1382</v>
      </c>
    </row>
    <row r="102" spans="1:5" ht="63" customHeight="1" thickBot="1" x14ac:dyDescent="0.35">
      <c r="A102" s="51"/>
      <c r="B102" s="26" t="str">
        <f>IF(ISNUMBER(SEARCH("nfc",SUBSTITUTE(LOWER(D102)," ",""))),"O","X")</f>
        <v>O</v>
      </c>
      <c r="C102" s="42" t="s">
        <v>1052</v>
      </c>
      <c r="D102" s="42" t="s">
        <v>1664</v>
      </c>
      <c r="E102" s="2" t="s">
        <v>1383</v>
      </c>
    </row>
    <row r="103" spans="1:5" ht="35.1" customHeight="1" thickBot="1" x14ac:dyDescent="0.35">
      <c r="B103" s="26" t="str">
        <f>IF(OR(ISNUMBER(SEARCH("UWB",SUBSTITUTE(UPPER(D103)," ",""))),ISNUMBER(SEARCH("초광대역",SUBSTITUTE(D103," ","")))),"O","X")</f>
        <v>O</v>
      </c>
      <c r="C103" s="41" t="s">
        <v>1018</v>
      </c>
      <c r="D103" s="45" t="s">
        <v>1579</v>
      </c>
      <c r="E103" s="2" t="s">
        <v>1484</v>
      </c>
    </row>
    <row r="104" spans="1:5" ht="35.1" customHeight="1" thickBot="1" x14ac:dyDescent="0.35">
      <c r="A104" s="57"/>
      <c r="B104" s="26" t="str">
        <f>IF(OR(ISNUMBER(SEARCH("PICONET",SUBSTITUTE(UPPER(D104)," ",""))),ISNUMBER(SEARCH("피코넷",SUBSTITUTE(D104," ","")))),"O","X")</f>
        <v>O</v>
      </c>
      <c r="C104" s="41" t="s">
        <v>1019</v>
      </c>
      <c r="D104" s="45" t="s">
        <v>1580</v>
      </c>
      <c r="E104" s="2" t="s">
        <v>1485</v>
      </c>
    </row>
    <row r="105" spans="1:5" ht="35.1" customHeight="1" thickBot="1" x14ac:dyDescent="0.35">
      <c r="B105" s="26" t="str">
        <f>IF(ISNUMBER(SEARCH("WBAN",SUBSTITUTE(UPPER(D105)," ",""))),"O","X")</f>
        <v>O</v>
      </c>
      <c r="C105" s="42" t="s">
        <v>1055</v>
      </c>
      <c r="D105" s="42" t="s">
        <v>1581</v>
      </c>
      <c r="E105" s="2" t="s">
        <v>1486</v>
      </c>
    </row>
    <row r="106" spans="1:5" ht="35.1" customHeight="1" thickBot="1" x14ac:dyDescent="0.35">
      <c r="B106" s="26" t="str">
        <f>IF(OR(ISNUMBER(SEARCH("GIS",SUBSTITUTE(UPPER(D106)," ",""))),ISNUMBER(SEARCH("지리정보시스템",SUBSTITUTE(D106," ","")))),"O","X")</f>
        <v>O</v>
      </c>
      <c r="C106" s="42" t="s">
        <v>1056</v>
      </c>
      <c r="D106" s="42" t="s">
        <v>1582</v>
      </c>
      <c r="E106" s="2" t="s">
        <v>1487</v>
      </c>
    </row>
    <row r="107" spans="1:5" ht="60" customHeight="1" thickBot="1" x14ac:dyDescent="0.35">
      <c r="B107" s="26" t="str">
        <f>IF(OR(ISNUMBER(SEARCH("USN",SUBSTITUTE(UPPER(D107)," ",""))),ISNUMBER(SEARCH("유비쿼터스센서네트워크",SUBSTITUTE(D107," ","")))),"O","X")</f>
        <v>O</v>
      </c>
      <c r="C107" s="41" t="s">
        <v>1057</v>
      </c>
      <c r="D107" s="45" t="s">
        <v>1583</v>
      </c>
      <c r="E107" s="2" t="s">
        <v>1488</v>
      </c>
    </row>
    <row r="108" spans="1:5" ht="61.5" customHeight="1" thickBot="1" x14ac:dyDescent="0.35">
      <c r="B108" s="26" t="str">
        <f>IF(OR(ISNUMBER(SEARCH("SON",SUBSTITUTE(UPPER(D108)," ",""))),ISNUMBER(SEARCH("자동구성네트워크",SUBSTITUTE(D108," ","")))),"O","X")</f>
        <v>O</v>
      </c>
      <c r="C108" s="42" t="s">
        <v>1053</v>
      </c>
      <c r="D108" s="45" t="s">
        <v>1584</v>
      </c>
      <c r="E108" s="2" t="s">
        <v>1489</v>
      </c>
    </row>
    <row r="109" spans="1:5" ht="60" customHeight="1" thickBot="1" x14ac:dyDescent="0.35">
      <c r="B109" s="26" t="str">
        <f>IF(OR(ISNUMBER(SEARCH("AH-HOCNETWORK",SUBSTITUTE(UPPER(D109)," ",""))),ISNUMBER(SEARCH("애드훅네트워크",SUBSTITUTE(D109," ","")))),"O","X")</f>
        <v>O</v>
      </c>
      <c r="C109" s="41" t="s">
        <v>1020</v>
      </c>
      <c r="D109" s="45" t="s">
        <v>1585</v>
      </c>
      <c r="E109" s="2" t="s">
        <v>1490</v>
      </c>
    </row>
    <row r="110" spans="1:5" ht="60" customHeight="1" thickBot="1" x14ac:dyDescent="0.35">
      <c r="A110" s="51"/>
      <c r="B110" s="26" t="str">
        <f>IF(OR(ISNUMBER(SEARCH("NETWORKSLICING",SUBSTITUTE(UPPER(D110)," ",""))),ISNUMBER(SEARCH("네트워크슬라이싱",SUBSTITUTE(D110," ","")))),"O","X")</f>
        <v>O</v>
      </c>
      <c r="C110" s="41" t="s">
        <v>1021</v>
      </c>
      <c r="D110" s="45" t="s">
        <v>1652</v>
      </c>
      <c r="E110" s="2" t="s">
        <v>1491</v>
      </c>
    </row>
    <row r="111" spans="1:5" ht="61.5" customHeight="1" thickBot="1" x14ac:dyDescent="0.35">
      <c r="B111" s="26" t="str">
        <f>IF(OR(ISNUMBER(SEARCH("BLE",SUBSTITUTE(UPPER(D111)," ",""))),ISNUMBER(SEARCH("저전력블루투스기술",SUBSTITUTE(D111," ","")))),"O","X")</f>
        <v>O</v>
      </c>
      <c r="C111" s="41" t="s">
        <v>1058</v>
      </c>
      <c r="D111" s="45" t="s">
        <v>1586</v>
      </c>
      <c r="E111" s="2" t="s">
        <v>1492</v>
      </c>
    </row>
    <row r="112" spans="1:5" ht="35.1" customHeight="1" thickBot="1" x14ac:dyDescent="0.35">
      <c r="B112" s="26" t="str">
        <f t="shared" si="1"/>
        <v>O</v>
      </c>
      <c r="C112" s="41" t="s">
        <v>962</v>
      </c>
      <c r="D112" s="45" t="s">
        <v>1587</v>
      </c>
      <c r="E112" s="2" t="s">
        <v>1493</v>
      </c>
    </row>
    <row r="113" spans="2:5" ht="59.25" customHeight="1" thickBot="1" x14ac:dyDescent="0.35">
      <c r="B113" s="26" t="str">
        <f>IF(OR(ISNUMBER(SEARCH("WDM",SUBSTITUTE(UPPER(D113)," ",""))),ISNUMBER(SEARCH("파장분할다중화",SUBSTITUTE(D113," ","")))),"O","X")</f>
        <v>O</v>
      </c>
      <c r="C113" s="42" t="s">
        <v>1059</v>
      </c>
      <c r="D113" s="42" t="s">
        <v>1588</v>
      </c>
      <c r="E113" s="2" t="s">
        <v>1494</v>
      </c>
    </row>
    <row r="114" spans="2:5" ht="58.5" customHeight="1" thickBot="1" x14ac:dyDescent="0.35">
      <c r="B114" s="26" t="str">
        <f>IF(OR(ISNUMBER(SEARCH("SDDC",SUBSTITUTE(UPPER(D114)," ",""))),ISNUMBER(SEARCH("소프트웨어정의데이터센터",SUBSTITUTE(D114," ","")))),"O","X")</f>
        <v>O</v>
      </c>
      <c r="C114" s="42" t="s">
        <v>1022</v>
      </c>
      <c r="D114" s="42" t="s">
        <v>1589</v>
      </c>
      <c r="E114" s="2" t="s">
        <v>1495</v>
      </c>
    </row>
    <row r="115" spans="2:5" ht="60" customHeight="1" thickBot="1" x14ac:dyDescent="0.35">
      <c r="B115" s="26" t="str">
        <f>IF(OR(ISNUMBER(SEARCH("LOD",SUBSTITUTE(UPPER(D115)," ",""))),ISNUMBER(SEARCH("개방형링크드데이터",SUBSTITUTE(D115," ","")))),"O","X")</f>
        <v>O</v>
      </c>
      <c r="C115" s="42" t="s">
        <v>1060</v>
      </c>
      <c r="D115" s="42" t="s">
        <v>1590</v>
      </c>
      <c r="E115" s="2" t="s">
        <v>1496</v>
      </c>
    </row>
    <row r="116" spans="2:5" ht="35.1" customHeight="1" thickBot="1" x14ac:dyDescent="0.35">
      <c r="B116" s="26" t="str">
        <f t="shared" si="1"/>
        <v>O</v>
      </c>
      <c r="C116" s="12" t="s">
        <v>963</v>
      </c>
      <c r="D116" s="12" t="s">
        <v>1591</v>
      </c>
      <c r="E116" s="11" t="s">
        <v>1497</v>
      </c>
    </row>
    <row r="117" spans="2:5" ht="35.1" customHeight="1" thickBot="1" x14ac:dyDescent="0.35">
      <c r="B117" s="26" t="str">
        <f t="shared" si="1"/>
        <v>O</v>
      </c>
      <c r="C117" s="12" t="s">
        <v>965</v>
      </c>
      <c r="D117" s="12" t="s">
        <v>1592</v>
      </c>
      <c r="E117" s="11" t="s">
        <v>964</v>
      </c>
    </row>
    <row r="118" spans="2:5" ht="35.1" customHeight="1" thickBot="1" x14ac:dyDescent="0.35">
      <c r="B118" s="26" t="str">
        <f t="shared" si="1"/>
        <v>O</v>
      </c>
      <c r="C118" s="12" t="s">
        <v>967</v>
      </c>
      <c r="D118" s="12" t="s">
        <v>967</v>
      </c>
      <c r="E118" s="11" t="s">
        <v>966</v>
      </c>
    </row>
    <row r="119" spans="2:5" ht="35.1" customHeight="1" thickBot="1" x14ac:dyDescent="0.35">
      <c r="B119" s="26" t="str">
        <f>IF(OR(ISNUMBER(SEARCH("LAN",SUBSTITUTE(UPPER(D119)," ",""))),ISNUMBER(SEARCH("근거리통신망",SUBSTITUTE(D119," ","")))),"O","X")</f>
        <v>O</v>
      </c>
      <c r="C119" s="12" t="s">
        <v>968</v>
      </c>
      <c r="D119" s="12" t="s">
        <v>1593</v>
      </c>
      <c r="E119" s="11" t="s">
        <v>1498</v>
      </c>
    </row>
    <row r="120" spans="2:5" ht="35.1" customHeight="1" thickBot="1" x14ac:dyDescent="0.35">
      <c r="B120" s="26" t="str">
        <f>IF(OR(ISNUMBER(SEARCH("WAN",SUBSTITUTE(UPPER(D120)," ",""))),ISNUMBER(SEARCH("광대역통신망",SUBSTITUTE(D120," ","")))),"O","X")</f>
        <v>O</v>
      </c>
      <c r="C120" s="12" t="s">
        <v>969</v>
      </c>
      <c r="D120" s="12" t="s">
        <v>1594</v>
      </c>
      <c r="E120" s="11" t="s">
        <v>970</v>
      </c>
    </row>
    <row r="121" spans="2:5" ht="35.1" customHeight="1" thickBot="1" x14ac:dyDescent="0.35">
      <c r="B121" s="26" t="str">
        <f t="shared" si="1"/>
        <v>O</v>
      </c>
      <c r="C121" s="12">
        <v>802.1</v>
      </c>
      <c r="D121" s="12">
        <v>802.1</v>
      </c>
      <c r="E121" s="11" t="s">
        <v>1499</v>
      </c>
    </row>
    <row r="122" spans="2:5" ht="35.1" customHeight="1" thickBot="1" x14ac:dyDescent="0.35">
      <c r="B122" s="26" t="str">
        <f t="shared" si="1"/>
        <v>O</v>
      </c>
      <c r="C122" s="12">
        <v>802.2</v>
      </c>
      <c r="D122" s="12">
        <v>802.2</v>
      </c>
      <c r="E122" s="11" t="s">
        <v>1500</v>
      </c>
    </row>
    <row r="123" spans="2:5" ht="35.1" customHeight="1" thickBot="1" x14ac:dyDescent="0.35">
      <c r="B123" s="26" t="str">
        <f t="shared" si="1"/>
        <v>O</v>
      </c>
      <c r="C123" s="12">
        <v>802.3</v>
      </c>
      <c r="D123" s="12">
        <v>802.3</v>
      </c>
      <c r="E123" s="11" t="s">
        <v>1501</v>
      </c>
    </row>
    <row r="124" spans="2:5" ht="35.1" customHeight="1" thickBot="1" x14ac:dyDescent="0.35">
      <c r="B124" s="26" t="str">
        <f t="shared" si="1"/>
        <v>O</v>
      </c>
      <c r="C124" s="12">
        <v>802.4</v>
      </c>
      <c r="D124" s="12">
        <v>802.4</v>
      </c>
      <c r="E124" s="11" t="s">
        <v>1502</v>
      </c>
    </row>
    <row r="125" spans="2:5" ht="35.1" customHeight="1" thickBot="1" x14ac:dyDescent="0.35">
      <c r="B125" s="26" t="str">
        <f t="shared" si="1"/>
        <v>O</v>
      </c>
      <c r="C125" s="12">
        <v>802.5</v>
      </c>
      <c r="D125" s="12">
        <v>802.5</v>
      </c>
      <c r="E125" s="11" t="s">
        <v>1503</v>
      </c>
    </row>
    <row r="126" spans="2:5" ht="35.1" customHeight="1" thickBot="1" x14ac:dyDescent="0.35">
      <c r="B126" s="26" t="str">
        <f t="shared" si="1"/>
        <v>O</v>
      </c>
      <c r="C126" s="12">
        <v>802.6</v>
      </c>
      <c r="D126" s="12">
        <v>802.6</v>
      </c>
      <c r="E126" s="11" t="s">
        <v>1504</v>
      </c>
    </row>
    <row r="127" spans="2:5" ht="35.1" customHeight="1" thickBot="1" x14ac:dyDescent="0.35">
      <c r="B127" s="26" t="str">
        <f t="shared" si="1"/>
        <v>O</v>
      </c>
      <c r="C127" s="12">
        <v>802.9</v>
      </c>
      <c r="D127" s="12">
        <v>802.9</v>
      </c>
      <c r="E127" s="11" t="s">
        <v>1505</v>
      </c>
    </row>
    <row r="128" spans="2:5" ht="35.1" customHeight="1" thickBot="1" x14ac:dyDescent="0.35">
      <c r="B128" s="26" t="str">
        <f t="shared" si="1"/>
        <v>O</v>
      </c>
      <c r="C128" s="12">
        <v>802.11</v>
      </c>
      <c r="D128" s="12">
        <v>802.11</v>
      </c>
      <c r="E128" s="39" t="s">
        <v>1506</v>
      </c>
    </row>
    <row r="129" spans="1:5" ht="35.1" customHeight="1" thickBot="1" x14ac:dyDescent="0.35">
      <c r="B129" s="26" t="str">
        <f t="shared" si="1"/>
        <v>O</v>
      </c>
      <c r="C129" s="12" t="s">
        <v>972</v>
      </c>
      <c r="D129" s="12" t="s">
        <v>1595</v>
      </c>
      <c r="E129" s="39" t="s">
        <v>1507</v>
      </c>
    </row>
    <row r="130" spans="1:5" ht="35.1" customHeight="1" thickBot="1" x14ac:dyDescent="0.35">
      <c r="B130" s="26" t="str">
        <f t="shared" si="1"/>
        <v>O</v>
      </c>
      <c r="C130" s="12" t="s">
        <v>1601</v>
      </c>
      <c r="D130" s="12" t="s">
        <v>1596</v>
      </c>
      <c r="E130" s="11" t="s">
        <v>1508</v>
      </c>
    </row>
    <row r="131" spans="1:5" ht="35.1" customHeight="1" thickBot="1" x14ac:dyDescent="0.35">
      <c r="B131" s="26" t="str">
        <f>IF(EXACT(SUBSTITUTE(LOWER(C131)," ",""),SUBSTITUTE(LOWER(D131)," ","")),"O","X")</f>
        <v>O</v>
      </c>
      <c r="C131" s="12" t="s">
        <v>1597</v>
      </c>
      <c r="D131" s="12" t="s">
        <v>1597</v>
      </c>
      <c r="E131" s="39" t="s">
        <v>1509</v>
      </c>
    </row>
    <row r="132" spans="1:5" ht="35.1" customHeight="1" thickBot="1" x14ac:dyDescent="0.35">
      <c r="B132" s="26" t="str">
        <f>IF(EXACT(SUBSTITUTE(LOWER(C132)," ",""),SUBSTITUTE(LOWER(D132)," ","")),"O","X")</f>
        <v>O</v>
      </c>
      <c r="C132" s="12" t="s">
        <v>1598</v>
      </c>
      <c r="D132" s="12" t="s">
        <v>1598</v>
      </c>
      <c r="E132" s="11" t="s">
        <v>1510</v>
      </c>
    </row>
    <row r="133" spans="1:5" ht="35.1" customHeight="1" thickBot="1" x14ac:dyDescent="0.35">
      <c r="B133" s="26" t="str">
        <f>IF(EXACT(SUBSTITUTE(LOWER(C133)," ",""),SUBSTITUTE(LOWER(D133)," ","")),"O","X")</f>
        <v>O</v>
      </c>
      <c r="C133" s="12" t="s">
        <v>1599</v>
      </c>
      <c r="D133" s="12" t="s">
        <v>1599</v>
      </c>
      <c r="E133" s="11" t="s">
        <v>1511</v>
      </c>
    </row>
    <row r="134" spans="1:5" ht="35.1" customHeight="1" thickBot="1" x14ac:dyDescent="0.35">
      <c r="B134" s="26" t="str">
        <f>IF(EXACT(SUBSTITUTE(LOWER(C134)," ",""),SUBSTITUTE(LOWER(D134)," ","")),"O","X")</f>
        <v>O</v>
      </c>
      <c r="C134" s="12" t="s">
        <v>1600</v>
      </c>
      <c r="D134" s="12" t="s">
        <v>1600</v>
      </c>
      <c r="E134" s="39" t="s">
        <v>1512</v>
      </c>
    </row>
    <row r="135" spans="1:5" ht="35.1" customHeight="1" thickBot="1" x14ac:dyDescent="0.35">
      <c r="A135" s="51"/>
      <c r="B135" s="26" t="str">
        <f>IF(OR(ISNUMBER(SEARCH("NAT",SUBSTITUTE(UPPER(D135)," ",""))),ISNUMBER(SEARCH("네트워크주소변환",SUBSTITUTE(D135," ","")))),"O","X")</f>
        <v>O</v>
      </c>
      <c r="C135" s="12" t="s">
        <v>971</v>
      </c>
      <c r="D135" s="12" t="s">
        <v>1666</v>
      </c>
      <c r="E135" s="55" t="s">
        <v>1513</v>
      </c>
    </row>
    <row r="136" spans="1:5" ht="35.1" customHeight="1" thickBot="1" x14ac:dyDescent="0.35">
      <c r="A136" s="51"/>
      <c r="B136" s="26" t="str">
        <f>IF(EXACT(SUBSTITUTE(LOWER(C136)," ",""),SUBSTITUTE(LOWER(D136)," ","")),"O","X")</f>
        <v>O</v>
      </c>
      <c r="C136" s="12" t="s">
        <v>973</v>
      </c>
      <c r="D136" s="12" t="s">
        <v>1663</v>
      </c>
      <c r="E136" s="11" t="s">
        <v>1569</v>
      </c>
    </row>
    <row r="137" spans="1:5" ht="35.1" customHeight="1" thickBot="1" x14ac:dyDescent="0.35">
      <c r="B137" s="26"/>
      <c r="C137" s="12"/>
      <c r="D137" s="12"/>
      <c r="E137" s="56" t="s">
        <v>1514</v>
      </c>
    </row>
    <row r="138" spans="1:5" ht="35.1" customHeight="1" thickBot="1" x14ac:dyDescent="0.35">
      <c r="B138" s="26"/>
      <c r="C138" s="12"/>
      <c r="D138" s="12"/>
      <c r="E138" s="11" t="s">
        <v>974</v>
      </c>
    </row>
    <row r="139" spans="1:5" ht="35.1" customHeight="1" thickBot="1" x14ac:dyDescent="0.35">
      <c r="B139" s="26" t="str">
        <f>IF(ISNUMBER(SEARCH("IGP",SUBSTITUTE(UPPER(D139)," ",""))),"O","X")</f>
        <v>O</v>
      </c>
      <c r="C139" s="12" t="s">
        <v>1061</v>
      </c>
      <c r="D139" s="12" t="s">
        <v>1602</v>
      </c>
      <c r="E139" s="39" t="s">
        <v>1515</v>
      </c>
    </row>
    <row r="140" spans="1:5" ht="35.1" customHeight="1" thickBot="1" x14ac:dyDescent="0.35">
      <c r="B140" s="26" t="str">
        <f>IF(EXACT(SUBSTITUTE(LOWER(C140)," ",""),SUBSTITUTE(LOWER(D140)," ","")),"O","X")</f>
        <v>O</v>
      </c>
      <c r="C140" s="12" t="s">
        <v>976</v>
      </c>
      <c r="D140" s="12" t="s">
        <v>976</v>
      </c>
      <c r="E140" s="11" t="s">
        <v>975</v>
      </c>
    </row>
    <row r="141" spans="1:5" ht="35.1" customHeight="1" thickBot="1" x14ac:dyDescent="0.35">
      <c r="B141" s="26" t="str">
        <f>IF(ISNUMBER(SEARCH("RIP",SUBSTITUTE(UPPER(D141)," ",""))),"O","X")</f>
        <v>O</v>
      </c>
      <c r="C141" s="44" t="s">
        <v>1062</v>
      </c>
      <c r="D141" s="44" t="s">
        <v>1603</v>
      </c>
      <c r="E141" s="39" t="s">
        <v>1517</v>
      </c>
    </row>
    <row r="142" spans="1:5" ht="89.25" customHeight="1" thickBot="1" x14ac:dyDescent="0.35">
      <c r="B142" s="26" t="str">
        <f>IF(ISNUMBER(SEARCH("OSPF",SUBSTITUTE(UPPER(D142)," ",""))),"O","X")</f>
        <v>O</v>
      </c>
      <c r="C142" s="42" t="s">
        <v>1063</v>
      </c>
      <c r="D142" s="42" t="s">
        <v>1604</v>
      </c>
      <c r="E142" s="39" t="s">
        <v>1516</v>
      </c>
    </row>
    <row r="143" spans="1:5" ht="35.1" customHeight="1" thickBot="1" x14ac:dyDescent="0.35">
      <c r="B143" s="26" t="str">
        <f>IF(ISNUMBER(SEARCH("EGP",SUBSTITUTE(UPPER(D143)," ",""))),"O","X")</f>
        <v>O</v>
      </c>
      <c r="C143" s="12" t="s">
        <v>1064</v>
      </c>
      <c r="D143" s="12" t="s">
        <v>1605</v>
      </c>
      <c r="E143" s="39" t="s">
        <v>1518</v>
      </c>
    </row>
    <row r="144" spans="1:5" ht="35.1" customHeight="1" thickBot="1" x14ac:dyDescent="0.35">
      <c r="B144" s="26" t="str">
        <f>IF(ISNUMBER(SEARCH("BGP",SUBSTITUTE(UPPER(D144)," ",""))),"O","X")</f>
        <v>O</v>
      </c>
      <c r="C144" s="12" t="s">
        <v>977</v>
      </c>
      <c r="D144" s="12" t="s">
        <v>1606</v>
      </c>
      <c r="E144" s="11" t="s">
        <v>1570</v>
      </c>
    </row>
    <row r="145" spans="1:5" ht="35.1" customHeight="1" thickBot="1" x14ac:dyDescent="0.35">
      <c r="A145" s="51"/>
      <c r="B145" s="26" t="str">
        <f>IF(ISNUMBER(SEARCH("트래픽제어",SUBSTITUTE(UPPER(D145)," ",""))),"O","X")</f>
        <v>O</v>
      </c>
      <c r="C145" s="12" t="s">
        <v>978</v>
      </c>
      <c r="D145" s="12" t="s">
        <v>1653</v>
      </c>
      <c r="E145" s="11" t="s">
        <v>1519</v>
      </c>
    </row>
    <row r="146" spans="1:5" ht="35.1" customHeight="1" thickBot="1" x14ac:dyDescent="0.35">
      <c r="B146" s="26"/>
      <c r="C146" s="44"/>
      <c r="D146" s="44"/>
      <c r="E146" s="11" t="s">
        <v>1571</v>
      </c>
    </row>
    <row r="147" spans="1:5" ht="35.1" customHeight="1" thickBot="1" x14ac:dyDescent="0.35">
      <c r="B147" s="26" t="str">
        <f>IF(ISNUMBER(SEARCH("흐름제어",SUBSTITUTE(UPPER(D147)," ",""))),"O","X")</f>
        <v>O</v>
      </c>
      <c r="C147" s="12" t="s">
        <v>979</v>
      </c>
      <c r="D147" s="12" t="s">
        <v>1607</v>
      </c>
      <c r="E147" s="39" t="s">
        <v>1521</v>
      </c>
    </row>
    <row r="148" spans="1:5" ht="35.1" customHeight="1" thickBot="1" x14ac:dyDescent="0.35">
      <c r="A148" s="51"/>
      <c r="B148" s="26" t="str">
        <f>IF(ISNUMBER(SEARCH("정지-대기",SUBSTITUTE(UPPER(D148)," ",""))),"O","X")</f>
        <v>O</v>
      </c>
      <c r="C148" s="12" t="s">
        <v>980</v>
      </c>
      <c r="D148" s="12" t="s">
        <v>1667</v>
      </c>
      <c r="E148" s="11" t="s">
        <v>1520</v>
      </c>
    </row>
    <row r="149" spans="1:5" ht="35.1" customHeight="1" thickBot="1" x14ac:dyDescent="0.35">
      <c r="A149" s="51"/>
      <c r="B149" s="26" t="str">
        <f>IF(ISNUMBER(SEARCH("슬라이딩윈도우",SUBSTITUTE(UPPER(D149)," ",""))),"O","X")</f>
        <v>O</v>
      </c>
      <c r="C149" s="12" t="s">
        <v>981</v>
      </c>
      <c r="D149" s="12" t="s">
        <v>1668</v>
      </c>
      <c r="E149" s="11" t="s">
        <v>982</v>
      </c>
    </row>
    <row r="150" spans="1:5" ht="35.1" customHeight="1" thickBot="1" x14ac:dyDescent="0.35">
      <c r="A150" s="51"/>
      <c r="B150" s="26" t="str">
        <f>IF(ISNUMBER(SEARCH("폭주제어",SUBSTITUTE(UPPER(D150)," ",""))),"O","X")</f>
        <v>X</v>
      </c>
      <c r="C150" s="12" t="s">
        <v>983</v>
      </c>
      <c r="D150" s="12"/>
      <c r="E150" s="11" t="s">
        <v>1522</v>
      </c>
    </row>
    <row r="151" spans="1:5" ht="35.1" customHeight="1" thickBot="1" x14ac:dyDescent="0.35">
      <c r="A151" s="51"/>
      <c r="B151" s="26" t="str">
        <f>IF(EXACT(SUBSTITUTE(LOWER(C151)," ",""),SUBSTITUTE(LOWER(D151)," ","")),"O","X")</f>
        <v>X</v>
      </c>
      <c r="C151" s="12" t="s">
        <v>985</v>
      </c>
      <c r="D151" s="12"/>
      <c r="E151" s="11" t="s">
        <v>984</v>
      </c>
    </row>
    <row r="152" spans="1:5" ht="35.1" customHeight="1" thickBot="1" x14ac:dyDescent="0.35">
      <c r="B152" s="26" t="str">
        <f>IF(OR(ISNUMBER(SEARCH("AI",SUBSTITUTE(UPPER(D152)," ",""))),ISNUMBER(SEARCH("인공지능",SUBSTITUTE(D152," ","")))),"O","X")</f>
        <v>O</v>
      </c>
      <c r="C152" s="41" t="s">
        <v>1023</v>
      </c>
      <c r="D152" s="45" t="s">
        <v>1608</v>
      </c>
      <c r="E152" s="2" t="s">
        <v>1523</v>
      </c>
    </row>
    <row r="153" spans="1:5" ht="60" customHeight="1" thickBot="1" x14ac:dyDescent="0.35">
      <c r="B153" s="26" t="str">
        <f>IF(ISNUMBER(SEARCH("뉴럴링크",SUBSTITUTE(UPPER(D153)," ",""))),"O","X")</f>
        <v>O</v>
      </c>
      <c r="C153" s="41" t="s">
        <v>1024</v>
      </c>
      <c r="D153" s="45" t="s">
        <v>1609</v>
      </c>
      <c r="E153" s="2" t="s">
        <v>1524</v>
      </c>
    </row>
    <row r="154" spans="1:5" ht="35.1" customHeight="1" thickBot="1" x14ac:dyDescent="0.35">
      <c r="B154" s="26" t="str">
        <f>IF(ISNUMBER(SEARCH("딥러닝",SUBSTITUTE(UPPER(D154)," ",""))),"O","X")</f>
        <v>O</v>
      </c>
      <c r="C154" s="41" t="s">
        <v>1025</v>
      </c>
      <c r="D154" s="45" t="s">
        <v>1610</v>
      </c>
      <c r="E154" s="2" t="s">
        <v>1525</v>
      </c>
    </row>
    <row r="155" spans="1:5" ht="35.1" customHeight="1" thickBot="1" x14ac:dyDescent="0.35">
      <c r="B155" s="26" t="str">
        <f>IF(ISNUMBER(SEARCH("전문가시스템",SUBSTITUTE(UPPER(D155)," ",""))),"O","X")</f>
        <v>O</v>
      </c>
      <c r="C155" s="41" t="s">
        <v>1026</v>
      </c>
      <c r="D155" s="45" t="s">
        <v>1611</v>
      </c>
      <c r="E155" s="2" t="s">
        <v>1526</v>
      </c>
    </row>
    <row r="156" spans="1:5" ht="35.1" customHeight="1" thickBot="1" x14ac:dyDescent="0.35">
      <c r="B156" s="26" t="str">
        <f>IF(OR(ISNUMBER(SEARCH("AR",SUBSTITUTE(UPPER(D156)," ",""))),ISNUMBER(SEARCH("증강현실",SUBSTITUTE(D156," ","")))),"O","X")</f>
        <v>O</v>
      </c>
      <c r="C156" s="41" t="s">
        <v>1027</v>
      </c>
      <c r="D156" s="45" t="s">
        <v>1612</v>
      </c>
      <c r="E156" s="2" t="s">
        <v>1527</v>
      </c>
    </row>
    <row r="157" spans="1:5" ht="35.1" customHeight="1" thickBot="1" x14ac:dyDescent="0.35">
      <c r="B157" s="26" t="str">
        <f>IF(OR(ISNUMBER(SEARCH("BLOCKCHAIN",SUBSTITUTE(UPPER(D157)," ",""))),ISNUMBER(SEARCH("블록체인",SUBSTITUTE(D157," ","")))),"O","X")</f>
        <v>O</v>
      </c>
      <c r="C157" s="41" t="s">
        <v>1028</v>
      </c>
      <c r="D157" s="45" t="s">
        <v>1613</v>
      </c>
      <c r="E157" s="2" t="s">
        <v>1528</v>
      </c>
    </row>
    <row r="158" spans="1:5" ht="59.25" customHeight="1" thickBot="1" x14ac:dyDescent="0.35">
      <c r="B158" s="26" t="str">
        <f>IF(OR(ISNUMBER(SEARCH("DLT",SUBSTITUTE(UPPER(D158)," ",""))),ISNUMBER(SEARCH("분장원장기술",SUBSTITUTE(D158," ","")))),"O","X")</f>
        <v>O</v>
      </c>
      <c r="C158" s="41" t="s">
        <v>1065</v>
      </c>
      <c r="D158" s="45" t="s">
        <v>1614</v>
      </c>
      <c r="E158" s="2" t="s">
        <v>1529</v>
      </c>
    </row>
    <row r="159" spans="1:5" ht="35.1" customHeight="1" thickBot="1" x14ac:dyDescent="0.35">
      <c r="B159" s="26" t="str">
        <f>IF(OR(ISNUMBER(SEARCH("HASH",SUBSTITUTE(UPPER(D159)," ",""))),ISNUMBER(SEARCH("해시",SUBSTITUTE(D159," ","")))),"O","X")</f>
        <v>O</v>
      </c>
      <c r="C159" s="41" t="s">
        <v>1029</v>
      </c>
      <c r="D159" s="45" t="s">
        <v>1615</v>
      </c>
      <c r="E159" s="2" t="s">
        <v>1530</v>
      </c>
    </row>
    <row r="160" spans="1:5" ht="60" customHeight="1" thickBot="1" x14ac:dyDescent="0.35">
      <c r="B160" s="26" t="str">
        <f>IF(OR(ISNUMBER(SEARCH("QKD",SUBSTITUTE(UPPER(D160)," ",""))),ISNUMBER(SEARCH("양자암호키분배",SUBSTITUTE(D160," ","")))),"O","X")</f>
        <v>O</v>
      </c>
      <c r="C160" s="41" t="s">
        <v>1066</v>
      </c>
      <c r="D160" s="45" t="s">
        <v>1616</v>
      </c>
      <c r="E160" s="2" t="s">
        <v>1531</v>
      </c>
    </row>
    <row r="161" spans="1:5" ht="61.5" customHeight="1" thickBot="1" x14ac:dyDescent="0.35">
      <c r="B161" s="26" t="str">
        <f>IF(OR(ISNUMBER(SEARCH("PET",SUBSTITUTE(UPPER(D161)," ",""))),ISNUMBER(SEARCH("프라이버시강화기술",SUBSTITUTE(D161," ","")))),"O","X")</f>
        <v>O</v>
      </c>
      <c r="C161" s="41" t="s">
        <v>1067</v>
      </c>
      <c r="D161" s="45" t="s">
        <v>1617</v>
      </c>
      <c r="E161" s="2" t="s">
        <v>1532</v>
      </c>
    </row>
    <row r="162" spans="1:5" ht="57.75" customHeight="1" thickBot="1" x14ac:dyDescent="0.35">
      <c r="B162" s="26" t="str">
        <f>IF(OR(ISNUMBER(SEARCH("CC",SUBSTITUTE(UPPER(D162)," ",""))),ISNUMBER(SEARCH("공통평가기술",SUBSTITUTE(D162," ","")))),"O","X")</f>
        <v>O</v>
      </c>
      <c r="C162" s="41" t="s">
        <v>1068</v>
      </c>
      <c r="D162" s="45" t="s">
        <v>1618</v>
      </c>
      <c r="E162" s="2" t="s">
        <v>1533</v>
      </c>
    </row>
    <row r="163" spans="1:5" ht="59.25" customHeight="1" thickBot="1" x14ac:dyDescent="0.35">
      <c r="B163" s="26" t="str">
        <f>IF(OR(ISNUMBER(SEARCH("PIA",SUBSTITUTE(UPPER(D163)," ",""))),ISNUMBER(SEARCH("개인정보영향평가제도",SUBSTITUTE(D163," ","")))),"O","X")</f>
        <v>O</v>
      </c>
      <c r="C163" s="41" t="s">
        <v>1069</v>
      </c>
      <c r="D163" s="45" t="s">
        <v>1619</v>
      </c>
      <c r="E163" s="2" t="s">
        <v>986</v>
      </c>
    </row>
    <row r="164" spans="1:5" ht="60" customHeight="1" thickBot="1" x14ac:dyDescent="0.35">
      <c r="B164" s="26" t="str">
        <f>IF(OR(ISNUMBER(SEARCH("GRAYWARE",SUBSTITUTE(UPPER(D164)," ",""))),ISNUMBER(SEARCH("그레이웨어",SUBSTITUTE(D164," ","")))),"O","X")</f>
        <v>O</v>
      </c>
      <c r="C164" s="41" t="s">
        <v>1030</v>
      </c>
      <c r="D164" s="45" t="s">
        <v>1620</v>
      </c>
      <c r="E164" s="2" t="s">
        <v>987</v>
      </c>
    </row>
    <row r="165" spans="1:5" ht="60" customHeight="1" thickBot="1" x14ac:dyDescent="0.35">
      <c r="A165" s="51"/>
      <c r="B165" s="26" t="str">
        <f>IF(OR(ISNUMBER(SEARCH("MASHUP",SUBSTITUTE(UPPER(D165)," ",""))),ISNUMBER(SEARCH("매시업",SUBSTITUTE(D165," ","")))),"O","X")</f>
        <v>X</v>
      </c>
      <c r="C165" s="41" t="s">
        <v>1031</v>
      </c>
      <c r="D165" s="45"/>
      <c r="E165" s="2" t="s">
        <v>1534</v>
      </c>
    </row>
    <row r="166" spans="1:5" ht="61.5" customHeight="1" thickBot="1" x14ac:dyDescent="0.35">
      <c r="B166" s="26" t="str">
        <f>IF(OR(ISNUMBER(SEARCH("RIA",SUBSTITUTE(UPPER(D166)," ",""))),ISNUMBER(SEARCH("리치인터넷애플리케이션",SUBSTITUTE(D166," ","")))),"O","X")</f>
        <v>O</v>
      </c>
      <c r="C166" s="41" t="s">
        <v>1070</v>
      </c>
      <c r="D166" s="45" t="s">
        <v>1621</v>
      </c>
      <c r="E166" s="2" t="s">
        <v>1572</v>
      </c>
    </row>
    <row r="167" spans="1:5" ht="35.1" customHeight="1" thickBot="1" x14ac:dyDescent="0.35">
      <c r="B167" s="26" t="str">
        <f>IF(OR(ISNUMBER(SEARCH("SEMANTICWEB",SUBSTITUTE(UPPER(D167)," ",""))),ISNUMBER(SEARCH("시맨틱웹",SUBSTITUTE(D167," ","")))),"O","X")</f>
        <v>O</v>
      </c>
      <c r="C167" s="41" t="s">
        <v>1032</v>
      </c>
      <c r="D167" s="45" t="s">
        <v>1622</v>
      </c>
      <c r="E167" s="2" t="s">
        <v>1535</v>
      </c>
    </row>
    <row r="168" spans="1:5" ht="35.1" customHeight="1" thickBot="1" x14ac:dyDescent="0.35">
      <c r="B168" s="26" t="str">
        <f>IF(OR(ISNUMBER(SEARCH("VAPORWARE",SUBSTITUTE(UPPER(D168)," ",""))),ISNUMBER(SEARCH("증발품",SUBSTITUTE(D168," ","")))),"O","X")</f>
        <v>O</v>
      </c>
      <c r="C168" s="41" t="s">
        <v>1033</v>
      </c>
      <c r="D168" s="45" t="s">
        <v>1623</v>
      </c>
      <c r="E168" s="2" t="s">
        <v>1536</v>
      </c>
    </row>
    <row r="169" spans="1:5" ht="35.1" customHeight="1" thickBot="1" x14ac:dyDescent="0.35">
      <c r="A169" s="51"/>
      <c r="B169" s="26" t="str">
        <f>IF(OR(ISNUMBER(SEARCH("OGSA",SUBSTITUTE(UPPER(D169)," ",""))),ISNUMBER(SEARCH("오픈그리드서비스아키텍처",SUBSTITUTE(D169," ","")))),"O","X")</f>
        <v>O</v>
      </c>
      <c r="C169" s="41" t="s">
        <v>1034</v>
      </c>
      <c r="D169" s="45" t="s">
        <v>1669</v>
      </c>
      <c r="E169" s="2" t="s">
        <v>1537</v>
      </c>
    </row>
    <row r="170" spans="1:5" ht="59.25" customHeight="1" thickBot="1" x14ac:dyDescent="0.35">
      <c r="A170" s="51"/>
      <c r="B170" s="26" t="str">
        <f>IF(OR(ISNUMBER(SEARCH("SOA",SUBSTITUTE(UPPER(D170)," ",""))),ISNUMBER(SEARCH("서비스지향아키텍처",SUBSTITUTE(D170," ","")))),"O","X")</f>
        <v>X</v>
      </c>
      <c r="C170" s="41" t="s">
        <v>1071</v>
      </c>
      <c r="D170" s="45"/>
      <c r="E170" s="2" t="s">
        <v>1573</v>
      </c>
    </row>
    <row r="171" spans="1:5" ht="59.25" customHeight="1" thickBot="1" x14ac:dyDescent="0.35">
      <c r="B171" s="26" t="str">
        <f>IF(OR(ISNUMBER(SEARCH("SAAS",SUBSTITUTE(UPPER(D171)," ",""))),ISNUMBER(SEARCH("서비스형소프트웨어",SUBSTITUTE(D171," ","")))),"O","X")</f>
        <v>O</v>
      </c>
      <c r="C171" s="41" t="s">
        <v>1072</v>
      </c>
      <c r="D171" s="45" t="s">
        <v>1624</v>
      </c>
      <c r="E171" s="2" t="s">
        <v>1538</v>
      </c>
    </row>
    <row r="172" spans="1:5" ht="63.75" customHeight="1" thickBot="1" x14ac:dyDescent="0.35">
      <c r="B172" s="26" t="str">
        <f>IF(OR(ISNUMBER(SEARCH("SOFTWAREESCROW",SUBSTITUTE(UPPER(D172)," ",""))),ISNUMBER(SEARCH("소프트웨어에스크로",SUBSTITUTE(D172," ","")))),"O","X")</f>
        <v>O</v>
      </c>
      <c r="C172" s="41" t="s">
        <v>1073</v>
      </c>
      <c r="D172" s="45" t="s">
        <v>1625</v>
      </c>
      <c r="E172" s="2" t="s">
        <v>1539</v>
      </c>
    </row>
    <row r="173" spans="1:5" ht="63" customHeight="1" thickBot="1" x14ac:dyDescent="0.35">
      <c r="A173" s="51"/>
      <c r="B173" s="26" t="str">
        <f>IF(OR(ISNUMBER(SEARCH("CEP",SUBSTITUTE(UPPER(D173)," ",""))),ISNUMBER(SEARCH("복잡이벤트처리",SUBSTITUTE(D173," ","")))),"O","X")</f>
        <v>O</v>
      </c>
      <c r="C173" s="41" t="s">
        <v>1074</v>
      </c>
      <c r="D173" s="45" t="s">
        <v>1670</v>
      </c>
      <c r="E173" s="2" t="s">
        <v>1574</v>
      </c>
    </row>
    <row r="174" spans="1:5" ht="60" customHeight="1" thickBot="1" x14ac:dyDescent="0.35">
      <c r="B174" s="26" t="str">
        <f>IF(OR(ISNUMBER(SEARCH("DIGITALTWIN",SUBSTITUTE(UPPER(D174)," ",""))),ISNUMBER(SEARCH("디지털트윈",SUBSTITUTE(D174," ","")))),"O","X")</f>
        <v>O</v>
      </c>
      <c r="C174" s="41" t="s">
        <v>1035</v>
      </c>
      <c r="D174" s="45" t="s">
        <v>1626</v>
      </c>
      <c r="E174" s="2" t="s">
        <v>1541</v>
      </c>
    </row>
    <row r="175" spans="1:5" ht="35.1" customHeight="1" thickBot="1" x14ac:dyDescent="0.35">
      <c r="A175" s="51"/>
      <c r="B175" s="26" t="str">
        <f>IF(OR(ISNUMBER(SEARCH("HA",SUBSTITUTE(UPPER(D175)," ",""))),ISNUMBER(SEARCH("고가용성",SUBSTITUTE(D175," ","")))),"O","X")</f>
        <v>O</v>
      </c>
      <c r="C175" s="41" t="s">
        <v>1036</v>
      </c>
      <c r="D175" s="45" t="s">
        <v>1654</v>
      </c>
      <c r="E175" s="2" t="s">
        <v>1542</v>
      </c>
    </row>
    <row r="176" spans="1:5" ht="60" customHeight="1" thickBot="1" x14ac:dyDescent="0.35">
      <c r="B176" s="26" t="str">
        <f>IF(EXACT(SUBSTITUTE(LOWER(C176)," ",""),SUBSTITUTE(LOWER(D176)," ","")),"O","X")</f>
        <v>O</v>
      </c>
      <c r="C176" s="41" t="s">
        <v>988</v>
      </c>
      <c r="D176" s="45" t="s">
        <v>1627</v>
      </c>
      <c r="E176" s="2" t="s">
        <v>1540</v>
      </c>
    </row>
    <row r="177" spans="1:5" ht="35.1" customHeight="1" thickBot="1" x14ac:dyDescent="0.35">
      <c r="B177" s="26" t="str">
        <f>IF(EXACT(SUBSTITUTE(LOWER(C177)," ",""),SUBSTITUTE(LOWER(D177)," ","")),"O","X")</f>
        <v>O</v>
      </c>
      <c r="C177" s="41" t="s">
        <v>989</v>
      </c>
      <c r="D177" s="45" t="s">
        <v>1628</v>
      </c>
      <c r="E177" s="2" t="s">
        <v>990</v>
      </c>
    </row>
    <row r="178" spans="1:5" ht="60" customHeight="1" thickBot="1" x14ac:dyDescent="0.35">
      <c r="B178" s="26" t="str">
        <f>IF(EXACT(SUBSTITUTE(LOWER(C178)," ",""),SUBSTITUTE(LOWER(D178)," ","")),"O","X")</f>
        <v>O</v>
      </c>
      <c r="C178" s="41" t="s">
        <v>1075</v>
      </c>
      <c r="D178" s="45" t="s">
        <v>1075</v>
      </c>
      <c r="E178" s="2" t="s">
        <v>1575</v>
      </c>
    </row>
    <row r="179" spans="1:5" ht="35.1" customHeight="1" thickBot="1" x14ac:dyDescent="0.35">
      <c r="B179" s="26" t="str">
        <f>IF(EXACT(SUBSTITUTE(LOWER(C179)," ",""),SUBSTITUTE(LOWER(D179)," ","")),"O","X")</f>
        <v>O</v>
      </c>
      <c r="C179" s="41" t="s">
        <v>991</v>
      </c>
      <c r="D179" s="45" t="s">
        <v>1629</v>
      </c>
      <c r="E179" s="2" t="s">
        <v>1576</v>
      </c>
    </row>
    <row r="180" spans="1:5" ht="35.1" customHeight="1" thickBot="1" x14ac:dyDescent="0.35">
      <c r="B180" s="26" t="str">
        <f>IF(OR(ISNUMBER(SEARCH("N-SCREEN",SUBSTITUTE(UPPER(D180)," ",""))),ISNUMBER(SEARCH("앤스크린",SUBSTITUTE(D180," ","")))),"O","X")</f>
        <v>O</v>
      </c>
      <c r="C180" s="41" t="s">
        <v>1037</v>
      </c>
      <c r="D180" s="45" t="s">
        <v>1630</v>
      </c>
      <c r="E180" s="2" t="s">
        <v>992</v>
      </c>
    </row>
    <row r="181" spans="1:5" ht="60" customHeight="1" thickBot="1" x14ac:dyDescent="0.35">
      <c r="B181" s="26" t="str">
        <f>IF(OR(ISNUMBER(SEARCH("COMPANIONSCREEN",SUBSTITUTE(UPPER(D181)," ",""))),ISNUMBER(SEARCH("컴패니언스크린",SUBSTITUTE(D181," ","")))),"O","X")</f>
        <v>O</v>
      </c>
      <c r="C181" s="42" t="s">
        <v>1076</v>
      </c>
      <c r="D181" s="42" t="s">
        <v>1631</v>
      </c>
      <c r="E181" s="2" t="s">
        <v>993</v>
      </c>
    </row>
    <row r="182" spans="1:5" ht="35.1" customHeight="1" thickBot="1" x14ac:dyDescent="0.35">
      <c r="B182" s="26" t="str">
        <f>IF(OR(ISNUMBER(SEARCH("THINCLIENTPC",SUBSTITUTE(UPPER(D182)," ",""))),ISNUMBER(SEARCH("신클라이언트PC",SUBSTITUTE(D182," ","")))),"O","X")</f>
        <v>O</v>
      </c>
      <c r="C182" s="41" t="s">
        <v>1038</v>
      </c>
      <c r="D182" s="45" t="s">
        <v>1632</v>
      </c>
      <c r="E182" s="2" t="s">
        <v>1543</v>
      </c>
    </row>
    <row r="183" spans="1:5" ht="35.1" customHeight="1" thickBot="1" x14ac:dyDescent="0.35">
      <c r="B183" s="26" t="str">
        <f>IF(OR(ISNUMBER(SEARCH("PHABLET",SUBSTITUTE(UPPER(D183)," ",""))),ISNUMBER(SEARCH("패블릿",SUBSTITUTE(D183," ","")))),"O","X")</f>
        <v>O</v>
      </c>
      <c r="C183" s="41" t="s">
        <v>1039</v>
      </c>
      <c r="D183" s="45" t="s">
        <v>1633</v>
      </c>
      <c r="E183" s="2" t="s">
        <v>1544</v>
      </c>
    </row>
    <row r="184" spans="1:5" ht="35.1" customHeight="1" thickBot="1" x14ac:dyDescent="0.35">
      <c r="B184" s="26" t="str">
        <f>IF(EXACT(SUBSTITUTE(LOWER(C184)," ",""),SUBSTITUTE(LOWER(D184)," ","")),"O","X")</f>
        <v>O</v>
      </c>
      <c r="C184" s="41" t="s">
        <v>994</v>
      </c>
      <c r="D184" s="45" t="s">
        <v>1634</v>
      </c>
      <c r="E184" s="2" t="s">
        <v>1545</v>
      </c>
    </row>
    <row r="185" spans="1:5" ht="58.5" customHeight="1" thickBot="1" x14ac:dyDescent="0.35">
      <c r="A185" s="51"/>
      <c r="B185" s="26" t="str">
        <f>IF(OR(ISNUMBER(SEARCH("MEMS",SUBSTITUTE(UPPER(D185)," ",""))),ISNUMBER(SEARCH("멤스",SUBSTITUTE(D185," ","")))),"O","X")</f>
        <v>O</v>
      </c>
      <c r="C185" s="42" t="s">
        <v>1077</v>
      </c>
      <c r="D185" s="42" t="s">
        <v>1655</v>
      </c>
      <c r="E185" s="2" t="s">
        <v>1546</v>
      </c>
    </row>
    <row r="186" spans="1:5" ht="59.25" customHeight="1" thickBot="1" x14ac:dyDescent="0.35">
      <c r="A186" s="51"/>
      <c r="B186" s="26" t="str">
        <f>IF(ISNUMBER(SEARCH("트러스트존기술",SUBSTITUTE(D186," ",""))),"O","X")</f>
        <v>O</v>
      </c>
      <c r="C186" s="41" t="s">
        <v>1078</v>
      </c>
      <c r="D186" s="45" t="s">
        <v>1656</v>
      </c>
      <c r="E186" s="2" t="s">
        <v>1547</v>
      </c>
    </row>
    <row r="187" spans="1:5" ht="60" customHeight="1" thickBot="1" x14ac:dyDescent="0.35">
      <c r="B187" s="26" t="str">
        <f>IF(OR(ISNUMBER(SEARCH("M-DISC",SUBSTITUTE(UPPER(D187)," ",""))),ISNUMBER(SEARCH("엠디스크",SUBSTITUTE(D187," ","")))),"O","X")</f>
        <v>O</v>
      </c>
      <c r="C187" s="41" t="s">
        <v>1040</v>
      </c>
      <c r="D187" s="45" t="s">
        <v>1635</v>
      </c>
      <c r="E187" s="2" t="s">
        <v>1548</v>
      </c>
    </row>
    <row r="188" spans="1:5" ht="60" customHeight="1" thickBot="1" x14ac:dyDescent="0.35">
      <c r="B188" s="26" t="str">
        <f>IF(OR(ISNUMBER(SEARCH("MEMRISTER",SUBSTITUTE(UPPER(D188)," ",""))),ISNUMBER(SEARCH("멤리스터",SUBSTITUTE(D188," ","")))),"O","X")</f>
        <v>O</v>
      </c>
      <c r="C188" s="41" t="s">
        <v>1041</v>
      </c>
      <c r="D188" s="45" t="s">
        <v>1636</v>
      </c>
      <c r="E188" s="2" t="s">
        <v>1577</v>
      </c>
    </row>
    <row r="189" spans="1:5" ht="35.1" customHeight="1" thickBot="1" x14ac:dyDescent="0.35">
      <c r="B189" s="26" t="str">
        <f>IF(OR(ISNUMBER(SEARCH("BIGDATA",SUBSTITUTE(UPPER(D189)," ",""))),ISNUMBER(SEARCH("빅데이터",SUBSTITUTE(D189," ","")))),"O","X")</f>
        <v>O</v>
      </c>
      <c r="C189" s="41" t="s">
        <v>1042</v>
      </c>
      <c r="D189" s="45" t="s">
        <v>1637</v>
      </c>
      <c r="E189" s="2" t="s">
        <v>1549</v>
      </c>
    </row>
    <row r="190" spans="1:5" ht="60" customHeight="1" thickBot="1" x14ac:dyDescent="0.35">
      <c r="B190" s="26" t="str">
        <f>IF(OR(ISNUMBER(SEARCH("BROADDATA",SUBSTITUTE(UPPER(D190)," ",""))),ISNUMBER(SEARCH("브로드데이터",SUBSTITUTE(D190," ","")))),"O","X")</f>
        <v>O</v>
      </c>
      <c r="C190" s="41" t="s">
        <v>1043</v>
      </c>
      <c r="D190" s="45" t="s">
        <v>1638</v>
      </c>
      <c r="E190" s="2" t="s">
        <v>1550</v>
      </c>
    </row>
    <row r="191" spans="1:5" ht="63" customHeight="1" thickBot="1" x14ac:dyDescent="0.35">
      <c r="B191" s="26" t="str">
        <f>IF(OR(ISNUMBER(SEARCH("METADATA",SUBSTITUTE(UPPER(D191)," ",""))),ISNUMBER(SEARCH("메타데이터",SUBSTITUTE(D191," ","")))),"O","X")</f>
        <v>O</v>
      </c>
      <c r="C191" s="45" t="s">
        <v>1044</v>
      </c>
      <c r="D191" s="45" t="s">
        <v>1639</v>
      </c>
      <c r="E191" s="2" t="s">
        <v>1551</v>
      </c>
    </row>
    <row r="192" spans="1:5" ht="60" customHeight="1" thickBot="1" x14ac:dyDescent="0.35">
      <c r="A192" s="51"/>
      <c r="B192" s="26" t="str">
        <f>IF(OR(ISNUMBER(SEARCH("DIGITALARCHIVING",SUBSTITUTE(UPPER(D192)," ",""))),ISNUMBER(SEARCH("디지털아카이빙",SUBSTITUTE(D192," ","")))),"O","X")</f>
        <v>O</v>
      </c>
      <c r="C192" s="41" t="s">
        <v>1045</v>
      </c>
      <c r="D192" s="45" t="s">
        <v>1657</v>
      </c>
      <c r="E192" s="2" t="s">
        <v>1552</v>
      </c>
    </row>
    <row r="193" spans="1:5" ht="60" customHeight="1" thickBot="1" x14ac:dyDescent="0.35">
      <c r="A193" s="51"/>
      <c r="B193" s="26" t="str">
        <f>IF(OR(ISNUMBER(SEARCH("HADOOP",SUBSTITUTE(UPPER(D193)," ",""))),ISNUMBER(SEARCH("하둡",SUBSTITUTE(D193," ","")))),"O","X")</f>
        <v>O</v>
      </c>
      <c r="C193" s="41" t="s">
        <v>1046</v>
      </c>
      <c r="D193" s="45" t="s">
        <v>1671</v>
      </c>
      <c r="E193" s="2" t="s">
        <v>1553</v>
      </c>
    </row>
    <row r="194" spans="1:5" ht="60" customHeight="1" thickBot="1" x14ac:dyDescent="0.35">
      <c r="B194" s="26" t="str">
        <f>IF(OR(ISNUMBER(SEARCH("MAPREDUCE",SUBSTITUTE(UPPER(D194)," ",""))),ISNUMBER(SEARCH("맵리듀스",SUBSTITUTE(D194," ","")))),"O","X")</f>
        <v>O</v>
      </c>
      <c r="C194" s="41" t="s">
        <v>1047</v>
      </c>
      <c r="D194" s="45" t="s">
        <v>1640</v>
      </c>
      <c r="E194" s="2" t="s">
        <v>1554</v>
      </c>
    </row>
    <row r="195" spans="1:5" ht="35.1" customHeight="1" thickBot="1" x14ac:dyDescent="0.35">
      <c r="B195" s="26" t="str">
        <f>IF(OR(ISNUMBER(SEARCH("TAJO",SUBSTITUTE(UPPER(D195)," ",""))),ISNUMBER(SEARCH("타조",SUBSTITUTE(D195," ","")))),"O","X")</f>
        <v>O</v>
      </c>
      <c r="C195" s="41" t="s">
        <v>1048</v>
      </c>
      <c r="D195" s="45" t="s">
        <v>1641</v>
      </c>
      <c r="E195" s="2" t="s">
        <v>1555</v>
      </c>
    </row>
    <row r="196" spans="1:5" ht="35.1" customHeight="1" thickBot="1" x14ac:dyDescent="0.35">
      <c r="B196" s="26" t="str">
        <f>IF(OR(ISNUMBER(SEARCH("DATADIET",SUBSTITUTE(UPPER(D196)," ",""))),ISNUMBER(SEARCH("데이터다이어트",SUBSTITUTE(D196," ","")))),"O","X")</f>
        <v>O</v>
      </c>
      <c r="C196" s="41" t="s">
        <v>1049</v>
      </c>
      <c r="D196" s="45" t="s">
        <v>1642</v>
      </c>
      <c r="E196" s="2" t="s">
        <v>1556</v>
      </c>
    </row>
    <row r="197" spans="1:5" ht="35.1" customHeight="1" thickBot="1" x14ac:dyDescent="0.35">
      <c r="B197" s="26" t="str">
        <f>IF(OR(ISNUMBER(SEARCH("DATAMINING",SUBSTITUTE(UPPER(D197)," ",""))),ISNUMBER(SEARCH("데이터마이닝",SUBSTITUTE(D197," ","")))),"O","X")</f>
        <v>O</v>
      </c>
      <c r="C197" s="41" t="s">
        <v>1050</v>
      </c>
      <c r="D197" s="45" t="s">
        <v>1643</v>
      </c>
      <c r="E197" s="2" t="s">
        <v>1557</v>
      </c>
    </row>
    <row r="198" spans="1:5" ht="61.5" customHeight="1" thickBot="1" x14ac:dyDescent="0.35">
      <c r="A198" s="51"/>
      <c r="B198" s="26" t="str">
        <f>IF(ISNUMBER(SEARCH("OLAP",SUBSTITUTE(UPPER(D198)," ",""))),"O","X")</f>
        <v>X</v>
      </c>
      <c r="C198" s="41" t="s">
        <v>1079</v>
      </c>
      <c r="D198" s="45"/>
      <c r="E198" s="2" t="s">
        <v>1578</v>
      </c>
    </row>
    <row r="199" spans="1:5" ht="35.1" customHeight="1" thickBot="1" x14ac:dyDescent="0.35">
      <c r="B199" s="26" t="str">
        <f>IF(OR(ISNUMBER(SEARCH("RECOVERY",SUBSTITUTE(UPPER(D199)," ",""))),ISNUMBER(SEARCH("회복",SUBSTITUTE(D199," ","")))),"O","X")</f>
        <v>O</v>
      </c>
      <c r="C199" s="12" t="s">
        <v>995</v>
      </c>
      <c r="D199" s="12" t="s">
        <v>1644</v>
      </c>
      <c r="E199" s="11" t="s">
        <v>1558</v>
      </c>
    </row>
    <row r="200" spans="1:5" ht="35.1" customHeight="1" thickBot="1" x14ac:dyDescent="0.35">
      <c r="A200" s="51"/>
      <c r="B200" s="26" t="str">
        <f>IF(EXACT(SUBSTITUTE(LOWER(C200)," ",""),SUBSTITUTE(LOWER(D200)," ","")),"O","X")</f>
        <v>X</v>
      </c>
      <c r="C200" s="46" t="s">
        <v>1001</v>
      </c>
      <c r="D200" s="46"/>
      <c r="E200" s="11" t="s">
        <v>996</v>
      </c>
    </row>
    <row r="201" spans="1:5" ht="35.1" customHeight="1" thickBot="1" x14ac:dyDescent="0.35">
      <c r="A201" s="51"/>
      <c r="B201" s="26" t="str">
        <f>IF(OR(ISNUMBER(SEARCH("DEFERREDUPDATE",SUBSTITUTE(UPPER(D201)," ",""))),ISNUMBER(SEARCH("연기갱신기법",SUBSTITUTE(D201," ","")))),"O","X")</f>
        <v>O</v>
      </c>
      <c r="C201" s="12" t="s">
        <v>997</v>
      </c>
      <c r="D201" s="12" t="s">
        <v>1658</v>
      </c>
      <c r="E201" s="11" t="s">
        <v>1559</v>
      </c>
    </row>
    <row r="202" spans="1:5" ht="35.1" customHeight="1" thickBot="1" x14ac:dyDescent="0.35">
      <c r="A202" s="51"/>
      <c r="B202" s="26" t="str">
        <f>IF(OR(ISNUMBER(SEARCH("IMMEDIATEUPDATE",SUBSTITUTE(UPPER(D202)," ",""))),ISNUMBER(SEARCH("즉각갱신기법",SUBSTITUTE(D202," ","")))),"O","X")</f>
        <v>O</v>
      </c>
      <c r="C202" s="12" t="s">
        <v>998</v>
      </c>
      <c r="D202" s="12" t="s">
        <v>1659</v>
      </c>
      <c r="E202" s="11" t="s">
        <v>1560</v>
      </c>
    </row>
    <row r="203" spans="1:5" ht="68.25" customHeight="1" thickBot="1" x14ac:dyDescent="0.35">
      <c r="A203" s="51"/>
      <c r="B203" s="26" t="str">
        <f>IF(OR(ISNUMBER(SEARCH("SHADOWPAGING",SUBSTITUTE(UPPER(D203)," ",""))),ISNUMBER(SEARCH("그림자페이지대체기법",SUBSTITUTE(D203," ","")))),"O","X")</f>
        <v>O</v>
      </c>
      <c r="C203" s="44" t="s">
        <v>999</v>
      </c>
      <c r="D203" s="44" t="s">
        <v>1660</v>
      </c>
      <c r="E203" s="54" t="s">
        <v>1562</v>
      </c>
    </row>
    <row r="204" spans="1:5" ht="64.5" customHeight="1" thickBot="1" x14ac:dyDescent="0.35">
      <c r="B204" s="26" t="str">
        <f>IF(OR(ISNUMBER(SEARCH("CHECKPOINT",SUBSTITUTE(UPPER(D204)," ",""))),ISNUMBER(SEARCH("검사점기법",SUBSTITUTE(D204," ","")))),"O","X")</f>
        <v>O</v>
      </c>
      <c r="C204" s="12" t="s">
        <v>1000</v>
      </c>
      <c r="D204" s="12" t="s">
        <v>1645</v>
      </c>
      <c r="E204" s="54" t="s">
        <v>1561</v>
      </c>
    </row>
    <row r="205" spans="1:5" ht="35.1" customHeight="1" thickBot="1" x14ac:dyDescent="0.35">
      <c r="A205" s="51"/>
      <c r="B205" s="26" t="str">
        <f>IF(ISNUMBER(SEARCH("병행제어",SUBSTITUTE(UPPER(D205)," ",""))),"O","X")</f>
        <v>O</v>
      </c>
      <c r="C205" s="12" t="s">
        <v>1002</v>
      </c>
      <c r="D205" s="12" t="s">
        <v>1661</v>
      </c>
      <c r="E205" s="39" t="s">
        <v>1563</v>
      </c>
    </row>
    <row r="206" spans="1:5" ht="35.1" customHeight="1" thickBot="1" x14ac:dyDescent="0.35">
      <c r="B206" s="26"/>
      <c r="C206" s="46"/>
      <c r="D206" s="46"/>
      <c r="E206" s="39" t="s">
        <v>1007</v>
      </c>
    </row>
    <row r="207" spans="1:5" ht="35.1" customHeight="1" thickBot="1" x14ac:dyDescent="0.35">
      <c r="B207" s="26" t="str">
        <f>IF(OR(ISNUMBER(SEARCH("LOCKING",SUBSTITUTE(UPPER(D207)," ",""))),ISNUMBER(SEARCH("로킹",SUBSTITUTE(D207," ","")))),"O","X")</f>
        <v>O</v>
      </c>
      <c r="C207" s="12" t="s">
        <v>1003</v>
      </c>
      <c r="D207" s="12" t="s">
        <v>1646</v>
      </c>
      <c r="E207" s="11" t="s">
        <v>1564</v>
      </c>
    </row>
    <row r="208" spans="1:5" ht="35.1" customHeight="1" thickBot="1" x14ac:dyDescent="0.35">
      <c r="A208" s="51"/>
      <c r="B208" s="26" t="str">
        <f>IF(ISNUMBER(SEARCH("타임스탬프순서",SUBSTITUTE(UPPER(D208)," ",""))),"O","X")</f>
        <v>O</v>
      </c>
      <c r="C208" s="44" t="s">
        <v>1004</v>
      </c>
      <c r="D208" s="44" t="s">
        <v>1662</v>
      </c>
      <c r="E208" s="39" t="s">
        <v>1565</v>
      </c>
    </row>
    <row r="209" spans="1:5" ht="63.75" customHeight="1" thickBot="1" x14ac:dyDescent="0.35">
      <c r="A209" s="51"/>
      <c r="B209" s="26" t="str">
        <f>IF(ISNUMBER(SEARCH("최적병행수행",SUBSTITUTE(UPPER(D209)," ",""))),"O","X")</f>
        <v>O</v>
      </c>
      <c r="C209" s="41" t="s">
        <v>1080</v>
      </c>
      <c r="D209" s="45" t="s">
        <v>1672</v>
      </c>
      <c r="E209" s="39" t="s">
        <v>1566</v>
      </c>
    </row>
    <row r="210" spans="1:5" ht="35.1" customHeight="1" thickBot="1" x14ac:dyDescent="0.35">
      <c r="B210" s="26" t="str">
        <f>IF(EXACT(SUBSTITUTE(LOWER(C210)," ",""),SUBSTITUTE(LOWER(D210)," ","")),"O","X")</f>
        <v>O</v>
      </c>
      <c r="C210" s="12" t="s">
        <v>1005</v>
      </c>
      <c r="D210" s="12" t="s">
        <v>1647</v>
      </c>
      <c r="E210" s="11" t="s">
        <v>1567</v>
      </c>
    </row>
    <row r="211" spans="1:5" ht="35.1" customHeight="1" thickBot="1" x14ac:dyDescent="0.35">
      <c r="B211" s="26" t="str">
        <f>IF(ISNUMBER(SEARCH("로킹단위",SUBSTITUTE(UPPER(D211)," ",""))),"O","X")</f>
        <v>O</v>
      </c>
      <c r="C211" s="12" t="s">
        <v>1006</v>
      </c>
      <c r="D211" s="12" t="s">
        <v>1648</v>
      </c>
      <c r="E211" s="11" t="s">
        <v>1568</v>
      </c>
    </row>
    <row r="212" spans="1:5" ht="35.1" customHeight="1" x14ac:dyDescent="0.3"/>
  </sheetData>
  <autoFilter ref="B1:C211" xr:uid="{996396CE-4AFD-4478-9F0D-D6794A4586D3}"/>
  <phoneticPr fontId="3" type="noConversion"/>
  <conditionalFormatting sqref="B1:B4 B14 B16 B18:B19 B23:B25 B27:B30 B32 B9:B12 B34 B41:B45 B49:B57 B66 B70:B89 B116:B118 B121:B134 B136:B138 B140 B146 B151 B176:B179 B184 B200 B206 B210 B212:B1048576">
    <cfRule type="containsText" dxfId="139" priority="45" operator="containsText" text="X">
      <formula>NOT(ISERROR(SEARCH("X",B1)))</formula>
    </cfRule>
  </conditionalFormatting>
  <conditionalFormatting sqref="B13 B103:B111 B113:B115">
    <cfRule type="containsText" dxfId="138" priority="40" operator="containsText" text="X">
      <formula>NOT(ISERROR(SEARCH("X",B13)))</formula>
    </cfRule>
  </conditionalFormatting>
  <conditionalFormatting sqref="B15">
    <cfRule type="containsText" dxfId="137" priority="39" operator="containsText" text="X">
      <formula>NOT(ISERROR(SEARCH("X",B15)))</formula>
    </cfRule>
  </conditionalFormatting>
  <conditionalFormatting sqref="B17">
    <cfRule type="containsText" dxfId="136" priority="38" operator="containsText" text="X">
      <formula>NOT(ISERROR(SEARCH("X",B17)))</formula>
    </cfRule>
  </conditionalFormatting>
  <conditionalFormatting sqref="B20:B22">
    <cfRule type="containsText" dxfId="135" priority="37" operator="containsText" text="X">
      <formula>NOT(ISERROR(SEARCH("X",B20)))</formula>
    </cfRule>
  </conditionalFormatting>
  <conditionalFormatting sqref="B26">
    <cfRule type="containsText" dxfId="134" priority="36" operator="containsText" text="X">
      <formula>NOT(ISERROR(SEARCH("X",B26)))</formula>
    </cfRule>
  </conditionalFormatting>
  <conditionalFormatting sqref="B31">
    <cfRule type="containsText" dxfId="133" priority="35" operator="containsText" text="X">
      <formula>NOT(ISERROR(SEARCH("X",B31)))</formula>
    </cfRule>
  </conditionalFormatting>
  <conditionalFormatting sqref="B5">
    <cfRule type="containsText" dxfId="132" priority="34" operator="containsText" text="X">
      <formula>NOT(ISERROR(SEARCH("X",B5)))</formula>
    </cfRule>
  </conditionalFormatting>
  <conditionalFormatting sqref="B6:B8">
    <cfRule type="containsText" dxfId="131" priority="33" operator="containsText" text="X">
      <formula>NOT(ISERROR(SEARCH("X",B6)))</formula>
    </cfRule>
  </conditionalFormatting>
  <conditionalFormatting sqref="B33">
    <cfRule type="containsText" dxfId="130" priority="32" operator="containsText" text="X">
      <formula>NOT(ISERROR(SEARCH("X",B33)))</formula>
    </cfRule>
  </conditionalFormatting>
  <conditionalFormatting sqref="B35:B39">
    <cfRule type="containsText" dxfId="129" priority="31" operator="containsText" text="X">
      <formula>NOT(ISERROR(SEARCH("X",B35)))</formula>
    </cfRule>
  </conditionalFormatting>
  <conditionalFormatting sqref="B40">
    <cfRule type="containsText" dxfId="128" priority="30" operator="containsText" text="X">
      <formula>NOT(ISERROR(SEARCH("X",B40)))</formula>
    </cfRule>
  </conditionalFormatting>
  <conditionalFormatting sqref="B46:B47">
    <cfRule type="containsText" dxfId="127" priority="29" operator="containsText" text="X">
      <formula>NOT(ISERROR(SEARCH("X",B46)))</formula>
    </cfRule>
  </conditionalFormatting>
  <conditionalFormatting sqref="B48">
    <cfRule type="containsText" dxfId="126" priority="28" operator="containsText" text="X">
      <formula>NOT(ISERROR(SEARCH("X",B48)))</formula>
    </cfRule>
  </conditionalFormatting>
  <conditionalFormatting sqref="B58:B64">
    <cfRule type="containsText" dxfId="125" priority="27" operator="containsText" text="X">
      <formula>NOT(ISERROR(SEARCH("X",B58)))</formula>
    </cfRule>
  </conditionalFormatting>
  <conditionalFormatting sqref="B65">
    <cfRule type="containsText" dxfId="124" priority="26" operator="containsText" text="X">
      <formula>NOT(ISERROR(SEARCH("X",B65)))</formula>
    </cfRule>
  </conditionalFormatting>
  <conditionalFormatting sqref="B67:B69">
    <cfRule type="containsText" dxfId="123" priority="25" operator="containsText" text="X">
      <formula>NOT(ISERROR(SEARCH("X",B67)))</formula>
    </cfRule>
  </conditionalFormatting>
  <conditionalFormatting sqref="B90:B102">
    <cfRule type="containsText" dxfId="122" priority="24" operator="containsText" text="X">
      <formula>NOT(ISERROR(SEARCH("X",B90)))</formula>
    </cfRule>
  </conditionalFormatting>
  <conditionalFormatting sqref="B112">
    <cfRule type="containsText" dxfId="121" priority="22" operator="containsText" text="X">
      <formula>NOT(ISERROR(SEARCH("X",B112)))</formula>
    </cfRule>
  </conditionalFormatting>
  <conditionalFormatting sqref="B119:B120">
    <cfRule type="containsText" dxfId="120" priority="21" operator="containsText" text="X">
      <formula>NOT(ISERROR(SEARCH("X",B119)))</formula>
    </cfRule>
  </conditionalFormatting>
  <conditionalFormatting sqref="B135">
    <cfRule type="containsText" dxfId="119" priority="20" operator="containsText" text="X">
      <formula>NOT(ISERROR(SEARCH("X",B135)))</formula>
    </cfRule>
  </conditionalFormatting>
  <conditionalFormatting sqref="B139">
    <cfRule type="containsText" dxfId="118" priority="18" operator="containsText" text="X">
      <formula>NOT(ISERROR(SEARCH("X",B139)))</formula>
    </cfRule>
  </conditionalFormatting>
  <conditionalFormatting sqref="B141:B145">
    <cfRule type="containsText" dxfId="117" priority="17" operator="containsText" text="X">
      <formula>NOT(ISERROR(SEARCH("X",B141)))</formula>
    </cfRule>
  </conditionalFormatting>
  <conditionalFormatting sqref="B147:B150">
    <cfRule type="containsText" dxfId="116" priority="16" operator="containsText" text="X">
      <formula>NOT(ISERROR(SEARCH("X",B147)))</formula>
    </cfRule>
  </conditionalFormatting>
  <conditionalFormatting sqref="B152">
    <cfRule type="containsText" dxfId="115" priority="14" operator="containsText" text="X">
      <formula>NOT(ISERROR(SEARCH("X",B152)))</formula>
    </cfRule>
  </conditionalFormatting>
  <conditionalFormatting sqref="B153:B155">
    <cfRule type="containsText" dxfId="114" priority="13" operator="containsText" text="X">
      <formula>NOT(ISERROR(SEARCH("X",B153)))</formula>
    </cfRule>
  </conditionalFormatting>
  <conditionalFormatting sqref="B156:B175">
    <cfRule type="containsText" dxfId="113" priority="12" operator="containsText" text="X">
      <formula>NOT(ISERROR(SEARCH("X",B156)))</formula>
    </cfRule>
  </conditionalFormatting>
  <conditionalFormatting sqref="B180:B183">
    <cfRule type="containsText" dxfId="112" priority="11" operator="containsText" text="X">
      <formula>NOT(ISERROR(SEARCH("X",B180)))</formula>
    </cfRule>
  </conditionalFormatting>
  <conditionalFormatting sqref="B185:B197">
    <cfRule type="containsText" dxfId="111" priority="10" operator="containsText" text="X">
      <formula>NOT(ISERROR(SEARCH("X",B185)))</formula>
    </cfRule>
  </conditionalFormatting>
  <conditionalFormatting sqref="B198">
    <cfRule type="containsText" dxfId="110" priority="9" operator="containsText" text="X">
      <formula>NOT(ISERROR(SEARCH("X",B198)))</formula>
    </cfRule>
  </conditionalFormatting>
  <conditionalFormatting sqref="B199">
    <cfRule type="containsText" dxfId="109" priority="8" operator="containsText" text="X">
      <formula>NOT(ISERROR(SEARCH("X",B199)))</formula>
    </cfRule>
  </conditionalFormatting>
  <conditionalFormatting sqref="B204">
    <cfRule type="containsText" dxfId="108" priority="7" operator="containsText" text="X">
      <formula>NOT(ISERROR(SEARCH("X",B204)))</formula>
    </cfRule>
  </conditionalFormatting>
  <conditionalFormatting sqref="B205">
    <cfRule type="containsText" dxfId="107" priority="5" operator="containsText" text="X">
      <formula>NOT(ISERROR(SEARCH("X",B205)))</formula>
    </cfRule>
  </conditionalFormatting>
  <conditionalFormatting sqref="B207">
    <cfRule type="containsText" dxfId="106" priority="4" operator="containsText" text="X">
      <formula>NOT(ISERROR(SEARCH("X",B207)))</formula>
    </cfRule>
  </conditionalFormatting>
  <conditionalFormatting sqref="B208:B209">
    <cfRule type="containsText" dxfId="105" priority="3" operator="containsText" text="X">
      <formula>NOT(ISERROR(SEARCH("X",B208)))</formula>
    </cfRule>
  </conditionalFormatting>
  <conditionalFormatting sqref="B211">
    <cfRule type="containsText" dxfId="104" priority="2" operator="containsText" text="X">
      <formula>NOT(ISERROR(SEARCH("X",B211)))</formula>
    </cfRule>
  </conditionalFormatting>
  <conditionalFormatting sqref="B201:B203">
    <cfRule type="containsText" dxfId="103" priority="1" operator="containsText" text="X">
      <formula>NOT(ISERROR(SEARCH("X",B201)))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65667-DAF4-43D0-86D9-1B61A05730CA}">
  <dimension ref="B1:E12"/>
  <sheetViews>
    <sheetView zoomScale="85" zoomScaleNormal="85" workbookViewId="0">
      <selection activeCell="D13" sqref="D13"/>
    </sheetView>
  </sheetViews>
  <sheetFormatPr defaultRowHeight="29.25" x14ac:dyDescent="0.3"/>
  <cols>
    <col min="1" max="1" width="9" style="4"/>
    <col min="2" max="2" width="9" style="4" customWidth="1"/>
    <col min="3" max="3" width="46.625" style="4" hidden="1" customWidth="1"/>
    <col min="4" max="4" width="46.625" style="4" customWidth="1"/>
    <col min="5" max="5" width="197.625" style="4" customWidth="1"/>
    <col min="6" max="16384" width="9" style="4"/>
  </cols>
  <sheetData>
    <row r="1" spans="2:5" ht="30.75" thickBot="1" x14ac:dyDescent="0.35">
      <c r="B1" s="19" t="s">
        <v>1167</v>
      </c>
    </row>
    <row r="2" spans="2:5" ht="35.1" customHeight="1" thickBot="1" x14ac:dyDescent="0.35">
      <c r="B2" s="26" t="str">
        <f t="shared" ref="B2:B10" si="0">IF(EXACT(SUBSTITUTE(C2," ",""),SUBSTITUTE(D2," ","")),"O","X")</f>
        <v>O</v>
      </c>
      <c r="C2" s="5" t="s">
        <v>805</v>
      </c>
      <c r="D2" s="5" t="s">
        <v>805</v>
      </c>
      <c r="E2" s="27" t="s">
        <v>806</v>
      </c>
    </row>
    <row r="3" spans="2:5" ht="35.1" customHeight="1" thickBot="1" x14ac:dyDescent="0.35">
      <c r="B3" s="26" t="str">
        <f t="shared" si="0"/>
        <v>O</v>
      </c>
      <c r="C3" s="5" t="s">
        <v>815</v>
      </c>
      <c r="D3" s="5" t="s">
        <v>815</v>
      </c>
      <c r="E3" s="27" t="s">
        <v>807</v>
      </c>
    </row>
    <row r="4" spans="2:5" ht="35.1" customHeight="1" thickBot="1" x14ac:dyDescent="0.35">
      <c r="B4" s="26" t="str">
        <f t="shared" si="0"/>
        <v>O</v>
      </c>
      <c r="C4" s="5" t="s">
        <v>816</v>
      </c>
      <c r="D4" s="5" t="s">
        <v>816</v>
      </c>
      <c r="E4" s="27" t="s">
        <v>808</v>
      </c>
    </row>
    <row r="5" spans="2:5" ht="35.1" customHeight="1" thickBot="1" x14ac:dyDescent="0.35">
      <c r="B5" s="26" t="str">
        <f t="shared" si="0"/>
        <v>O</v>
      </c>
      <c r="C5" s="5" t="s">
        <v>817</v>
      </c>
      <c r="D5" s="5" t="s">
        <v>817</v>
      </c>
      <c r="E5" s="27" t="s">
        <v>809</v>
      </c>
    </row>
    <row r="6" spans="2:5" ht="35.1" customHeight="1" thickBot="1" x14ac:dyDescent="0.35">
      <c r="B6" s="26" t="str">
        <f>IF(AND(ISNUMBER(SEARCH("직관성",SUBSTITUTE(D6," ",""))),ISNUMBER(SEARCH("유효성",SUBSTITUTE(D6," ",""))),ISNUMBER(SEARCH("학습성",SUBSTITUTE(D6," ",""))),ISNUMBER(SEARCH("유연성",SUBSTITUTE(D6," ","")))),"O","X")</f>
        <v>O</v>
      </c>
      <c r="C6" s="5" t="s">
        <v>818</v>
      </c>
      <c r="D6" s="5" t="s">
        <v>1673</v>
      </c>
      <c r="E6" s="27" t="s">
        <v>810</v>
      </c>
    </row>
    <row r="7" spans="2:5" ht="35.1" customHeight="1" thickBot="1" x14ac:dyDescent="0.35">
      <c r="B7" s="26" t="str">
        <f t="shared" si="0"/>
        <v>O</v>
      </c>
      <c r="C7" s="5" t="s">
        <v>822</v>
      </c>
      <c r="D7" s="5" t="s">
        <v>822</v>
      </c>
      <c r="E7" s="27" t="s">
        <v>811</v>
      </c>
    </row>
    <row r="8" spans="2:5" ht="35.1" customHeight="1" thickBot="1" x14ac:dyDescent="0.35">
      <c r="B8" s="26" t="str">
        <f t="shared" si="0"/>
        <v>O</v>
      </c>
      <c r="C8" s="5" t="s">
        <v>819</v>
      </c>
      <c r="D8" s="5" t="s">
        <v>819</v>
      </c>
      <c r="E8" s="27" t="s">
        <v>812</v>
      </c>
    </row>
    <row r="9" spans="2:5" ht="35.1" customHeight="1" thickBot="1" x14ac:dyDescent="0.35">
      <c r="B9" s="26" t="str">
        <f t="shared" si="0"/>
        <v>O</v>
      </c>
      <c r="C9" s="5" t="s">
        <v>820</v>
      </c>
      <c r="D9" s="5" t="s">
        <v>820</v>
      </c>
      <c r="E9" s="27" t="s">
        <v>813</v>
      </c>
    </row>
    <row r="10" spans="2:5" ht="35.1" customHeight="1" thickBot="1" x14ac:dyDescent="0.35">
      <c r="B10" s="26" t="str">
        <f t="shared" si="0"/>
        <v>O</v>
      </c>
      <c r="C10" s="5" t="s">
        <v>821</v>
      </c>
      <c r="D10" s="5" t="s">
        <v>821</v>
      </c>
      <c r="E10" s="27" t="s">
        <v>814</v>
      </c>
    </row>
    <row r="11" spans="2:5" x14ac:dyDescent="0.3">
      <c r="D11" s="10"/>
    </row>
    <row r="12" spans="2:5" x14ac:dyDescent="0.3">
      <c r="D12" s="10"/>
    </row>
  </sheetData>
  <autoFilter ref="B1:B10" xr:uid="{41565667-DAF4-43D0-86D9-1B61A05730CA}"/>
  <phoneticPr fontId="3" type="noConversion"/>
  <conditionalFormatting sqref="B2:B5 B7:B1048576">
    <cfRule type="containsText" dxfId="102" priority="5" operator="containsText" text="X">
      <formula>NOT(ISERROR(SEARCH("X",B2)))</formula>
    </cfRule>
  </conditionalFormatting>
  <conditionalFormatting sqref="B6">
    <cfRule type="containsText" dxfId="101" priority="2" operator="containsText" text="X">
      <formula>NOT(ISERROR(SEARCH("X",B6)))</formula>
    </cfRule>
  </conditionalFormatting>
  <conditionalFormatting sqref="B1">
    <cfRule type="containsText" dxfId="100" priority="1" operator="containsText" text="X">
      <formula>NOT(ISERROR(SEARCH("X",B1)))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63D6-93DD-4C7D-9905-623E707F2B0D}">
  <dimension ref="B1:E4"/>
  <sheetViews>
    <sheetView zoomScale="85" zoomScaleNormal="85" workbookViewId="0">
      <selection activeCell="D10" sqref="D10"/>
    </sheetView>
  </sheetViews>
  <sheetFormatPr defaultRowHeight="29.25" x14ac:dyDescent="0.3"/>
  <cols>
    <col min="1" max="1" width="9" style="1"/>
    <col min="2" max="2" width="9" style="1" customWidth="1"/>
    <col min="3" max="3" width="46.625" style="1" hidden="1" customWidth="1"/>
    <col min="4" max="4" width="46.625" style="1" customWidth="1"/>
    <col min="5" max="5" width="197.625" style="1" customWidth="1"/>
    <col min="6" max="16384" width="9" style="1"/>
  </cols>
  <sheetData>
    <row r="1" spans="2:5" ht="30.75" thickBot="1" x14ac:dyDescent="0.35">
      <c r="B1" s="19" t="s">
        <v>1167</v>
      </c>
    </row>
    <row r="2" spans="2:5" ht="35.1" customHeight="1" thickBot="1" x14ac:dyDescent="0.35">
      <c r="B2" s="26" t="str">
        <f>IF(EXACT(SUBSTITUTE(C2," ",""),SUBSTITUTE(D2," ","")),"O","X")</f>
        <v>O</v>
      </c>
      <c r="C2" s="2" t="s">
        <v>761</v>
      </c>
      <c r="D2" s="2" t="s">
        <v>761</v>
      </c>
      <c r="E2" s="2" t="s">
        <v>766</v>
      </c>
    </row>
    <row r="3" spans="2:5" ht="35.1" customHeight="1" thickBot="1" x14ac:dyDescent="0.35">
      <c r="B3" s="26" t="str">
        <f>IF(ISNUMBER(SEARCH("SOAP",SUBSTITUTE(D3," ",""))),"O","X")</f>
        <v>O</v>
      </c>
      <c r="C3" s="2" t="s">
        <v>764</v>
      </c>
      <c r="D3" s="2" t="s">
        <v>762</v>
      </c>
      <c r="E3" s="2" t="s">
        <v>1674</v>
      </c>
    </row>
    <row r="4" spans="2:5" ht="35.1" customHeight="1" thickBot="1" x14ac:dyDescent="0.35">
      <c r="B4" s="26" t="str">
        <f>IF(ISNUMBER(SEARCH("WSDL",SUBSTITUTE(D4," ",""))),"O","X")</f>
        <v>O</v>
      </c>
      <c r="C4" s="2" t="s">
        <v>765</v>
      </c>
      <c r="D4" s="2" t="s">
        <v>763</v>
      </c>
      <c r="E4" s="2" t="s">
        <v>767</v>
      </c>
    </row>
  </sheetData>
  <autoFilter ref="B1:B4" xr:uid="{10E163D6-93DD-4C7D-9905-623E707F2B0D}"/>
  <phoneticPr fontId="3" type="noConversion"/>
  <conditionalFormatting sqref="B2 B5 B7:B1048576">
    <cfRule type="containsText" dxfId="99" priority="4" operator="containsText" text="X">
      <formula>NOT(ISERROR(SEARCH("X",B2)))</formula>
    </cfRule>
  </conditionalFormatting>
  <conditionalFormatting sqref="B3:B4">
    <cfRule type="containsText" dxfId="98" priority="3" operator="containsText" text="X">
      <formula>NOT(ISERROR(SEARCH("X",B3)))</formula>
    </cfRule>
  </conditionalFormatting>
  <conditionalFormatting sqref="B4">
    <cfRule type="containsText" dxfId="97" priority="2" operator="containsText" text="X">
      <formula>NOT(ISERROR(SEARCH("X",B4)))</formula>
    </cfRule>
  </conditionalFormatting>
  <conditionalFormatting sqref="B1">
    <cfRule type="containsText" dxfId="96" priority="1" operator="containsText" text="X">
      <formula>NOT(ISERROR(SEARCH("X",B1)))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9111-0A1A-4B00-B735-E19F84E8642B}">
  <dimension ref="A1:E40"/>
  <sheetViews>
    <sheetView topLeftCell="A25" zoomScale="85" zoomScaleNormal="85" workbookViewId="0">
      <selection activeCell="D62" sqref="D62"/>
    </sheetView>
  </sheetViews>
  <sheetFormatPr defaultRowHeight="29.25" x14ac:dyDescent="0.3"/>
  <cols>
    <col min="1" max="1" width="9" style="4"/>
    <col min="2" max="2" width="9" style="4" customWidth="1"/>
    <col min="3" max="3" width="46.625" style="4" hidden="1" customWidth="1"/>
    <col min="4" max="4" width="46.625" style="4" customWidth="1"/>
    <col min="5" max="5" width="197.625" style="10" customWidth="1"/>
    <col min="6" max="16384" width="9" style="4"/>
  </cols>
  <sheetData>
    <row r="1" spans="1:5" ht="30.75" thickBot="1" x14ac:dyDescent="0.35">
      <c r="B1" s="19" t="s">
        <v>1167</v>
      </c>
    </row>
    <row r="2" spans="1:5" ht="35.1" customHeight="1" thickBot="1" x14ac:dyDescent="0.35">
      <c r="B2" s="26" t="str">
        <f t="shared" ref="B2:B34" si="0">IF(EXACT(SUBSTITUTE(C2," ",""),SUBSTITUTE(D2," ","")),"O","X")</f>
        <v>O</v>
      </c>
      <c r="C2" s="5" t="s">
        <v>768</v>
      </c>
      <c r="D2" s="5" t="s">
        <v>768</v>
      </c>
      <c r="E2" s="11" t="s">
        <v>1675</v>
      </c>
    </row>
    <row r="3" spans="1:5" ht="35.1" customHeight="1" thickBot="1" x14ac:dyDescent="0.35">
      <c r="B3" s="26"/>
      <c r="C3" s="38"/>
      <c r="D3" s="33"/>
      <c r="E3" s="27" t="s">
        <v>769</v>
      </c>
    </row>
    <row r="4" spans="1:5" ht="35.1" customHeight="1" thickBot="1" x14ac:dyDescent="0.35">
      <c r="B4" s="26" t="str">
        <f t="shared" si="0"/>
        <v>O</v>
      </c>
      <c r="C4" s="5" t="s">
        <v>770</v>
      </c>
      <c r="D4" s="5" t="s">
        <v>770</v>
      </c>
      <c r="E4" s="27" t="s">
        <v>1698</v>
      </c>
    </row>
    <row r="5" spans="1:5" ht="35.1" customHeight="1" thickBot="1" x14ac:dyDescent="0.35">
      <c r="B5" s="26" t="str">
        <f>IF(OR(ISNUMBER(SEARCH("RPC",SUBSTITUTE(D5," ",""))),ISNUMBER(SEARCH("원격프로시저호출",SUBSTITUTE(D5," ","")))),"O","X")</f>
        <v>O</v>
      </c>
      <c r="C5" s="5" t="s">
        <v>771</v>
      </c>
      <c r="D5" s="5" t="s">
        <v>1708</v>
      </c>
      <c r="E5" s="11" t="s">
        <v>1692</v>
      </c>
    </row>
    <row r="6" spans="1:5" ht="35.1" customHeight="1" thickBot="1" x14ac:dyDescent="0.35">
      <c r="B6" s="26" t="str">
        <f>IF(OR(ISNUMBER(SEARCH("MOM",SUBSTITUTE(D6," ",""))),ISNUMBER(SEARCH("메시지지향미들웨어",SUBSTITUTE(D6," ","")))),"O","X")</f>
        <v>O</v>
      </c>
      <c r="C6" s="5" t="s">
        <v>772</v>
      </c>
      <c r="D6" s="5" t="s">
        <v>1709</v>
      </c>
      <c r="E6" s="11" t="s">
        <v>1693</v>
      </c>
    </row>
    <row r="7" spans="1:5" ht="35.1" customHeight="1" thickBot="1" x14ac:dyDescent="0.35">
      <c r="B7" s="26" t="str">
        <f>IF(OR(ISNUMBER(SEARCH("TP-monitor",SUBSTITUTE(D7," ",""))),ISNUMBER(SEARCH("트랜잭션처리모니터",SUBSTITUTE(D7," ","")))),"O","X")</f>
        <v>O</v>
      </c>
      <c r="C7" s="14" t="s">
        <v>773</v>
      </c>
      <c r="D7" s="14" t="s">
        <v>1711</v>
      </c>
      <c r="E7" s="11" t="s">
        <v>1694</v>
      </c>
    </row>
    <row r="8" spans="1:5" ht="35.1" customHeight="1" thickBot="1" x14ac:dyDescent="0.35">
      <c r="B8" s="26" t="str">
        <f>IF(OR(ISNUMBER(SEARCH("ORB",SUBSTITUTE(D8," ",""))),ISNUMBER(SEARCH("객체요청브로커",SUBSTITUTE(D8," ","")))),"O","X")</f>
        <v>O</v>
      </c>
      <c r="C8" s="5" t="s">
        <v>774</v>
      </c>
      <c r="D8" s="5" t="s">
        <v>1710</v>
      </c>
      <c r="E8" s="11" t="s">
        <v>1695</v>
      </c>
    </row>
    <row r="9" spans="1:5" ht="35.1" customHeight="1" thickBot="1" x14ac:dyDescent="0.35">
      <c r="B9" s="26" t="str">
        <f>IF(OR(ISNUMBER(SEARCH("WAS",SUBSTITUTE(D9," ",""))),ISNUMBER(SEARCH("웹애플리케이션서버",SUBSTITUTE(D9," ","")))),"O","X")</f>
        <v>O</v>
      </c>
      <c r="C9" s="5" t="s">
        <v>775</v>
      </c>
      <c r="D9" s="5" t="s">
        <v>1712</v>
      </c>
      <c r="E9" s="11" t="s">
        <v>1696</v>
      </c>
    </row>
    <row r="10" spans="1:5" ht="35.1" customHeight="1" thickBot="1" x14ac:dyDescent="0.35">
      <c r="A10" s="52"/>
      <c r="B10" s="26" t="str">
        <f>IF(AND(ISNUMBER(SEARCH("EAI",SUBSTITUTE(D10," ",""))),ISNUMBER(SEARCH("ESB",SUBSTITUTE(D10," ",""))),ISNUMBER(SEARCH("웹서비스",SUBSTITUTE(D10," ","")))),"O","X")</f>
        <v>O</v>
      </c>
      <c r="C10" s="27" t="s">
        <v>776</v>
      </c>
      <c r="D10" s="27" t="s">
        <v>776</v>
      </c>
      <c r="E10" s="11" t="s">
        <v>1697</v>
      </c>
    </row>
    <row r="11" spans="1:5" ht="35.1" customHeight="1" thickBot="1" x14ac:dyDescent="0.35">
      <c r="B11" s="26" t="str">
        <f t="shared" si="0"/>
        <v>O</v>
      </c>
      <c r="C11" s="27" t="s">
        <v>777</v>
      </c>
      <c r="D11" s="27" t="s">
        <v>777</v>
      </c>
      <c r="E11" s="11" t="s">
        <v>1676</v>
      </c>
    </row>
    <row r="12" spans="1:5" ht="35.1" customHeight="1" thickBot="1" x14ac:dyDescent="0.35">
      <c r="A12" s="52"/>
      <c r="B12" s="26" t="str">
        <f t="shared" si="0"/>
        <v>X</v>
      </c>
      <c r="C12" s="58" t="s">
        <v>1706</v>
      </c>
      <c r="D12" s="58" t="s">
        <v>1723</v>
      </c>
      <c r="E12" s="11" t="s">
        <v>778</v>
      </c>
    </row>
    <row r="13" spans="1:5" ht="35.1" customHeight="1" thickBot="1" x14ac:dyDescent="0.35">
      <c r="B13" s="26" t="str">
        <f t="shared" si="0"/>
        <v>O</v>
      </c>
      <c r="C13" s="27" t="s">
        <v>779</v>
      </c>
      <c r="D13" s="27" t="s">
        <v>1713</v>
      </c>
      <c r="E13" s="11" t="s">
        <v>1681</v>
      </c>
    </row>
    <row r="14" spans="1:5" ht="35.1" customHeight="1" thickBot="1" x14ac:dyDescent="0.35">
      <c r="B14" s="26" t="str">
        <f t="shared" si="0"/>
        <v>O</v>
      </c>
      <c r="C14" s="27" t="s">
        <v>780</v>
      </c>
      <c r="D14" s="27" t="s">
        <v>1714</v>
      </c>
      <c r="E14" s="11" t="s">
        <v>1682</v>
      </c>
    </row>
    <row r="15" spans="1:5" ht="35.1" customHeight="1" thickBot="1" x14ac:dyDescent="0.35">
      <c r="B15" s="26" t="str">
        <f t="shared" si="0"/>
        <v>O</v>
      </c>
      <c r="C15" s="27" t="s">
        <v>781</v>
      </c>
      <c r="D15" s="27" t="s">
        <v>1699</v>
      </c>
      <c r="E15" s="39" t="s">
        <v>1683</v>
      </c>
    </row>
    <row r="16" spans="1:5" ht="35.1" customHeight="1" thickBot="1" x14ac:dyDescent="0.35">
      <c r="B16" s="26" t="str">
        <f t="shared" si="0"/>
        <v>O</v>
      </c>
      <c r="C16" s="27" t="s">
        <v>782</v>
      </c>
      <c r="D16" s="27" t="s">
        <v>1715</v>
      </c>
      <c r="E16" s="11" t="s">
        <v>1684</v>
      </c>
    </row>
    <row r="17" spans="1:5" ht="35.1" customHeight="1" thickBot="1" x14ac:dyDescent="0.35">
      <c r="A17" s="52"/>
      <c r="B17" s="26" t="str">
        <f t="shared" si="0"/>
        <v>X</v>
      </c>
      <c r="C17" s="27" t="s">
        <v>783</v>
      </c>
      <c r="D17" s="27"/>
      <c r="E17" s="11" t="s">
        <v>1677</v>
      </c>
    </row>
    <row r="18" spans="1:5" ht="35.1" customHeight="1" thickBot="1" x14ac:dyDescent="0.35">
      <c r="A18" s="52"/>
      <c r="B18" s="26" t="str">
        <f t="shared" si="0"/>
        <v>O</v>
      </c>
      <c r="C18" s="27" t="s">
        <v>784</v>
      </c>
      <c r="D18" s="27" t="s">
        <v>1724</v>
      </c>
      <c r="E18" s="11" t="s">
        <v>1700</v>
      </c>
    </row>
    <row r="19" spans="1:5" ht="35.1" customHeight="1" thickBot="1" x14ac:dyDescent="0.35">
      <c r="B19" s="26" t="str">
        <f t="shared" si="0"/>
        <v>O</v>
      </c>
      <c r="C19" s="27" t="s">
        <v>762</v>
      </c>
      <c r="D19" s="27" t="s">
        <v>762</v>
      </c>
      <c r="E19" s="11" t="s">
        <v>1678</v>
      </c>
    </row>
    <row r="20" spans="1:5" ht="35.1" customHeight="1" thickBot="1" x14ac:dyDescent="0.35">
      <c r="B20" s="26" t="str">
        <f t="shared" si="0"/>
        <v>O</v>
      </c>
      <c r="C20" s="27" t="s">
        <v>785</v>
      </c>
      <c r="D20" s="27" t="s">
        <v>785</v>
      </c>
      <c r="E20" s="11" t="s">
        <v>1679</v>
      </c>
    </row>
    <row r="21" spans="1:5" ht="35.1" customHeight="1" thickBot="1" x14ac:dyDescent="0.35">
      <c r="B21" s="26" t="str">
        <f t="shared" si="0"/>
        <v>O</v>
      </c>
      <c r="C21" s="27" t="s">
        <v>763</v>
      </c>
      <c r="D21" s="27" t="s">
        <v>763</v>
      </c>
      <c r="E21" s="11" t="s">
        <v>1685</v>
      </c>
    </row>
    <row r="22" spans="1:5" ht="35.1" customHeight="1" thickBot="1" x14ac:dyDescent="0.35">
      <c r="B22" s="26" t="str">
        <f t="shared" si="0"/>
        <v>O</v>
      </c>
      <c r="C22" s="27" t="s">
        <v>786</v>
      </c>
      <c r="D22" s="27" t="s">
        <v>786</v>
      </c>
      <c r="E22" s="39" t="s">
        <v>1680</v>
      </c>
    </row>
    <row r="23" spans="1:5" ht="35.1" customHeight="1" thickBot="1" x14ac:dyDescent="0.35">
      <c r="B23" s="26" t="str">
        <f t="shared" si="0"/>
        <v>O</v>
      </c>
      <c r="C23" s="27" t="s">
        <v>1701</v>
      </c>
      <c r="D23" s="27" t="s">
        <v>1701</v>
      </c>
      <c r="E23" s="11" t="s">
        <v>1702</v>
      </c>
    </row>
    <row r="24" spans="1:5" ht="35.1" customHeight="1" thickBot="1" x14ac:dyDescent="0.35">
      <c r="A24" s="52"/>
      <c r="B24" s="26" t="str">
        <f t="shared" si="0"/>
        <v>O</v>
      </c>
      <c r="C24" s="27" t="s">
        <v>1722</v>
      </c>
      <c r="D24" s="27" t="s">
        <v>1722</v>
      </c>
      <c r="E24" s="11" t="s">
        <v>1703</v>
      </c>
    </row>
    <row r="25" spans="1:5" ht="35.1" customHeight="1" thickBot="1" x14ac:dyDescent="0.35">
      <c r="A25" s="52"/>
      <c r="B25" s="26" t="str">
        <f t="shared" si="0"/>
        <v>X</v>
      </c>
      <c r="C25" s="27" t="s">
        <v>1704</v>
      </c>
      <c r="D25" s="27"/>
      <c r="E25" s="11" t="s">
        <v>1705</v>
      </c>
    </row>
    <row r="26" spans="1:5" ht="52.5" customHeight="1" thickBot="1" x14ac:dyDescent="0.35">
      <c r="A26" s="52"/>
      <c r="B26" s="26" t="str">
        <f>IF(AND(ISNUMBER(SEARCH("Tripwire",SUBSTITUTE(D26," ",""))),ISNUMBER(SEARCH("AIDE",SUBSTITUTE(D26," ",""))),ISNUMBER(SEARCH("Samhaim",SUBSTITUTE(D26," ",""))),ISNUMBER(SEARCH("Claymore",SUBSTITUTE(D26," ",""))),ISNUMBER(SEARCH("Slipwire",SUBSTITUTE(D26," ",""))),ISNUMBER(SEARCH("Fcheck",SUBSTITUTE(D26," ","")))),"O","X")</f>
        <v>X</v>
      </c>
      <c r="C26" s="36" t="s">
        <v>788</v>
      </c>
      <c r="D26" s="36"/>
      <c r="E26" s="27" t="s">
        <v>787</v>
      </c>
    </row>
    <row r="27" spans="1:5" ht="35.1" customHeight="1" thickBot="1" x14ac:dyDescent="0.35">
      <c r="B27" s="26"/>
      <c r="C27" s="35"/>
      <c r="D27" s="35"/>
      <c r="E27" s="11" t="s">
        <v>789</v>
      </c>
    </row>
    <row r="28" spans="1:5" ht="35.1" customHeight="1" thickBot="1" x14ac:dyDescent="0.35">
      <c r="A28" s="52"/>
      <c r="B28" s="26" t="str">
        <f t="shared" si="0"/>
        <v>X</v>
      </c>
      <c r="C28" s="27" t="s">
        <v>790</v>
      </c>
      <c r="D28" s="27"/>
      <c r="E28" s="39" t="s">
        <v>1686</v>
      </c>
    </row>
    <row r="29" spans="1:5" ht="35.1" customHeight="1" thickBot="1" x14ac:dyDescent="0.35">
      <c r="B29" s="26" t="str">
        <f t="shared" si="0"/>
        <v>O</v>
      </c>
      <c r="C29" s="27" t="s">
        <v>791</v>
      </c>
      <c r="D29" s="27" t="s">
        <v>791</v>
      </c>
      <c r="E29" s="11" t="s">
        <v>1687</v>
      </c>
    </row>
    <row r="30" spans="1:5" ht="35.1" customHeight="1" thickBot="1" x14ac:dyDescent="0.35">
      <c r="A30" s="52"/>
      <c r="B30" s="26" t="str">
        <f t="shared" si="0"/>
        <v>X</v>
      </c>
      <c r="C30" s="27" t="s">
        <v>792</v>
      </c>
      <c r="D30" s="27"/>
      <c r="E30" s="11" t="s">
        <v>1688</v>
      </c>
    </row>
    <row r="31" spans="1:5" ht="35.1" customHeight="1" thickBot="1" x14ac:dyDescent="0.35">
      <c r="B31" s="26" t="str">
        <f t="shared" si="0"/>
        <v>O</v>
      </c>
      <c r="C31" s="27" t="s">
        <v>793</v>
      </c>
      <c r="D31" s="27" t="s">
        <v>1716</v>
      </c>
      <c r="E31" s="11" t="s">
        <v>1689</v>
      </c>
    </row>
    <row r="32" spans="1:5" ht="35.1" customHeight="1" thickBot="1" x14ac:dyDescent="0.35">
      <c r="B32" s="26" t="str">
        <f t="shared" si="0"/>
        <v>O</v>
      </c>
      <c r="C32" s="31" t="s">
        <v>794</v>
      </c>
      <c r="D32" s="31" t="s">
        <v>794</v>
      </c>
      <c r="E32" s="11" t="s">
        <v>1690</v>
      </c>
    </row>
    <row r="33" spans="2:5" ht="35.1" customHeight="1" thickBot="1" x14ac:dyDescent="0.35">
      <c r="B33" s="26" t="str">
        <f t="shared" si="0"/>
        <v>O</v>
      </c>
      <c r="C33" s="27" t="s">
        <v>795</v>
      </c>
      <c r="D33" s="27" t="s">
        <v>795</v>
      </c>
      <c r="E33" s="11" t="s">
        <v>1691</v>
      </c>
    </row>
    <row r="34" spans="2:5" ht="35.1" customHeight="1" thickBot="1" x14ac:dyDescent="0.35">
      <c r="B34" s="26" t="str">
        <f t="shared" si="0"/>
        <v>O</v>
      </c>
      <c r="C34" s="27" t="s">
        <v>796</v>
      </c>
      <c r="D34" s="27" t="s">
        <v>1717</v>
      </c>
      <c r="E34" s="39" t="s">
        <v>1707</v>
      </c>
    </row>
    <row r="35" spans="2:5" ht="35.1" customHeight="1" thickBot="1" x14ac:dyDescent="0.35">
      <c r="B35" s="26" t="str">
        <f>IF(AND(ISNUMBER(SEARCH("리소스",SUBSTITUTE(D35," ",""))),ISNUMBER(SEARCH("엔드투엔드",SUBSTITUTE(D35," ","")))),"O","X")</f>
        <v>O</v>
      </c>
      <c r="C35" s="27" t="s">
        <v>798</v>
      </c>
      <c r="D35" s="27" t="s">
        <v>1718</v>
      </c>
      <c r="E35" s="27" t="s">
        <v>797</v>
      </c>
    </row>
    <row r="36" spans="2:5" ht="35.1" customHeight="1" thickBot="1" x14ac:dyDescent="0.35">
      <c r="B36" s="26" t="str">
        <f>IF(AND(ISNUMBER(SEARCH("스카우터",SUBSTITUTE(D36," ",""))),ISNUMBER(SEARCH("제니퍼",SUBSTITUTE(D36," ","")))),"O","X")</f>
        <v>O</v>
      </c>
      <c r="C36" s="27" t="s">
        <v>800</v>
      </c>
      <c r="D36" s="27" t="s">
        <v>1719</v>
      </c>
      <c r="E36" s="37" t="s">
        <v>799</v>
      </c>
    </row>
    <row r="37" spans="2:5" ht="35.1" customHeight="1" thickBot="1" x14ac:dyDescent="0.35">
      <c r="B37" s="26" t="str">
        <f>IF(OR(ISNUMBER(SEARCH("스카우터",SUBSTITUTE(D37," ",""))),ISNUMBER(SEARCH("Scouter",SUBSTITUTE(D37," ","")))),"O","X")</f>
        <v>O</v>
      </c>
      <c r="C37" s="27" t="s">
        <v>801</v>
      </c>
      <c r="D37" s="27" t="s">
        <v>1720</v>
      </c>
      <c r="E37" s="11" t="s">
        <v>804</v>
      </c>
    </row>
    <row r="38" spans="2:5" ht="35.1" customHeight="1" thickBot="1" x14ac:dyDescent="0.35">
      <c r="B38" s="26" t="str">
        <f>IF(OR(ISNUMBER(SEARCH("제니퍼",SUBSTITUTE(D38," ",""))),ISNUMBER(SEARCH("Jennifer",SUBSTITUTE(D38," ","")))),"O","X")</f>
        <v>O</v>
      </c>
      <c r="C38" s="27" t="s">
        <v>802</v>
      </c>
      <c r="D38" s="27" t="s">
        <v>1721</v>
      </c>
      <c r="E38" s="11" t="s">
        <v>803</v>
      </c>
    </row>
    <row r="39" spans="2:5" x14ac:dyDescent="0.3">
      <c r="D39" s="10"/>
    </row>
    <row r="40" spans="2:5" x14ac:dyDescent="0.3">
      <c r="D40" s="10"/>
    </row>
  </sheetData>
  <autoFilter ref="B1:B38" xr:uid="{08259111-0A1A-4B00-B735-E19F84E8642B}"/>
  <phoneticPr fontId="3" type="noConversion"/>
  <conditionalFormatting sqref="B2:B4 B27:B34 B39:B1048576 B11:B25">
    <cfRule type="containsText" dxfId="95" priority="9" operator="containsText" text="X">
      <formula>NOT(ISERROR(SEARCH("X",B2)))</formula>
    </cfRule>
  </conditionalFormatting>
  <conditionalFormatting sqref="B5:B9">
    <cfRule type="containsText" dxfId="94" priority="6" operator="containsText" text="X">
      <formula>NOT(ISERROR(SEARCH("X",B5)))</formula>
    </cfRule>
  </conditionalFormatting>
  <conditionalFormatting sqref="B10">
    <cfRule type="containsText" dxfId="93" priority="5" operator="containsText" text="X">
      <formula>NOT(ISERROR(SEARCH("X",B10)))</formula>
    </cfRule>
  </conditionalFormatting>
  <conditionalFormatting sqref="B26">
    <cfRule type="containsText" dxfId="92" priority="4" operator="containsText" text="X">
      <formula>NOT(ISERROR(SEARCH("X",B26)))</formula>
    </cfRule>
  </conditionalFormatting>
  <conditionalFormatting sqref="B35:B36">
    <cfRule type="containsText" dxfId="91" priority="3" operator="containsText" text="X">
      <formula>NOT(ISERROR(SEARCH("X",B35)))</formula>
    </cfRule>
  </conditionalFormatting>
  <conditionalFormatting sqref="B37:B38">
    <cfRule type="containsText" dxfId="90" priority="2" operator="containsText" text="X">
      <formula>NOT(ISERROR(SEARCH("X",B37)))</formula>
    </cfRule>
  </conditionalFormatting>
  <conditionalFormatting sqref="B1">
    <cfRule type="containsText" dxfId="89" priority="1" operator="containsText" text="X">
      <formula>NOT(ISERROR(SEARCH("X",B1)))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</vt:i4>
      </vt:variant>
    </vt:vector>
  </HeadingPairs>
  <TitlesOfParts>
    <vt:vector size="13" baseType="lpstr">
      <vt:lpstr>4장</vt:lpstr>
      <vt:lpstr>2장</vt:lpstr>
      <vt:lpstr>9장</vt:lpstr>
      <vt:lpstr>7장</vt:lpstr>
      <vt:lpstr>1장</vt:lpstr>
      <vt:lpstr>11장</vt:lpstr>
      <vt:lpstr>6장</vt:lpstr>
      <vt:lpstr>3장</vt:lpstr>
      <vt:lpstr>5장</vt:lpstr>
      <vt:lpstr>12장</vt:lpstr>
      <vt:lpstr>ALL</vt:lpstr>
      <vt:lpstr>Sheet3</vt:lpstr>
      <vt:lpstr>'5장'!OLE_LINK1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이수민</dc:creator>
  <cp:lastModifiedBy>이수민</cp:lastModifiedBy>
  <dcterms:created xsi:type="dcterms:W3CDTF">2022-04-28T03:11:45Z</dcterms:created>
  <dcterms:modified xsi:type="dcterms:W3CDTF">2022-05-04T10:18:15Z</dcterms:modified>
</cp:coreProperties>
</file>