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aan Maijen\Desktop\imgkap\"/>
    </mc:Choice>
  </mc:AlternateContent>
  <xr:revisionPtr revIDLastSave="0" documentId="13_ncr:1_{D0EAF893-6BE8-4B19-BFB8-33B7FFFAEF17}" xr6:coauthVersionLast="47" xr6:coauthVersionMax="47" xr10:uidLastSave="{00000000-0000-0000-0000-000000000000}"/>
  <bookViews>
    <workbookView xWindow="11124" yWindow="384" windowWidth="10392" windowHeight="11352" xr2:uid="{6C215D96-3E45-4724-8C29-D814B73E4063}"/>
  </bookViews>
  <sheets>
    <sheet name="BL TR" sheetId="1" r:id="rId1"/>
    <sheet name="TL BR" sheetId="3" r:id="rId2"/>
    <sheet name="5point test" sheetId="2" r:id="rId3"/>
    <sheet name="MO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D14" i="1"/>
  <c r="H17" i="1"/>
  <c r="N17" i="1"/>
  <c r="Q17" i="1" s="1"/>
  <c r="R17" i="1" s="1"/>
  <c r="H41" i="1"/>
  <c r="H42" i="1"/>
  <c r="D10" i="1"/>
  <c r="B12" i="1" s="1"/>
  <c r="R4" i="1"/>
  <c r="N4" i="1"/>
  <c r="L6" i="1" s="1"/>
  <c r="H10" i="1"/>
  <c r="F12" i="1" s="1"/>
  <c r="J11" i="1"/>
  <c r="N18" i="1"/>
  <c r="Q18" i="1" s="1"/>
  <c r="R18" i="1" s="1"/>
  <c r="H40" i="3"/>
  <c r="P6" i="3"/>
  <c r="L6" i="3"/>
  <c r="F12" i="3"/>
  <c r="B12" i="3"/>
  <c r="H40" i="1"/>
  <c r="S11" i="1"/>
  <c r="O11" i="1"/>
  <c r="I5" i="1"/>
  <c r="E5" i="1"/>
  <c r="S5" i="3"/>
  <c r="O5" i="3"/>
  <c r="E11" i="3"/>
  <c r="I11" i="3"/>
  <c r="F6" i="3"/>
  <c r="K15" i="1"/>
  <c r="M36" i="1" s="1"/>
  <c r="Q5" i="3"/>
  <c r="R5" i="3"/>
  <c r="R4" i="3" s="1"/>
  <c r="P5" i="3"/>
  <c r="C11" i="3"/>
  <c r="D11" i="3"/>
  <c r="B11" i="3"/>
  <c r="L7" i="3"/>
  <c r="G11" i="3"/>
  <c r="H11" i="3"/>
  <c r="H10" i="3" s="1"/>
  <c r="M5" i="3"/>
  <c r="N5" i="3"/>
  <c r="N4" i="3" s="1"/>
  <c r="L5" i="3"/>
  <c r="M7" i="3"/>
  <c r="H44" i="3"/>
  <c r="H41" i="3"/>
  <c r="M33" i="3"/>
  <c r="H47" i="3" s="1"/>
  <c r="M32" i="3"/>
  <c r="H46" i="3" s="1"/>
  <c r="M31" i="3"/>
  <c r="H45" i="3" s="1"/>
  <c r="H30" i="3"/>
  <c r="M29" i="3"/>
  <c r="H43" i="3" s="1"/>
  <c r="Q27" i="3"/>
  <c r="H42" i="3" s="1"/>
  <c r="H25" i="3"/>
  <c r="H22" i="3"/>
  <c r="H20" i="3"/>
  <c r="H17" i="3"/>
  <c r="K15" i="3"/>
  <c r="M36" i="3" s="1"/>
  <c r="R10" i="3"/>
  <c r="N10" i="3"/>
  <c r="D4" i="3"/>
  <c r="H4" i="3"/>
  <c r="H43" i="1"/>
  <c r="H46" i="1"/>
  <c r="M29" i="1"/>
  <c r="H45" i="1" s="1"/>
  <c r="L7" i="2"/>
  <c r="H9" i="2"/>
  <c r="D9" i="2"/>
  <c r="B9" i="2"/>
  <c r="K5" i="2"/>
  <c r="L5" i="2"/>
  <c r="L4" i="2" s="1"/>
  <c r="J5" i="2"/>
  <c r="P4" i="2"/>
  <c r="N6" i="2"/>
  <c r="C7" i="1"/>
  <c r="B7" i="1"/>
  <c r="P15" i="2"/>
  <c r="S29" i="2" s="1"/>
  <c r="S13" i="2"/>
  <c r="U13" i="2"/>
  <c r="B7" i="2"/>
  <c r="G29" i="2"/>
  <c r="G24" i="2"/>
  <c r="G21" i="2"/>
  <c r="S20" i="2"/>
  <c r="S19" i="2"/>
  <c r="G19" i="2"/>
  <c r="S18" i="2"/>
  <c r="S16" i="2"/>
  <c r="G16" i="2"/>
  <c r="W15" i="2"/>
  <c r="F12" i="2"/>
  <c r="F6" i="2" s="1"/>
  <c r="B12" i="2"/>
  <c r="Y11" i="2"/>
  <c r="Y10" i="2" s="1"/>
  <c r="X11" i="2"/>
  <c r="W11" i="2"/>
  <c r="U11" i="2"/>
  <c r="U10" i="2" s="1"/>
  <c r="T11" i="2"/>
  <c r="S11" i="2"/>
  <c r="H10" i="2"/>
  <c r="D10" i="2"/>
  <c r="W6" i="2"/>
  <c r="S6" i="2"/>
  <c r="H5" i="2"/>
  <c r="H4" i="2" s="1"/>
  <c r="G5" i="2"/>
  <c r="F5" i="2"/>
  <c r="D4" i="2"/>
  <c r="Y4" i="2"/>
  <c r="U4" i="2"/>
  <c r="Q27" i="1"/>
  <c r="H44" i="1" s="1"/>
  <c r="M33" i="1"/>
  <c r="H49" i="1" s="1"/>
  <c r="M32" i="1"/>
  <c r="H48" i="1" s="1"/>
  <c r="M31" i="1"/>
  <c r="H47" i="1" s="1"/>
  <c r="H25" i="1"/>
  <c r="H22" i="1"/>
  <c r="H20" i="1"/>
  <c r="H30" i="1"/>
  <c r="M13" i="1"/>
  <c r="L13" i="1"/>
  <c r="M11" i="1"/>
  <c r="N11" i="1"/>
  <c r="N10" i="1" s="1"/>
  <c r="L11" i="1"/>
  <c r="Q11" i="1"/>
  <c r="R11" i="1"/>
  <c r="R10" i="1" s="1"/>
  <c r="P11" i="1"/>
  <c r="C5" i="1"/>
  <c r="D5" i="1"/>
  <c r="D4" i="1" s="1"/>
  <c r="B5" i="1"/>
  <c r="G5" i="1"/>
  <c r="H5" i="1"/>
  <c r="H4" i="1" s="1"/>
  <c r="F5" i="1"/>
  <c r="P6" i="1" l="1" a="1"/>
  <c r="P6" i="1" s="1"/>
  <c r="H33" i="1" s="1"/>
  <c r="H31" i="1"/>
  <c r="L12" i="1"/>
  <c r="M42" i="1"/>
  <c r="L12" i="3"/>
  <c r="M39" i="3"/>
  <c r="P12" i="3"/>
  <c r="D10" i="3"/>
  <c r="M39" i="1"/>
  <c r="J6" i="2"/>
  <c r="G32" i="2" s="1"/>
  <c r="G38" i="2"/>
  <c r="G33" i="2"/>
  <c r="G31" i="2"/>
  <c r="B19" i="2"/>
  <c r="D19" i="2" s="1"/>
  <c r="B6" i="2"/>
  <c r="G36" i="2" s="1"/>
  <c r="S12" i="2"/>
  <c r="G35" i="2"/>
  <c r="W12" i="2"/>
  <c r="G34" i="2" s="1"/>
  <c r="H35" i="1"/>
  <c r="F6" i="1"/>
  <c r="P12" i="1" l="1"/>
  <c r="H34" i="1" s="1"/>
  <c r="B6" i="1"/>
  <c r="H37" i="1"/>
  <c r="H38" i="3"/>
  <c r="H37" i="3"/>
  <c r="B6" i="3"/>
  <c r="H33" i="3"/>
  <c r="G37" i="2"/>
  <c r="G39" i="2"/>
  <c r="B18" i="2"/>
  <c r="D18" i="2" s="1"/>
  <c r="G22" i="2" s="1"/>
  <c r="G30" i="2"/>
  <c r="H9" i="1"/>
  <c r="B22" i="1" s="1"/>
  <c r="D22" i="1" s="1"/>
  <c r="H38" i="1" l="1"/>
  <c r="D9" i="1"/>
  <c r="B21" i="1" s="1"/>
  <c r="D21" i="1" s="1"/>
  <c r="H23" i="1" s="1"/>
  <c r="H32" i="1"/>
  <c r="B9" i="1"/>
  <c r="H21" i="1" s="1"/>
  <c r="H36" i="1"/>
  <c r="B9" i="3"/>
  <c r="H21" i="3" s="1"/>
  <c r="D9" i="3"/>
  <c r="B21" i="3" s="1"/>
  <c r="D21" i="3" s="1"/>
  <c r="G23" i="2"/>
  <c r="G20" i="2"/>
  <c r="B13" i="3"/>
  <c r="F11" i="3"/>
  <c r="H24" i="1" l="1"/>
  <c r="H24" i="3"/>
  <c r="H35" i="3"/>
  <c r="H31" i="3" l="1"/>
  <c r="H9" i="3"/>
  <c r="B22" i="3" s="1"/>
  <c r="D22" i="3" s="1"/>
  <c r="H23" i="3" s="1"/>
  <c r="H36" i="3"/>
  <c r="C13" i="3"/>
  <c r="H32" i="3" s="1"/>
  <c r="H34" i="3"/>
  <c r="U8" i="1"/>
  <c r="V8" i="1" s="1"/>
  <c r="V7" i="1" l="1"/>
  <c r="V13" i="1" s="1"/>
  <c r="U13" i="1"/>
  <c r="W7" i="1" l="1"/>
  <c r="W8" i="1" s="1"/>
  <c r="W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<sst xmlns="http://schemas.openxmlformats.org/spreadsheetml/2006/main" count="207" uniqueCount="96">
  <si>
    <t>per min</t>
  </si>
  <si>
    <t>per sec</t>
  </si>
  <si>
    <t>x</t>
  </si>
  <si>
    <t>y</t>
  </si>
  <si>
    <t>,</t>
  </si>
  <si>
    <t>m/per deg</t>
  </si>
  <si>
    <t>mean</t>
  </si>
  <si>
    <t>m</t>
  </si>
  <si>
    <t>chart meters height (y)</t>
  </si>
  <si>
    <t>diffx</t>
  </si>
  <si>
    <t>diffy</t>
  </si>
  <si>
    <t>PLY/1,51.813333,3.845</t>
  </si>
  <si>
    <t>PLY/2,51.876667,3.845</t>
  </si>
  <si>
    <t>PLY/3,51.876667,4.073333</t>
  </si>
  <si>
    <t>PLY/4,51.813333,4.073333</t>
  </si>
  <si>
    <t>DMT/0.0,0.0</t>
  </si>
  <si>
    <t>ZONE:</t>
  </si>
  <si>
    <t>B &amp; NL</t>
  </si>
  <si>
    <t>Map name</t>
  </si>
  <si>
    <t>VER/3.0</t>
  </si>
  <si>
    <t>Scale</t>
  </si>
  <si>
    <t>OST/1</t>
  </si>
  <si>
    <t>CED/SE=01,RE=01,ED=01/01/2000</t>
  </si>
  <si>
    <t>NTM/NE=00.00,ND=01/01/2000,BF=on,BD=01/01/2000</t>
  </si>
  <si>
    <t>IFM/3</t>
  </si>
  <si>
    <t>CRR/2021, MARI-caribbean</t>
  </si>
  <si>
    <t>BSB file format</t>
  </si>
  <si>
    <t>kap file format</t>
  </si>
  <si>
    <t>MA0112S1</t>
  </si>
  <si>
    <t>B and NL</t>
  </si>
  <si>
    <t xml:space="preserve">IMGKAP copy paste </t>
  </si>
  <si>
    <t>NO NIGHT</t>
  </si>
  <si>
    <t>IMAGE SIZE</t>
  </si>
  <si>
    <t>X</t>
  </si>
  <si>
    <t>Y</t>
  </si>
  <si>
    <t>DPI</t>
  </si>
  <si>
    <t>PX</t>
  </si>
  <si>
    <t>LAT</t>
  </si>
  <si>
    <t>LON</t>
  </si>
  <si>
    <t>real seconds</t>
  </si>
  <si>
    <t>diff Y</t>
  </si>
  <si>
    <t>diff X</t>
  </si>
  <si>
    <t>TOP RIGHT CORNER</t>
  </si>
  <si>
    <t>BOTTOM LEFT CORNER</t>
  </si>
  <si>
    <t>NGT/5,99,99,99</t>
  </si>
  <si>
    <t>NGT/,99,99,99</t>
  </si>
  <si>
    <t>NGT/4,99,99,99</t>
  </si>
  <si>
    <t>NGT/6,99,99,99</t>
  </si>
  <si>
    <t>NGT/3,99,99,99</t>
  </si>
  <si>
    <t>MA0139S2</t>
  </si>
  <si>
    <t>E</t>
  </si>
  <si>
    <t>N</t>
  </si>
  <si>
    <t>W</t>
  </si>
  <si>
    <t>FILL IN</t>
  </si>
  <si>
    <t>CALCULTAED DON’T TOUCH!</t>
  </si>
  <si>
    <t>TEXT</t>
  </si>
  <si>
    <t>COPY THIS</t>
  </si>
  <si>
    <t>DEPTH</t>
  </si>
  <si>
    <t>METERS</t>
  </si>
  <si>
    <t>99,99,99</t>
  </si>
  <si>
    <t>REF/1,346,682,18.44003032826062,-64.7564608888889</t>
  </si>
  <si>
    <t>REF/2,346,5361,18.239025547141548,-64.7564608888889</t>
  </si>
  <si>
    <t>REF/3,7270,682,18.44003032826062,-64.44228988888888</t>
  </si>
  <si>
    <t>REF/4,7270,5361,18.239025547141548,-64.44228988888888</t>
  </si>
  <si>
    <t>PLY/1,18.239025547141548,-64.7564608888889</t>
  </si>
  <si>
    <t>PLY/2,18.44003032826062,-64.7564608888889</t>
  </si>
  <si>
    <t>PLY/3,18.44003032826062,-64.44228988888888</t>
  </si>
  <si>
    <t>PLY/4,18.239025547141548,-64.44228988888888</t>
  </si>
  <si>
    <t>OFFSET</t>
  </si>
  <si>
    <t>Pixel count</t>
  </si>
  <si>
    <t>1 min</t>
  </si>
  <si>
    <t>PIXELS</t>
  </si>
  <si>
    <t>seconds</t>
  </si>
  <si>
    <t>REVERSE LAT</t>
  </si>
  <si>
    <t>output:</t>
  </si>
  <si>
    <t>down</t>
  </si>
  <si>
    <t>up</t>
  </si>
  <si>
    <t>R,sec</t>
  </si>
  <si>
    <t>D,sec</t>
  </si>
  <si>
    <t>DATA</t>
  </si>
  <si>
    <t>WGS72</t>
  </si>
  <si>
    <t>CHART</t>
  </si>
  <si>
    <t>OFFSET:</t>
  </si>
  <si>
    <t>CORNER:</t>
  </si>
  <si>
    <t>zanderij to WGS 72</t>
  </si>
  <si>
    <t>y(N/S)</t>
  </si>
  <si>
    <t>x(E/W)</t>
  </si>
  <si>
    <t>ZANDERIJ</t>
  </si>
  <si>
    <t xml:space="preserve">S/DEC : </t>
  </si>
  <si>
    <t>EAST CARIBBEAN</t>
  </si>
  <si>
    <t>NAPARIMA BWI</t>
  </si>
  <si>
    <t>BOGOTA</t>
  </si>
  <si>
    <t>WGS84</t>
  </si>
  <si>
    <t>DEC</t>
  </si>
  <si>
    <t>IGN</t>
  </si>
  <si>
    <t>M25566S1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</si>
</sst>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000"/>
    <numFmt numFmtId="166" formatCode="0.0000"/>
    <numFmt numFmtId="167" formatCode="0.00000"/>
    <numFmt numFmtId="168" formatCode="0.000"/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2" borderId="0" xfId="0" applyFill="1"/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4" borderId="0" xfId="0" applyNumberFormat="1" applyFill="1"/>
    <xf numFmtId="0" fontId="0" fillId="4" borderId="0" xfId="0" applyFill="1"/>
    <xf numFmtId="0" fontId="0" fillId="5" borderId="0" xfId="0" applyFill="1"/>
    <xf numFmtId="1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3" fontId="2" fillId="0" borderId="0" xfId="0" applyNumberFormat="1" applyFont="1"/>
    <xf numFmtId="0" fontId="0" fillId="6" borderId="0" xfId="0" applyFill="1"/>
    <xf numFmtId="0" fontId="0" fillId="7" borderId="0" xfId="0" applyFill="1"/>
    <xf numFmtId="0" fontId="0" fillId="0" borderId="0" xfId="0" applyAlignment="1"/>
    <xf numFmtId="0" fontId="0" fillId="2" borderId="0" xfId="0" applyFill="1" applyAlignment="1"/>
    <xf numFmtId="0" fontId="0" fillId="8" borderId="0" xfId="0" applyFill="1"/>
    <xf numFmtId="1" fontId="0" fillId="5" borderId="0" xfId="0" applyNumberFormat="1" applyFill="1"/>
    <xf numFmtId="0" fontId="0" fillId="8" borderId="0" xfId="0" applyFill="1" applyAlignment="1"/>
    <xf numFmtId="0" fontId="0" fillId="3" borderId="0" xfId="0" applyFill="1" applyAlignment="1"/>
    <xf numFmtId="165" fontId="0" fillId="3" borderId="0" xfId="0" applyNumberFormat="1" applyFill="1" applyAlignment="1">
      <alignment horizontal="center"/>
    </xf>
    <xf numFmtId="0" fontId="1" fillId="10" borderId="0" xfId="0" applyFont="1" applyFill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0" borderId="0" xfId="0" applyFill="1" applyBorder="1" applyAlignment="1"/>
    <xf numFmtId="0" fontId="0" fillId="2" borderId="4" xfId="0" applyFill="1" applyBorder="1" applyAlignment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2" borderId="2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Fill="1" applyBorder="1"/>
    <xf numFmtId="0" fontId="0" fillId="0" borderId="7" xfId="0" applyBorder="1" applyAlignment="1"/>
    <xf numFmtId="0" fontId="0" fillId="0" borderId="1" xfId="0" applyBorder="1"/>
    <xf numFmtId="0" fontId="0" fillId="2" borderId="0" xfId="0" applyFill="1" applyBorder="1"/>
    <xf numFmtId="0" fontId="0" fillId="9" borderId="4" xfId="0" applyFill="1" applyBorder="1"/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/>
    <xf numFmtId="0" fontId="0" fillId="3" borderId="0" xfId="0" applyFill="1" applyBorder="1"/>
    <xf numFmtId="0" fontId="0" fillId="7" borderId="0" xfId="0" applyFill="1" applyBorder="1"/>
    <xf numFmtId="1" fontId="0" fillId="7" borderId="0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1" fontId="0" fillId="3" borderId="0" xfId="0" applyNumberFormat="1" applyFill="1" applyBorder="1" applyAlignment="1">
      <alignment horizontal="center"/>
    </xf>
    <xf numFmtId="0" fontId="0" fillId="12" borderId="0" xfId="0" applyFill="1"/>
    <xf numFmtId="164" fontId="0" fillId="12" borderId="0" xfId="0" applyNumberFormat="1" applyFill="1"/>
    <xf numFmtId="3" fontId="2" fillId="12" borderId="0" xfId="0" applyNumberFormat="1" applyFont="1" applyFill="1"/>
    <xf numFmtId="0" fontId="0" fillId="11" borderId="0" xfId="0" applyFill="1"/>
    <xf numFmtId="0" fontId="0" fillId="0" borderId="0" xfId="0" applyFill="1" applyBorder="1" applyAlignment="1">
      <alignment horizontal="center"/>
    </xf>
    <xf numFmtId="165" fontId="0" fillId="11" borderId="0" xfId="0" applyNumberFormat="1" applyFill="1" applyBorder="1" applyAlignment="1">
      <alignment horizontal="center"/>
    </xf>
    <xf numFmtId="0" fontId="0" fillId="11" borderId="2" xfId="0" applyFill="1" applyBorder="1"/>
    <xf numFmtId="0" fontId="0" fillId="11" borderId="1" xfId="0" applyFill="1" applyBorder="1"/>
    <xf numFmtId="0" fontId="0" fillId="11" borderId="3" xfId="0" applyFill="1" applyBorder="1"/>
    <xf numFmtId="0" fontId="0" fillId="7" borderId="9" xfId="0" applyFill="1" applyBorder="1"/>
    <xf numFmtId="0" fontId="0" fillId="13" borderId="6" xfId="0" applyFill="1" applyBorder="1"/>
    <xf numFmtId="1" fontId="0" fillId="3" borderId="0" xfId="0" applyNumberFormat="1" applyFill="1" applyBorder="1"/>
    <xf numFmtId="0" fontId="0" fillId="7" borderId="5" xfId="0" applyFill="1" applyBorder="1"/>
    <xf numFmtId="0" fontId="0" fillId="3" borderId="5" xfId="0" applyFill="1" applyBorder="1"/>
    <xf numFmtId="1" fontId="0" fillId="7" borderId="0" xfId="0" applyNumberFormat="1" applyFill="1" applyBorder="1"/>
    <xf numFmtId="0" fontId="0" fillId="9" borderId="0" xfId="0" applyFill="1"/>
    <xf numFmtId="0" fontId="0" fillId="12" borderId="4" xfId="0" applyFill="1" applyBorder="1"/>
    <xf numFmtId="0" fontId="0" fillId="12" borderId="0" xfId="0" applyFill="1" applyBorder="1"/>
    <xf numFmtId="0" fontId="1" fillId="12" borderId="1" xfId="0" applyFont="1" applyFill="1" applyBorder="1"/>
    <xf numFmtId="0" fontId="0" fillId="12" borderId="2" xfId="0" applyFill="1" applyBorder="1"/>
    <xf numFmtId="0" fontId="1" fillId="12" borderId="4" xfId="0" applyFont="1" applyFill="1" applyBorder="1"/>
    <xf numFmtId="0" fontId="1" fillId="12" borderId="2" xfId="0" applyFont="1" applyFill="1" applyBorder="1"/>
    <xf numFmtId="0" fontId="1" fillId="12" borderId="0" xfId="0" applyFont="1" applyFill="1" applyBorder="1"/>
    <xf numFmtId="0" fontId="1" fillId="11" borderId="0" xfId="0" applyFont="1" applyFill="1"/>
    <xf numFmtId="0" fontId="0" fillId="13" borderId="4" xfId="0" applyFill="1" applyBorder="1"/>
    <xf numFmtId="0" fontId="0" fillId="2" borderId="10" xfId="0" applyFill="1" applyBorder="1" applyAlignment="1"/>
    <xf numFmtId="0" fontId="0" fillId="0" borderId="11" xfId="0" applyFill="1" applyBorder="1" applyAlignment="1"/>
    <xf numFmtId="0" fontId="0" fillId="0" borderId="12" xfId="0" applyBorder="1"/>
    <xf numFmtId="0" fontId="0" fillId="7" borderId="7" xfId="0" applyFill="1" applyBorder="1"/>
    <xf numFmtId="0" fontId="0" fillId="13" borderId="13" xfId="0" applyFill="1" applyBorder="1"/>
    <xf numFmtId="165" fontId="0" fillId="3" borderId="0" xfId="0" applyNumberFormat="1" applyFill="1" applyBorder="1" applyAlignment="1"/>
    <xf numFmtId="169" fontId="0" fillId="0" borderId="0" xfId="0" applyNumberFormat="1"/>
    <xf numFmtId="169" fontId="0" fillId="3" borderId="1" xfId="0" applyNumberFormat="1" applyFill="1" applyBorder="1"/>
    <xf numFmtId="1" fontId="0" fillId="3" borderId="2" xfId="0" applyNumberFormat="1" applyFill="1" applyBorder="1"/>
    <xf numFmtId="167" fontId="0" fillId="3" borderId="3" xfId="0" applyNumberFormat="1" applyFill="1" applyBorder="1"/>
    <xf numFmtId="1" fontId="0" fillId="3" borderId="4" xfId="0" applyNumberFormat="1" applyFill="1" applyBorder="1"/>
    <xf numFmtId="168" fontId="0" fillId="3" borderId="0" xfId="0" applyNumberFormat="1" applyFill="1" applyBorder="1"/>
    <xf numFmtId="166" fontId="0" fillId="3" borderId="5" xfId="0" applyNumberFormat="1" applyFill="1" applyBorder="1"/>
    <xf numFmtId="165" fontId="0" fillId="7" borderId="4" xfId="0" applyNumberFormat="1" applyFill="1" applyBorder="1" applyAlignment="1"/>
    <xf numFmtId="165" fontId="0" fillId="3" borderId="5" xfId="0" applyNumberFormat="1" applyFill="1" applyBorder="1" applyAlignment="1"/>
    <xf numFmtId="0" fontId="0" fillId="3" borderId="6" xfId="0" applyFill="1" applyBorder="1"/>
    <xf numFmtId="1" fontId="0" fillId="3" borderId="7" xfId="0" applyNumberFormat="1" applyFill="1" applyBorder="1"/>
    <xf numFmtId="2" fontId="0" fillId="3" borderId="8" xfId="0" applyNumberFormat="1" applyFill="1" applyBorder="1"/>
    <xf numFmtId="0" fontId="0" fillId="11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1" borderId="14" xfId="0" applyFill="1" applyBorder="1"/>
    <xf numFmtId="0" fontId="0" fillId="7" borderId="15" xfId="0" applyFill="1" applyBorder="1"/>
    <xf numFmtId="0" fontId="0" fillId="11" borderId="15" xfId="0" applyFill="1" applyBorder="1"/>
    <xf numFmtId="0" fontId="0" fillId="3" borderId="16" xfId="0" applyFill="1" applyBorder="1"/>
    <xf numFmtId="0" fontId="0" fillId="13" borderId="0" xfId="0" applyFill="1"/>
    <xf numFmtId="1" fontId="0" fillId="0" borderId="0" xfId="0" applyNumberFormat="1"/>
    <xf numFmtId="1" fontId="0" fillId="7" borderId="7" xfId="0" applyNumberFormat="1" applyFill="1" applyBorder="1"/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503A-4E69-417A-9999-6C4F14B10F49}">
  <dimension ref="A1:W63"/>
  <sheetViews>
    <sheetView tabSelected="1" topLeftCell="B1" zoomScale="70" zoomScaleNormal="70" workbookViewId="0">
      <selection activeCell="H14" sqref="H14"/>
    </sheetView>
  </sheetViews>
  <sheetFormatPr defaultRowHeight="14.4" x14ac:dyDescent="0.3"/>
  <cols>
    <col min="1" max="1" width="11.6640625" customWidth="1"/>
    <col min="2" max="2" width="9.88671875" customWidth="1"/>
    <col min="3" max="3" width="5.6640625" customWidth="1"/>
    <col min="4" max="4" width="5.88671875" customWidth="1"/>
    <col min="5" max="9" width="5.6640625" customWidth="1"/>
    <col min="12" max="15" width="5.6640625" customWidth="1"/>
    <col min="16" max="16" width="6.5546875" customWidth="1"/>
    <col min="17" max="19" width="7.5546875" customWidth="1"/>
    <col min="20" max="20" width="5.6640625" customWidth="1"/>
    <col min="21" max="21" width="12.33203125" customWidth="1"/>
    <col min="22" max="23" width="8.5546875" customWidth="1"/>
  </cols>
  <sheetData>
    <row r="1" spans="1:23" x14ac:dyDescent="0.3">
      <c r="A1" s="110" t="s">
        <v>16</v>
      </c>
      <c r="B1" s="111"/>
      <c r="C1" s="118" t="s">
        <v>89</v>
      </c>
      <c r="D1" s="118"/>
      <c r="E1" s="118"/>
      <c r="F1" s="118"/>
      <c r="G1" s="119"/>
      <c r="H1" s="80" t="s">
        <v>57</v>
      </c>
      <c r="I1" s="124" t="s">
        <v>58</v>
      </c>
      <c r="J1" s="124"/>
      <c r="N1" s="13" t="s">
        <v>53</v>
      </c>
      <c r="O1" s="72" t="s">
        <v>56</v>
      </c>
    </row>
    <row r="2" spans="1:23" x14ac:dyDescent="0.3">
      <c r="A2" s="120" t="s">
        <v>18</v>
      </c>
      <c r="B2" s="121"/>
      <c r="C2" s="116" t="s">
        <v>95</v>
      </c>
      <c r="D2" s="116"/>
      <c r="E2" s="116"/>
      <c r="F2" s="116"/>
      <c r="G2" s="117"/>
      <c r="H2" s="60" t="s">
        <v>79</v>
      </c>
      <c r="I2" s="13" t="s">
        <v>92</v>
      </c>
      <c r="J2" s="13"/>
      <c r="N2" s="2" t="s">
        <v>54</v>
      </c>
      <c r="O2" s="2"/>
      <c r="P2" s="2"/>
    </row>
    <row r="3" spans="1:23" ht="15" thickBot="1" x14ac:dyDescent="0.35">
      <c r="A3" s="112" t="s">
        <v>20</v>
      </c>
      <c r="B3" s="113"/>
      <c r="C3" s="114">
        <v>15000</v>
      </c>
      <c r="D3" s="114"/>
      <c r="E3" s="114"/>
      <c r="F3" s="114"/>
      <c r="G3" s="115"/>
      <c r="N3" s="60" t="s">
        <v>55</v>
      </c>
      <c r="O3" s="60"/>
      <c r="Q3" s="80" t="s">
        <v>42</v>
      </c>
      <c r="R3" s="80"/>
      <c r="S3" s="80"/>
    </row>
    <row r="4" spans="1:23" x14ac:dyDescent="0.3">
      <c r="A4" s="40"/>
      <c r="B4" s="25"/>
      <c r="C4" s="25"/>
      <c r="D4" s="46">
        <f>D5*0.6</f>
        <v>0</v>
      </c>
      <c r="E4" s="25"/>
      <c r="F4" s="25"/>
      <c r="G4" s="25"/>
      <c r="H4" s="22">
        <f>H5*0.6</f>
        <v>12</v>
      </c>
      <c r="I4" s="34"/>
      <c r="J4" s="34"/>
      <c r="K4" s="34"/>
      <c r="L4" s="63" t="s">
        <v>39</v>
      </c>
      <c r="M4" s="63"/>
      <c r="N4" s="22">
        <f>IF(O4="DEC",N5*0.6,N5)</f>
        <v>0</v>
      </c>
      <c r="O4" s="47" t="s">
        <v>93</v>
      </c>
      <c r="P4" s="34"/>
      <c r="Q4" s="47" t="s">
        <v>93</v>
      </c>
      <c r="R4" s="22">
        <f>IF(Q4="DEC",R5*0.6,R5)</f>
        <v>30</v>
      </c>
      <c r="S4" s="23"/>
    </row>
    <row r="5" spans="1:23" x14ac:dyDescent="0.3">
      <c r="A5" s="24"/>
      <c r="B5" s="46">
        <f>L5</f>
        <v>16</v>
      </c>
      <c r="C5" s="46">
        <f t="shared" ref="C5:D5" si="0">M5</f>
        <v>7</v>
      </c>
      <c r="D5" s="46">
        <f t="shared" si="0"/>
        <v>0</v>
      </c>
      <c r="E5" s="46" t="str">
        <f>O5</f>
        <v>N</v>
      </c>
      <c r="F5" s="46">
        <f>F11</f>
        <v>61</v>
      </c>
      <c r="G5" s="46">
        <f t="shared" ref="G5:H5" si="1">G11</f>
        <v>34</v>
      </c>
      <c r="H5" s="46">
        <f t="shared" si="1"/>
        <v>20</v>
      </c>
      <c r="I5" s="46" t="str">
        <f>I11</f>
        <v>W</v>
      </c>
      <c r="J5" s="25"/>
      <c r="K5" s="25"/>
      <c r="L5" s="47">
        <v>16</v>
      </c>
      <c r="M5" s="47">
        <v>7</v>
      </c>
      <c r="N5" s="47">
        <v>0</v>
      </c>
      <c r="O5" s="47" t="s">
        <v>51</v>
      </c>
      <c r="P5" s="47">
        <v>61</v>
      </c>
      <c r="Q5" s="47">
        <v>32</v>
      </c>
      <c r="R5" s="47">
        <v>50</v>
      </c>
      <c r="S5" s="69" t="s">
        <v>52</v>
      </c>
    </row>
    <row r="6" spans="1:23" ht="15" thickBot="1" x14ac:dyDescent="0.35">
      <c r="A6" s="24"/>
      <c r="B6" s="122">
        <f>L6</f>
        <v>16.114447502000001</v>
      </c>
      <c r="C6" s="123"/>
      <c r="D6" s="123"/>
      <c r="E6" s="54" t="s">
        <v>37</v>
      </c>
      <c r="F6" s="122">
        <f>F12</f>
        <v>-61.574222086000006</v>
      </c>
      <c r="G6" s="123"/>
      <c r="H6" s="123"/>
      <c r="I6" s="54" t="s">
        <v>38</v>
      </c>
      <c r="J6" s="25"/>
      <c r="K6" s="25"/>
      <c r="L6" s="122">
        <f>IF(O5="S",(L5+(M5*$A$19)+((N4+D14+N8)*$A$21))*-1,L5+(M5*$A$19)+((N4+D14)*$A$21))</f>
        <v>16.114447502000001</v>
      </c>
      <c r="M6" s="122"/>
      <c r="N6" s="122"/>
      <c r="O6" s="54" t="s">
        <v>37</v>
      </c>
      <c r="P6" s="122" cm="1">
        <f t="array" ref="P6">IF(S5="W",(P5+(Q5*$A$19)+((R4+H14+R8)*$A$21))*-1,P5+(Q5*$A$19)+(M15(R4+H14)*$A$21))</f>
        <v>-61.545892086000002</v>
      </c>
      <c r="Q6" s="122"/>
      <c r="R6" s="122"/>
      <c r="S6" s="55" t="s">
        <v>38</v>
      </c>
    </row>
    <row r="7" spans="1:23" x14ac:dyDescent="0.3">
      <c r="A7" s="24"/>
      <c r="B7" s="68">
        <f>B13</f>
        <v>323</v>
      </c>
      <c r="C7" s="46">
        <f>M7</f>
        <v>356</v>
      </c>
      <c r="D7" s="38"/>
      <c r="E7" s="25"/>
      <c r="F7" s="25"/>
      <c r="G7" s="25"/>
      <c r="H7" s="25"/>
      <c r="I7" s="25"/>
      <c r="J7" s="25"/>
      <c r="K7" s="25"/>
      <c r="L7" s="47">
        <v>1593</v>
      </c>
      <c r="M7" s="47">
        <v>356</v>
      </c>
      <c r="N7" s="54" t="s">
        <v>36</v>
      </c>
      <c r="P7" s="25"/>
      <c r="Q7" s="25"/>
      <c r="R7" s="25"/>
      <c r="S7" s="26"/>
      <c r="U7" s="89"/>
      <c r="V7" s="90">
        <f>ROUNDDOWN(V8,0)</f>
        <v>24</v>
      </c>
      <c r="W7" s="91">
        <f>V8-V7</f>
        <v>0.47520336233307248</v>
      </c>
    </row>
    <row r="8" spans="1:23" x14ac:dyDescent="0.3">
      <c r="A8" s="24"/>
      <c r="B8" s="25"/>
      <c r="C8" s="25"/>
      <c r="D8" s="25"/>
      <c r="E8" s="25"/>
      <c r="F8" s="25"/>
      <c r="G8" s="25"/>
      <c r="H8" s="25"/>
      <c r="I8" s="25"/>
      <c r="J8" s="103" t="s">
        <v>77</v>
      </c>
      <c r="K8" s="54" t="s">
        <v>83</v>
      </c>
      <c r="L8" s="47">
        <v>0</v>
      </c>
      <c r="M8" s="47">
        <v>0</v>
      </c>
      <c r="N8" s="47">
        <v>0</v>
      </c>
      <c r="O8" s="47" t="s">
        <v>51</v>
      </c>
      <c r="P8" s="47">
        <v>0</v>
      </c>
      <c r="Q8" s="47">
        <v>0</v>
      </c>
      <c r="R8" s="47">
        <v>0</v>
      </c>
      <c r="S8" s="69" t="s">
        <v>52</v>
      </c>
      <c r="U8" s="92">
        <f>ROUNDDOWN(U9,0)</f>
        <v>68</v>
      </c>
      <c r="V8" s="93">
        <f>(U9-U8)/A19</f>
        <v>24.475203362333072</v>
      </c>
      <c r="W8" s="94">
        <f>W7*100</f>
        <v>47.520336233307248</v>
      </c>
    </row>
    <row r="9" spans="1:23" x14ac:dyDescent="0.3">
      <c r="A9" s="53" t="s">
        <v>6</v>
      </c>
      <c r="B9" s="46">
        <f>(B12+B6)/2</f>
        <v>16.099448502000001</v>
      </c>
      <c r="C9" s="54" t="s">
        <v>40</v>
      </c>
      <c r="D9" s="122">
        <f>B6-B12</f>
        <v>2.9997999999999081E-2</v>
      </c>
      <c r="E9" s="122"/>
      <c r="F9" s="25"/>
      <c r="G9" s="54" t="s">
        <v>41</v>
      </c>
      <c r="H9" s="122">
        <f>P6-F6</f>
        <v>2.8330000000003963E-2</v>
      </c>
      <c r="I9" s="122"/>
      <c r="J9" s="104">
        <v>12</v>
      </c>
      <c r="K9" s="60" t="s">
        <v>68</v>
      </c>
      <c r="L9" s="25"/>
      <c r="M9" s="25"/>
      <c r="N9" s="25"/>
      <c r="O9" s="25"/>
      <c r="P9" s="25"/>
      <c r="Q9" s="25"/>
      <c r="R9" s="25"/>
      <c r="S9" s="26"/>
      <c r="U9" s="95">
        <v>68.407928214440005</v>
      </c>
      <c r="V9" s="87"/>
      <c r="W9" s="96"/>
    </row>
    <row r="10" spans="1:23" x14ac:dyDescent="0.3">
      <c r="A10" s="24"/>
      <c r="B10" s="54" t="s">
        <v>88</v>
      </c>
      <c r="C10" s="47" t="s">
        <v>93</v>
      </c>
      <c r="D10" s="46">
        <f>IF(C10="DEC",D11*0.6,D11)</f>
        <v>12</v>
      </c>
      <c r="E10" s="25"/>
      <c r="F10" s="25"/>
      <c r="G10" s="47" t="s">
        <v>93</v>
      </c>
      <c r="H10" s="46">
        <f>IF(G10="DEC",H11*0.6,H11)</f>
        <v>12</v>
      </c>
      <c r="J10" s="105" t="s">
        <v>78</v>
      </c>
      <c r="K10" s="25"/>
      <c r="L10" s="25"/>
      <c r="M10" s="25"/>
      <c r="N10" s="46">
        <f>N11*0.6</f>
        <v>12</v>
      </c>
      <c r="O10" s="25"/>
      <c r="P10" s="25"/>
      <c r="Q10" s="25"/>
      <c r="R10" s="46">
        <f>R11*0.6</f>
        <v>30</v>
      </c>
      <c r="S10" s="26"/>
      <c r="U10" s="53" t="s">
        <v>73</v>
      </c>
      <c r="V10" s="25"/>
      <c r="W10" s="26"/>
    </row>
    <row r="11" spans="1:23" x14ac:dyDescent="0.3">
      <c r="A11" s="24"/>
      <c r="B11" s="47">
        <v>16</v>
      </c>
      <c r="C11" s="47">
        <v>5</v>
      </c>
      <c r="D11" s="47">
        <v>20</v>
      </c>
      <c r="E11" s="47" t="s">
        <v>51</v>
      </c>
      <c r="F11" s="47">
        <v>61</v>
      </c>
      <c r="G11" s="47">
        <v>34</v>
      </c>
      <c r="H11" s="47">
        <v>20</v>
      </c>
      <c r="I11" s="47" t="s">
        <v>52</v>
      </c>
      <c r="J11" s="106">
        <f>J9/0.6</f>
        <v>20</v>
      </c>
      <c r="K11" s="25"/>
      <c r="L11" s="46">
        <f>B11</f>
        <v>16</v>
      </c>
      <c r="M11" s="46">
        <f t="shared" ref="M11:N11" si="2">C11</f>
        <v>5</v>
      </c>
      <c r="N11" s="46">
        <f t="shared" si="2"/>
        <v>20</v>
      </c>
      <c r="O11" s="46" t="str">
        <f>E11</f>
        <v>N</v>
      </c>
      <c r="P11" s="46">
        <f>P5</f>
        <v>61</v>
      </c>
      <c r="Q11" s="46">
        <f t="shared" ref="Q11:R11" si="3">Q5</f>
        <v>32</v>
      </c>
      <c r="R11" s="46">
        <f t="shared" si="3"/>
        <v>50</v>
      </c>
      <c r="S11" s="70" t="str">
        <f>S5</f>
        <v>W</v>
      </c>
      <c r="U11" s="24"/>
      <c r="V11" s="25"/>
      <c r="W11" s="26"/>
    </row>
    <row r="12" spans="1:23" x14ac:dyDescent="0.3">
      <c r="A12" s="24"/>
      <c r="B12" s="122">
        <f>IF(E11="S",(B11+(C11*$A$19)+((D10+D14)*$A$21))*-1,B11+(C11*$A$19)+((D10+D14)*$A$21))</f>
        <v>16.084449502000002</v>
      </c>
      <c r="C12" s="122"/>
      <c r="D12" s="122"/>
      <c r="E12" s="54" t="s">
        <v>37</v>
      </c>
      <c r="F12" s="122">
        <f>IF(I11="W",(F11+(G11*$A$19)+((H10+H14)*$A$21))*-1,F11+(G11*$A$19)+((H10+H14)*$A$21))</f>
        <v>-61.574222086000006</v>
      </c>
      <c r="G12" s="122"/>
      <c r="H12" s="122"/>
      <c r="I12" s="54" t="s">
        <v>38</v>
      </c>
      <c r="J12" s="25"/>
      <c r="K12" s="25"/>
      <c r="L12" s="122">
        <f>B12</f>
        <v>16.084449502000002</v>
      </c>
      <c r="M12" s="123"/>
      <c r="N12" s="123"/>
      <c r="O12" s="54" t="s">
        <v>37</v>
      </c>
      <c r="P12" s="122">
        <f>P6</f>
        <v>-61.545892086000002</v>
      </c>
      <c r="Q12" s="123"/>
      <c r="R12" s="123"/>
      <c r="S12" s="54" t="s">
        <v>38</v>
      </c>
      <c r="U12" s="53" t="s">
        <v>74</v>
      </c>
      <c r="V12" s="25"/>
      <c r="W12" s="26"/>
    </row>
    <row r="13" spans="1:23" ht="15" thickBot="1" x14ac:dyDescent="0.35">
      <c r="A13" s="53" t="s">
        <v>81</v>
      </c>
      <c r="B13" s="48">
        <v>323</v>
      </c>
      <c r="C13" s="48">
        <v>1747</v>
      </c>
      <c r="D13" s="62" t="s">
        <v>36</v>
      </c>
      <c r="F13" s="49"/>
      <c r="G13" s="49"/>
      <c r="H13" s="49"/>
      <c r="I13" s="25"/>
      <c r="J13" s="25"/>
      <c r="K13" s="25"/>
      <c r="L13" s="56">
        <f>L7</f>
        <v>1593</v>
      </c>
      <c r="M13" s="56">
        <f>C13</f>
        <v>1747</v>
      </c>
      <c r="N13" s="61"/>
      <c r="O13" s="25"/>
      <c r="P13" s="49"/>
      <c r="Q13" s="50"/>
      <c r="R13" s="50"/>
      <c r="S13" s="26"/>
      <c r="U13" s="97">
        <f>U8</f>
        <v>68</v>
      </c>
      <c r="V13" s="98">
        <f>V7</f>
        <v>24</v>
      </c>
      <c r="W13" s="99">
        <f>W8</f>
        <v>47.520336233307248</v>
      </c>
    </row>
    <row r="14" spans="1:23" ht="15" thickBot="1" x14ac:dyDescent="0.35">
      <c r="A14" s="100" t="s">
        <v>82</v>
      </c>
      <c r="B14" s="85">
        <v>0</v>
      </c>
      <c r="C14" s="85">
        <v>0</v>
      </c>
      <c r="D14" s="85">
        <f>-8.435+0.444</f>
        <v>-7.9910000000000005</v>
      </c>
      <c r="E14" s="85" t="s">
        <v>51</v>
      </c>
      <c r="F14" s="85">
        <v>0</v>
      </c>
      <c r="G14" s="85">
        <v>0</v>
      </c>
      <c r="H14" s="109">
        <f>13.137+2</f>
        <v>15.137</v>
      </c>
      <c r="I14" s="85" t="s">
        <v>52</v>
      </c>
      <c r="J14" s="32"/>
      <c r="K14" s="32"/>
      <c r="L14" s="32"/>
      <c r="M14" s="32"/>
      <c r="N14" s="32"/>
      <c r="O14" s="32"/>
      <c r="P14" s="32"/>
      <c r="Q14" s="32"/>
      <c r="R14" s="32"/>
      <c r="S14" s="33"/>
    </row>
    <row r="15" spans="1:23" x14ac:dyDescent="0.3">
      <c r="B15" s="80" t="s">
        <v>43</v>
      </c>
      <c r="C15" s="80"/>
      <c r="D15" s="80"/>
      <c r="H15" s="77" t="s">
        <v>27</v>
      </c>
      <c r="I15" s="74"/>
      <c r="J15" s="74"/>
      <c r="K15" s="41" t="str">
        <f>CONCATENATE(C2,".kap")</f>
        <v>M25566S1.kap</v>
      </c>
      <c r="L15" s="26"/>
      <c r="N15" s="64" t="s">
        <v>69</v>
      </c>
      <c r="O15" s="63"/>
      <c r="P15" s="63"/>
      <c r="Q15" s="63" t="s">
        <v>72</v>
      </c>
      <c r="R15" s="23"/>
    </row>
    <row r="16" spans="1:23" ht="15" thickBot="1" x14ac:dyDescent="0.35">
      <c r="H16" s="24"/>
      <c r="I16" s="25"/>
      <c r="J16" s="25"/>
      <c r="K16" s="25"/>
      <c r="L16" s="26"/>
      <c r="N16" s="53"/>
      <c r="O16" s="54" t="s">
        <v>70</v>
      </c>
      <c r="P16" s="54" t="s">
        <v>71</v>
      </c>
      <c r="Q16" s="60" t="s">
        <v>76</v>
      </c>
      <c r="R16" s="55" t="s">
        <v>75</v>
      </c>
    </row>
    <row r="17" spans="1:19" x14ac:dyDescent="0.3">
      <c r="B17" s="64" t="s">
        <v>32</v>
      </c>
      <c r="C17" s="63"/>
      <c r="D17" s="63"/>
      <c r="E17" s="63"/>
      <c r="F17" s="65"/>
      <c r="H17" s="27" t="str">
        <f ca="1">CONCATENATE("!MARI-caribbean ",TEXT(NOW(),"dd/mm/yy"))</f>
        <v>!MARI-caribbean 26/10/21</v>
      </c>
      <c r="I17" s="28"/>
      <c r="J17" s="28"/>
      <c r="K17" s="28"/>
      <c r="L17" s="26"/>
      <c r="M17" s="60" t="s">
        <v>86</v>
      </c>
      <c r="N17" s="53">
        <f>100/O17</f>
        <v>0.65359477124183007</v>
      </c>
      <c r="O17" s="47">
        <v>153</v>
      </c>
      <c r="P17" s="47">
        <v>1</v>
      </c>
      <c r="Q17" s="46">
        <f>N17*P17</f>
        <v>0.65359477124183007</v>
      </c>
      <c r="R17" s="70">
        <f>100-Q17</f>
        <v>99.346405228758172</v>
      </c>
    </row>
    <row r="18" spans="1:19" ht="15" thickBot="1" x14ac:dyDescent="0.35">
      <c r="A18" s="60" t="s">
        <v>0</v>
      </c>
      <c r="B18" s="53" t="s">
        <v>33</v>
      </c>
      <c r="C18" s="54" t="s">
        <v>34</v>
      </c>
      <c r="E18" s="25"/>
      <c r="F18" s="55" t="s">
        <v>35</v>
      </c>
      <c r="H18" s="29" t="s">
        <v>19</v>
      </c>
      <c r="I18" s="28"/>
      <c r="J18" s="28"/>
      <c r="K18" s="28"/>
      <c r="L18" s="26"/>
      <c r="M18" s="60" t="s">
        <v>85</v>
      </c>
      <c r="N18" s="100">
        <f>100/O18</f>
        <v>0.64935064935064934</v>
      </c>
      <c r="O18" s="85">
        <v>154</v>
      </c>
      <c r="P18" s="85">
        <v>77</v>
      </c>
      <c r="Q18" s="101">
        <f>N18*P18</f>
        <v>50</v>
      </c>
      <c r="R18" s="102">
        <f>100-Q18</f>
        <v>50</v>
      </c>
    </row>
    <row r="19" spans="1:19" ht="15" thickBot="1" x14ac:dyDescent="0.35">
      <c r="A19" s="58">
        <v>1.6667000000000001E-2</v>
      </c>
      <c r="B19" s="43">
        <v>1920</v>
      </c>
      <c r="C19" s="44">
        <v>2400</v>
      </c>
      <c r="D19" s="66"/>
      <c r="E19" s="52"/>
      <c r="F19" s="45">
        <v>300</v>
      </c>
      <c r="H19" s="29" t="s">
        <v>25</v>
      </c>
      <c r="I19" s="28"/>
      <c r="J19" s="28"/>
      <c r="K19" s="28"/>
      <c r="L19" s="26"/>
    </row>
    <row r="20" spans="1:19" x14ac:dyDescent="0.3">
      <c r="A20" s="60" t="s">
        <v>1</v>
      </c>
      <c r="B20" s="60" t="s">
        <v>8</v>
      </c>
      <c r="C20" s="60"/>
      <c r="D20" s="60"/>
      <c r="E20" s="60"/>
      <c r="H20" s="29" t="str">
        <f>CONCATENATE("BSB/NA=",C1," ",C2,",NU=",C2,",RA=",B19,",",C19,",DU=",F19)</f>
        <v>BSB/NA=EAST CARIBBEAN M25566S1,NU=M25566S1,RA=1920,2400,DU=300</v>
      </c>
      <c r="I20" s="28"/>
      <c r="J20" s="28"/>
      <c r="K20" s="28"/>
      <c r="L20" s="26"/>
    </row>
    <row r="21" spans="1:19" x14ac:dyDescent="0.3">
      <c r="A21" s="57">
        <v>2.7799999999999998E-4</v>
      </c>
      <c r="B21" s="2">
        <f>D9*A23</f>
        <v>3333.947721999898</v>
      </c>
      <c r="C21" s="60" t="s">
        <v>7</v>
      </c>
      <c r="D21" s="2">
        <f>B21/C19</f>
        <v>1.3891448841666241</v>
      </c>
      <c r="E21" s="60" t="s">
        <v>3</v>
      </c>
      <c r="H21" s="29" t="str">
        <f>CONCATENATE("KNP/SC=",C3,",GD=",I2,",PR=MERCATOR,PP=",B9)</f>
        <v>KNP/SC=15000,GD=WGS84,PR=MERCATOR,PP=16.099448502</v>
      </c>
      <c r="I21" s="28"/>
      <c r="J21" s="28"/>
      <c r="K21" s="28"/>
      <c r="L21" s="26"/>
    </row>
    <row r="22" spans="1:19" x14ac:dyDescent="0.3">
      <c r="A22" s="60" t="s">
        <v>5</v>
      </c>
      <c r="B22" s="2">
        <f>H9*A23</f>
        <v>3148.5678700004405</v>
      </c>
      <c r="C22" s="60" t="s">
        <v>7</v>
      </c>
      <c r="D22" s="2">
        <f>B22/B19</f>
        <v>1.6398790989585628</v>
      </c>
      <c r="E22" s="60" t="s">
        <v>2</v>
      </c>
      <c r="H22" s="29" t="str">
        <f>CONCATENATE("    PI=UNKNOWN,SP=UNKNOWN,SK=0.0,TA=0.0")</f>
        <v xml:space="preserve">    PI=UNKNOWN,SP=UNKNOWN,SK=0.0,TA=0.0</v>
      </c>
      <c r="I22" s="28"/>
      <c r="J22" s="28"/>
      <c r="K22" s="28"/>
      <c r="L22" s="30"/>
    </row>
    <row r="23" spans="1:19" x14ac:dyDescent="0.3">
      <c r="A23" s="59">
        <v>111139</v>
      </c>
      <c r="H23" s="29" t="str">
        <f>CONCATENATE("    UN=",I1,",SD=MEAN LOWER LOW WATER,DX=",ROUND(D22,8),",DY=",ROUND(D21,8))</f>
        <v xml:space="preserve">    UN=METERS,SD=MEAN LOWER LOW WATER,DX=1.6398791,DY=1.38914488</v>
      </c>
      <c r="I23" s="28"/>
      <c r="J23" s="28"/>
      <c r="K23" s="28"/>
      <c r="L23" s="26"/>
    </row>
    <row r="24" spans="1:19" x14ac:dyDescent="0.3">
      <c r="H24" s="29" t="str">
        <f>CONCATENATE("KNQ/EC=RF,GD=NARC,VC=UNKNOWN,SC=MLLW,PC=MC,P1=UNKNOWN,P2=",B9)</f>
        <v>KNQ/EC=RF,GD=NARC,VC=UNKNOWN,SC=MLLW,PC=MC,P1=UNKNOWN,P2=16.099448502</v>
      </c>
      <c r="I24" s="28"/>
      <c r="J24" s="28"/>
      <c r="K24" s="28"/>
      <c r="L24" s="26"/>
    </row>
    <row r="25" spans="1:19" x14ac:dyDescent="0.3">
      <c r="B25" t="s">
        <v>59</v>
      </c>
      <c r="H25" s="29" t="str">
        <f>CONCATENATE("    P3=NOT_APPLICABLE,P4=NOT_APPLICABLE,GC=MI,RM=POLYNOMIAL")</f>
        <v xml:space="preserve">    P3=NOT_APPLICABLE,P4=NOT_APPLICABLE,GC=MI,RM=POLYNOMIAL</v>
      </c>
      <c r="I25" s="28"/>
      <c r="J25" s="28"/>
      <c r="K25" s="28"/>
      <c r="L25" s="26"/>
    </row>
    <row r="26" spans="1:19" ht="15" thickBot="1" x14ac:dyDescent="0.35">
      <c r="B26" t="s">
        <v>48</v>
      </c>
      <c r="H26" s="29" t="s">
        <v>21</v>
      </c>
      <c r="I26" s="28"/>
      <c r="J26" s="28"/>
      <c r="K26" s="28"/>
      <c r="L26" s="26"/>
    </row>
    <row r="27" spans="1:19" x14ac:dyDescent="0.3">
      <c r="B27" t="s">
        <v>46</v>
      </c>
      <c r="H27" s="29" t="s">
        <v>22</v>
      </c>
      <c r="I27" s="28"/>
      <c r="J27" s="28"/>
      <c r="K27" s="28"/>
      <c r="L27" s="26"/>
      <c r="M27" s="75" t="s">
        <v>26</v>
      </c>
      <c r="N27" s="76"/>
      <c r="O27" s="76"/>
      <c r="P27" s="34"/>
      <c r="Q27" s="35" t="str">
        <f>CONCATENATE(C2,"map.BSB")</f>
        <v>M25566S1map.BSB</v>
      </c>
      <c r="R27" s="36"/>
      <c r="S27" s="37"/>
    </row>
    <row r="28" spans="1:19" x14ac:dyDescent="0.3">
      <c r="B28" t="s">
        <v>44</v>
      </c>
      <c r="H28" s="29" t="s">
        <v>23</v>
      </c>
      <c r="I28" s="28"/>
      <c r="J28" s="28"/>
      <c r="K28" s="28"/>
      <c r="L28" s="26"/>
      <c r="M28" s="24"/>
      <c r="N28" s="25"/>
      <c r="O28" s="25"/>
      <c r="P28" s="25"/>
      <c r="Q28" s="25"/>
      <c r="R28" s="25"/>
      <c r="S28" s="26"/>
    </row>
    <row r="29" spans="1:19" x14ac:dyDescent="0.3">
      <c r="B29" t="s">
        <v>47</v>
      </c>
      <c r="H29" s="29" t="s">
        <v>24</v>
      </c>
      <c r="I29" s="28"/>
      <c r="J29" s="28"/>
      <c r="K29" s="28"/>
      <c r="L29" s="25"/>
      <c r="M29" s="27" t="str">
        <f ca="1">CONCATENATE("CRR/MARI-caribbean ",TEXT(NOW(),"dd/mm/yy hh:mm:ss"))</f>
        <v>CRR/MARI-caribbean 26/10/21 19:53:12</v>
      </c>
      <c r="N29" s="38"/>
      <c r="O29" s="38"/>
      <c r="P29" s="38"/>
      <c r="Q29" s="25"/>
      <c r="R29" s="25"/>
      <c r="S29" s="26"/>
    </row>
    <row r="30" spans="1:19" x14ac:dyDescent="0.3">
      <c r="H30" s="29" t="str">
        <f>CONCATENATE("CHT/NA=",C1)</f>
        <v>CHT/NA=EAST CARIBBEAN</v>
      </c>
      <c r="I30" s="28"/>
      <c r="J30" s="28"/>
      <c r="K30" s="28"/>
      <c r="L30" s="25"/>
      <c r="M30" s="27" t="s">
        <v>19</v>
      </c>
      <c r="N30" s="38"/>
      <c r="O30" s="38"/>
      <c r="P30" s="38"/>
      <c r="Q30" s="25"/>
      <c r="R30" s="25"/>
      <c r="S30" s="26"/>
    </row>
    <row r="31" spans="1:19" x14ac:dyDescent="0.3">
      <c r="B31" t="s">
        <v>87</v>
      </c>
      <c r="H31" s="29" t="str">
        <f>CONCATENATE("REF/1,",B13,",",C13,",",B12,",",F12)</f>
        <v>REF/1,323,1747,16.084449502,-61.574222086</v>
      </c>
      <c r="I31" s="28"/>
      <c r="J31" s="28"/>
      <c r="K31" s="28"/>
      <c r="L31" s="25"/>
      <c r="M31" s="27" t="str">
        <f>CONCATENATE("CHT/NA=",C2,"map,NU=",C2)</f>
        <v>CHT/NA=M25566S1map,NU=M25566S1</v>
      </c>
      <c r="N31" s="38"/>
      <c r="O31" s="38"/>
      <c r="P31" s="38"/>
      <c r="Q31" s="25"/>
      <c r="R31" s="25"/>
      <c r="S31" s="26"/>
    </row>
    <row r="32" spans="1:19" x14ac:dyDescent="0.3">
      <c r="B32" t="s">
        <v>90</v>
      </c>
      <c r="H32" s="29" t="str">
        <f>CONCATENATE("REF/2,",B7,",",C7,",",B6,",",F6)</f>
        <v>REF/2,323,356,16.114447502,-61.574222086</v>
      </c>
      <c r="I32" s="28"/>
      <c r="J32" s="28"/>
      <c r="K32" s="28"/>
      <c r="L32" s="25"/>
      <c r="M32" s="27" t="str">
        <f ca="1">CONCATENATE("CED/SE=01,RE=01,ED=",TEXT(TODAY(),"dd/mm/yy"))</f>
        <v>CED/SE=01,RE=01,ED=26/10/21</v>
      </c>
      <c r="N32" s="38"/>
      <c r="O32" s="38"/>
      <c r="P32" s="38"/>
      <c r="Q32" s="25"/>
      <c r="R32" s="25"/>
      <c r="S32" s="26"/>
    </row>
    <row r="33" spans="2:22" x14ac:dyDescent="0.3">
      <c r="B33" t="s">
        <v>80</v>
      </c>
      <c r="H33" s="29" t="str">
        <f>CONCATENATE("REF/3,",L7,",",M7,",",L6,",",P6)</f>
        <v>REF/3,1593,356,16.114447502,-61.545892086</v>
      </c>
      <c r="I33" s="28"/>
      <c r="J33" s="28"/>
      <c r="K33" s="28"/>
      <c r="L33" s="25"/>
      <c r="M33" s="27" t="str">
        <f>CONCATENATE("K01/NA=",C2,"map,NU=",C2,",TY=BASE,FN=",C2,"map.KAP")</f>
        <v>K01/NA=M25566S1map,NU=M25566S1,TY=BASE,FN=M25566S1map.KAP</v>
      </c>
      <c r="N33" s="38"/>
      <c r="O33" s="38"/>
      <c r="P33" s="38"/>
      <c r="Q33" s="25"/>
      <c r="R33" s="25"/>
      <c r="S33" s="26"/>
    </row>
    <row r="34" spans="2:22" ht="15" thickBot="1" x14ac:dyDescent="0.35">
      <c r="B34" t="s">
        <v>91</v>
      </c>
      <c r="C34" s="88">
        <v>-12.1</v>
      </c>
      <c r="D34" t="s">
        <v>51</v>
      </c>
      <c r="E34" s="108">
        <v>-10.3</v>
      </c>
      <c r="F34" t="s">
        <v>52</v>
      </c>
      <c r="H34" s="29" t="str">
        <f>CONCATENATE("REF/4,",L13,",",M13,",",L12,",",P12)</f>
        <v>REF/4,1593,1747,16.084449502,-61.545892086</v>
      </c>
      <c r="I34" s="28"/>
      <c r="J34" s="28"/>
      <c r="K34" s="28"/>
      <c r="L34" s="25"/>
      <c r="M34" s="31"/>
      <c r="N34" s="39"/>
      <c r="O34" s="32"/>
      <c r="P34" s="32"/>
      <c r="Q34" s="32"/>
      <c r="R34" s="32"/>
      <c r="S34" s="33"/>
    </row>
    <row r="35" spans="2:22" x14ac:dyDescent="0.3">
      <c r="B35" t="s">
        <v>94</v>
      </c>
      <c r="C35">
        <v>-8.4350000000000005</v>
      </c>
      <c r="E35">
        <v>13.137</v>
      </c>
      <c r="H35" s="29" t="str">
        <f>CONCATENATE("PLY/1,",B12,",",F12)</f>
        <v>PLY/1,16.084449502,-61.574222086</v>
      </c>
      <c r="I35" s="28"/>
      <c r="J35" s="28"/>
      <c r="K35" s="28"/>
      <c r="L35" s="26"/>
      <c r="M35" s="75" t="s">
        <v>30</v>
      </c>
      <c r="N35" s="76"/>
      <c r="O35" s="76"/>
      <c r="P35" s="34"/>
      <c r="Q35" s="34"/>
      <c r="R35" s="34"/>
      <c r="S35" s="34"/>
      <c r="T35" s="34"/>
      <c r="U35" s="34"/>
      <c r="V35" s="23"/>
    </row>
    <row r="36" spans="2:22" x14ac:dyDescent="0.3">
      <c r="H36" s="29" t="str">
        <f>CONCATENATE("PLY/2,",B6,",",F6)</f>
        <v>PLY/2,16.114447502,-61.574222086</v>
      </c>
      <c r="I36" s="28"/>
      <c r="J36" s="28"/>
      <c r="K36" s="28"/>
      <c r="L36" s="26"/>
      <c r="M36" s="27" t="str">
        <f>CONCATENATE("imgkap ",C2,".png ",K15," ",C2,"map.kap -p MAP")</f>
        <v>imgkap M25566S1.png M25566S1.kap M25566S1map.kap -p MAP</v>
      </c>
      <c r="N36" s="25"/>
      <c r="O36" s="25"/>
      <c r="P36" s="25"/>
      <c r="Q36" s="25"/>
      <c r="R36" s="25"/>
      <c r="S36" s="25"/>
      <c r="T36" s="25"/>
      <c r="U36" s="25"/>
      <c r="V36" s="26"/>
    </row>
    <row r="37" spans="2:22" x14ac:dyDescent="0.3">
      <c r="H37" s="29" t="str">
        <f>CONCATENATE("PLY/3,",L6,",",P6)</f>
        <v>PLY/3,16.114447502,-61.545892086</v>
      </c>
      <c r="I37" s="28"/>
      <c r="J37" s="28"/>
      <c r="K37" s="28"/>
      <c r="L37" s="26"/>
      <c r="M37" s="24"/>
      <c r="N37" s="25"/>
      <c r="O37" s="25"/>
      <c r="P37" s="25"/>
      <c r="Q37" s="25"/>
      <c r="R37" s="25"/>
      <c r="S37" s="25"/>
      <c r="T37" s="25"/>
      <c r="U37" s="25"/>
      <c r="V37" s="26"/>
    </row>
    <row r="38" spans="2:22" x14ac:dyDescent="0.3">
      <c r="H38" s="29" t="str">
        <f>CONCATENATE("PLY/4,",L12,",",P12)</f>
        <v>PLY/4,16.084449502,-61.545892086</v>
      </c>
      <c r="I38" s="28"/>
      <c r="J38" s="28"/>
      <c r="K38" s="28"/>
      <c r="L38" s="26"/>
      <c r="M38" s="73" t="s">
        <v>31</v>
      </c>
      <c r="N38" s="74"/>
      <c r="O38" s="25"/>
      <c r="P38" s="25"/>
      <c r="Q38" s="25"/>
      <c r="R38" s="25"/>
      <c r="S38" s="25"/>
      <c r="T38" s="25"/>
      <c r="U38" s="25"/>
      <c r="V38" s="26"/>
    </row>
    <row r="39" spans="2:22" ht="15" thickBot="1" x14ac:dyDescent="0.35">
      <c r="H39" s="82" t="s">
        <v>15</v>
      </c>
      <c r="I39" s="83"/>
      <c r="J39" s="83"/>
      <c r="K39" s="83"/>
      <c r="L39" s="84"/>
      <c r="M39" s="42" t="str">
        <f>CONCATENATE("imgkap ",C2,".png ",K15," ",C2,"map.kap")</f>
        <v>imgkap M25566S1.png M25566S1.kap M25566S1map.kap</v>
      </c>
      <c r="N39" s="25"/>
      <c r="O39" s="25"/>
      <c r="P39" s="25"/>
      <c r="Q39" s="25"/>
      <c r="R39" s="25"/>
      <c r="S39" s="25"/>
      <c r="T39" s="25"/>
      <c r="U39" s="25"/>
      <c r="V39" s="26"/>
    </row>
    <row r="40" spans="2:22" ht="15" thickBot="1" x14ac:dyDescent="0.35">
      <c r="H40" s="86" t="str">
        <f>CONCATENATE("!MOD:",B14,".",C14,"'",D14,"''",E14," ",F14,".",G14,"'",H14,"''",I14)</f>
        <v>!MOD:0.0'-7.991''N 0.0'15.137''W</v>
      </c>
      <c r="I40" s="25"/>
      <c r="J40" s="25"/>
      <c r="K40" s="25"/>
      <c r="L40" s="26"/>
      <c r="M40" s="32"/>
      <c r="N40" s="32"/>
      <c r="O40" s="32"/>
      <c r="P40" s="32"/>
      <c r="Q40" s="32"/>
      <c r="R40" s="32"/>
      <c r="S40" s="32"/>
      <c r="T40" s="32"/>
      <c r="U40" s="32"/>
      <c r="V40" s="33"/>
    </row>
    <row r="41" spans="2:22" x14ac:dyDescent="0.3">
      <c r="H41" s="107" t="str">
        <f>CONCATENATE("!BL ",B11,"'",C11,"'",D11,"'",C10,"'",E11,"'",F11,"'",G11,"'",H11,"'",G10,"'",I11,"/",B13,"-",C13)</f>
        <v>!BL 16'5'20'DEC'N'61'34'20'DEC'W/323-1747</v>
      </c>
    </row>
    <row r="42" spans="2:22" x14ac:dyDescent="0.3">
      <c r="H42" s="107" t="str">
        <f>CONCATENATE("!TR ",L5,"'",M5,"'",N5,"'",O4,"'",O5,"'",P5,"'",Q5,"'",R5,"'",Q4,"'",S5,"/",L7,"-",M7)</f>
        <v>!TR 16'7'0'DEC'N'61'32'50'DEC'W/1593-356</v>
      </c>
      <c r="M42" s="1" t="str">
        <f>K15</f>
        <v>M25566S1.kap</v>
      </c>
    </row>
    <row r="43" spans="2:22" x14ac:dyDescent="0.3">
      <c r="H43" s="81" t="str">
        <f>CONCATENATE("!EXTRACT FOR BSB FILE:  (REMOVE !)")</f>
        <v>!EXTRACT FOR BSB FILE:  (REMOVE !)</v>
      </c>
      <c r="I43" s="25"/>
      <c r="J43" s="25"/>
      <c r="K43" s="25"/>
      <c r="L43" s="26"/>
    </row>
    <row r="44" spans="2:22" x14ac:dyDescent="0.3">
      <c r="H44" s="81" t="str">
        <f>CONCATENATE("!",Q27)</f>
        <v>!M25566S1map.BSB</v>
      </c>
      <c r="I44" s="25"/>
      <c r="J44" s="25"/>
      <c r="K44" s="25"/>
      <c r="L44" s="26"/>
    </row>
    <row r="45" spans="2:22" x14ac:dyDescent="0.3">
      <c r="H45" s="81" t="str">
        <f ca="1">CONCATENATE("!",M29)</f>
        <v>!CRR/MARI-caribbean 26/10/21 19:53:12</v>
      </c>
      <c r="I45" s="25"/>
      <c r="J45" s="25"/>
      <c r="K45" s="25"/>
      <c r="L45" s="26"/>
    </row>
    <row r="46" spans="2:22" x14ac:dyDescent="0.3">
      <c r="H46" s="81" t="str">
        <f>CONCATENATE("!",M30)</f>
        <v>!VER/3.0</v>
      </c>
      <c r="I46" s="25"/>
      <c r="J46" s="25"/>
      <c r="K46" s="25"/>
      <c r="L46" s="26"/>
    </row>
    <row r="47" spans="2:22" x14ac:dyDescent="0.3">
      <c r="H47" s="81" t="str">
        <f>CONCATENATE("!",M31)</f>
        <v>!CHT/NA=M25566S1map,NU=M25566S1</v>
      </c>
      <c r="I47" s="25"/>
      <c r="J47" s="25"/>
      <c r="K47" s="25"/>
      <c r="L47" s="26"/>
    </row>
    <row r="48" spans="2:22" x14ac:dyDescent="0.3">
      <c r="H48" s="81" t="str">
        <f ca="1">CONCATENATE("!",M32)</f>
        <v>!CED/SE=01,RE=01,ED=26/10/21</v>
      </c>
      <c r="L48" s="26"/>
    </row>
    <row r="49" spans="6:12" ht="15" thickBot="1" x14ac:dyDescent="0.35">
      <c r="H49" s="67" t="str">
        <f>CONCATENATE("!",M33)</f>
        <v>!K01/NA=M25566S1map,NU=M25566S1,TY=BASE,FN=M25566S1map.KAP</v>
      </c>
      <c r="I49" s="32"/>
      <c r="J49" s="32"/>
      <c r="K49" s="32"/>
      <c r="L49" s="33"/>
    </row>
    <row r="56" spans="6:12" x14ac:dyDescent="0.3">
      <c r="F56" t="s">
        <v>60</v>
      </c>
    </row>
    <row r="57" spans="6:12" x14ac:dyDescent="0.3">
      <c r="F57" t="s">
        <v>61</v>
      </c>
    </row>
    <row r="58" spans="6:12" x14ac:dyDescent="0.3">
      <c r="F58" t="s">
        <v>62</v>
      </c>
    </row>
    <row r="59" spans="6:12" x14ac:dyDescent="0.3">
      <c r="F59" t="s">
        <v>63</v>
      </c>
    </row>
    <row r="60" spans="6:12" x14ac:dyDescent="0.3">
      <c r="F60" t="s">
        <v>64</v>
      </c>
    </row>
    <row r="61" spans="6:12" x14ac:dyDescent="0.3">
      <c r="F61" t="s">
        <v>65</v>
      </c>
    </row>
    <row r="62" spans="6:12" x14ac:dyDescent="0.3">
      <c r="F62" t="s">
        <v>66</v>
      </c>
    </row>
    <row r="63" spans="6:12" x14ac:dyDescent="0.3">
      <c r="F63" t="s">
        <v>67</v>
      </c>
    </row>
  </sheetData>
  <mergeCells count="17">
    <mergeCell ref="L6:N6"/>
    <mergeCell ref="P6:R6"/>
    <mergeCell ref="L12:N12"/>
    <mergeCell ref="P12:R12"/>
    <mergeCell ref="I1:J1"/>
    <mergeCell ref="D9:E9"/>
    <mergeCell ref="H9:I9"/>
    <mergeCell ref="B12:D12"/>
    <mergeCell ref="B6:D6"/>
    <mergeCell ref="F6:H6"/>
    <mergeCell ref="F12:H12"/>
    <mergeCell ref="A1:B1"/>
    <mergeCell ref="A3:B3"/>
    <mergeCell ref="C3:G3"/>
    <mergeCell ref="C2:G2"/>
    <mergeCell ref="C1:G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3309-8AD8-4BC4-9E13-9A43EE9FCF2D}">
  <dimension ref="A1:V47"/>
  <sheetViews>
    <sheetView zoomScale="70" zoomScaleNormal="70" workbookViewId="0">
      <selection activeCell="Q48" sqref="Q48"/>
    </sheetView>
  </sheetViews>
  <sheetFormatPr defaultRowHeight="14.4" x14ac:dyDescent="0.3"/>
  <cols>
    <col min="1" max="1" width="11.6640625" customWidth="1"/>
    <col min="2" max="2" width="9.88671875" customWidth="1"/>
    <col min="3" max="3" width="5.6640625" customWidth="1"/>
    <col min="4" max="4" width="5.88671875" customWidth="1"/>
    <col min="5" max="9" width="5.6640625" customWidth="1"/>
    <col min="12" max="20" width="5.6640625" customWidth="1"/>
  </cols>
  <sheetData>
    <row r="1" spans="1:19" x14ac:dyDescent="0.3">
      <c r="A1" s="125" t="s">
        <v>16</v>
      </c>
      <c r="B1" s="126"/>
      <c r="C1" s="118" t="s">
        <v>29</v>
      </c>
      <c r="D1" s="118"/>
      <c r="E1" s="118"/>
      <c r="F1" s="118"/>
      <c r="G1" s="119"/>
      <c r="H1" s="80" t="s">
        <v>57</v>
      </c>
      <c r="I1" s="124" t="s">
        <v>58</v>
      </c>
      <c r="J1" s="124"/>
      <c r="L1" s="13" t="s">
        <v>53</v>
      </c>
      <c r="M1" s="72" t="s">
        <v>56</v>
      </c>
    </row>
    <row r="2" spans="1:19" x14ac:dyDescent="0.3">
      <c r="A2" s="127" t="s">
        <v>18</v>
      </c>
      <c r="B2" s="128"/>
      <c r="C2" s="116" t="s">
        <v>49</v>
      </c>
      <c r="D2" s="116"/>
      <c r="E2" s="116"/>
      <c r="F2" s="116"/>
      <c r="G2" s="117"/>
      <c r="L2" s="2" t="s">
        <v>54</v>
      </c>
      <c r="M2" s="2"/>
      <c r="N2" s="2"/>
    </row>
    <row r="3" spans="1:19" ht="15" thickBot="1" x14ac:dyDescent="0.35">
      <c r="A3" s="129" t="s">
        <v>20</v>
      </c>
      <c r="B3" s="130"/>
      <c r="C3" s="114">
        <v>25000</v>
      </c>
      <c r="D3" s="114"/>
      <c r="E3" s="114"/>
      <c r="F3" s="114"/>
      <c r="G3" s="115"/>
      <c r="L3" s="60" t="s">
        <v>55</v>
      </c>
      <c r="M3" s="60"/>
      <c r="Q3" s="80" t="s">
        <v>42</v>
      </c>
      <c r="R3" s="80"/>
      <c r="S3" s="80"/>
    </row>
    <row r="4" spans="1:19" x14ac:dyDescent="0.3">
      <c r="A4" s="40"/>
      <c r="B4" s="25"/>
      <c r="C4" s="25"/>
      <c r="D4" s="46">
        <f>D5*0.6</f>
        <v>0</v>
      </c>
      <c r="E4" s="25"/>
      <c r="F4" s="25"/>
      <c r="G4" s="25"/>
      <c r="H4" s="22">
        <f>H5*0.6</f>
        <v>0</v>
      </c>
      <c r="I4" s="34"/>
      <c r="J4" s="34"/>
      <c r="K4" s="34"/>
      <c r="L4" s="63" t="s">
        <v>39</v>
      </c>
      <c r="M4" s="63"/>
      <c r="N4" s="22">
        <f>N5*0.6</f>
        <v>0</v>
      </c>
      <c r="O4" s="34"/>
      <c r="P4" s="34"/>
      <c r="Q4" s="34"/>
      <c r="R4" s="22">
        <f>R5*0.6</f>
        <v>30</v>
      </c>
      <c r="S4" s="23"/>
    </row>
    <row r="5" spans="1:19" x14ac:dyDescent="0.3">
      <c r="A5" s="24"/>
      <c r="B5" s="47">
        <v>51</v>
      </c>
      <c r="C5" s="47">
        <v>19</v>
      </c>
      <c r="D5" s="47">
        <v>0</v>
      </c>
      <c r="E5" s="13" t="s">
        <v>51</v>
      </c>
      <c r="F5" s="47">
        <v>4</v>
      </c>
      <c r="G5" s="47">
        <v>10</v>
      </c>
      <c r="H5" s="47">
        <v>0</v>
      </c>
      <c r="I5" s="13" t="s">
        <v>50</v>
      </c>
      <c r="J5" s="25"/>
      <c r="K5" s="25"/>
      <c r="L5" s="46">
        <f>B5</f>
        <v>51</v>
      </c>
      <c r="M5" s="46">
        <f t="shared" ref="M5:N5" si="0">C5</f>
        <v>19</v>
      </c>
      <c r="N5" s="46">
        <f t="shared" si="0"/>
        <v>0</v>
      </c>
      <c r="O5" s="2" t="str">
        <f>E5</f>
        <v>N</v>
      </c>
      <c r="P5" s="46">
        <f>P11</f>
        <v>4</v>
      </c>
      <c r="Q5" s="46">
        <f t="shared" ref="Q5:R5" si="1">Q11</f>
        <v>17</v>
      </c>
      <c r="R5" s="46">
        <f t="shared" si="1"/>
        <v>50</v>
      </c>
      <c r="S5" s="70" t="str">
        <f>S11</f>
        <v>E</v>
      </c>
    </row>
    <row r="6" spans="1:19" x14ac:dyDescent="0.3">
      <c r="A6" s="24"/>
      <c r="B6" s="122">
        <f>L6</f>
        <v>51.316673000000002</v>
      </c>
      <c r="C6" s="123"/>
      <c r="D6" s="123"/>
      <c r="E6" s="54" t="s">
        <v>37</v>
      </c>
      <c r="F6" s="122">
        <f>IF(I5="W",(F11+(G11*$A$19)+((H11/100*60)*$A$21))*-1,F11+(G11*$A$19)+((H11/100*60)*$A$21))</f>
        <v>4.1666699999999999</v>
      </c>
      <c r="G6" s="123"/>
      <c r="H6" s="123"/>
      <c r="I6" s="54" t="s">
        <v>38</v>
      </c>
      <c r="J6" s="25"/>
      <c r="K6" s="25"/>
      <c r="L6" s="122">
        <f>IF(O5="S",(L5+(M5*$A$19)+(((N5+D14)/100*60)*$A$21))*-1,L5+(M5*$A$19)+(((N5+D14)/100*60)*$A$21))</f>
        <v>51.316673000000002</v>
      </c>
      <c r="M6" s="122"/>
      <c r="N6" s="122"/>
      <c r="O6" s="54" t="s">
        <v>37</v>
      </c>
      <c r="P6" s="122">
        <f>IF(S5="W",(P5+(Q5*$A$19)+((R5/100*60)*$A$21))*-1,P5+(Q5*$A$19)+((R5/100*60)*$A$21))</f>
        <v>4.2916789999999994</v>
      </c>
      <c r="Q6" s="122"/>
      <c r="R6" s="122"/>
      <c r="S6" s="55" t="s">
        <v>38</v>
      </c>
    </row>
    <row r="7" spans="1:19" x14ac:dyDescent="0.3">
      <c r="A7" s="24"/>
      <c r="B7" s="71">
        <v>396</v>
      </c>
      <c r="C7" s="47">
        <v>298</v>
      </c>
      <c r="D7" s="62" t="s">
        <v>36</v>
      </c>
      <c r="E7" s="25"/>
      <c r="F7" s="25"/>
      <c r="G7" s="25"/>
      <c r="H7" s="25"/>
      <c r="I7" s="25"/>
      <c r="J7" s="25"/>
      <c r="K7" s="25"/>
      <c r="L7" s="68">
        <f>L13</f>
        <v>1763</v>
      </c>
      <c r="M7" s="46">
        <f>C7</f>
        <v>298</v>
      </c>
      <c r="O7" s="25"/>
      <c r="P7" s="25"/>
      <c r="Q7" s="25"/>
      <c r="R7" s="25"/>
      <c r="S7" s="26"/>
    </row>
    <row r="8" spans="1:19" x14ac:dyDescent="0.3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6"/>
    </row>
    <row r="9" spans="1:19" x14ac:dyDescent="0.3">
      <c r="A9" s="53" t="s">
        <v>6</v>
      </c>
      <c r="B9" s="46">
        <f>(B12+B6)/2</f>
        <v>51.283338999999998</v>
      </c>
      <c r="C9" s="54" t="s">
        <v>40</v>
      </c>
      <c r="D9" s="122">
        <f>B6-B12</f>
        <v>6.666799999999995E-2</v>
      </c>
      <c r="E9" s="122"/>
      <c r="F9" s="25"/>
      <c r="G9" s="54" t="s">
        <v>41</v>
      </c>
      <c r="H9" s="122">
        <f>P6-F6</f>
        <v>0.12500899999999948</v>
      </c>
      <c r="I9" s="122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1:19" x14ac:dyDescent="0.3">
      <c r="A10" s="24"/>
      <c r="B10" s="25"/>
      <c r="C10" s="25"/>
      <c r="D10" s="46">
        <f>D11*0.6</f>
        <v>0</v>
      </c>
      <c r="E10" s="25"/>
      <c r="F10" s="25"/>
      <c r="G10" s="25"/>
      <c r="H10" s="46">
        <f>H11*0.6</f>
        <v>0</v>
      </c>
      <c r="I10" s="25"/>
      <c r="J10" s="25"/>
      <c r="K10" s="25"/>
      <c r="L10" s="25"/>
      <c r="M10" s="25"/>
      <c r="N10" s="46">
        <f>N11*0.6</f>
        <v>0</v>
      </c>
      <c r="O10" s="25"/>
      <c r="P10" s="25"/>
      <c r="Q10" s="25"/>
      <c r="R10" s="46">
        <f>R11*0.6</f>
        <v>30</v>
      </c>
      <c r="S10" s="26"/>
    </row>
    <row r="11" spans="1:19" x14ac:dyDescent="0.3">
      <c r="A11" s="24"/>
      <c r="B11" s="46">
        <f>L11</f>
        <v>51</v>
      </c>
      <c r="C11" s="46">
        <f t="shared" ref="C11:D11" si="2">M11</f>
        <v>15</v>
      </c>
      <c r="D11" s="46">
        <f t="shared" si="2"/>
        <v>0</v>
      </c>
      <c r="E11" s="2" t="str">
        <f>O11</f>
        <v>N</v>
      </c>
      <c r="F11" s="46">
        <f>F5</f>
        <v>4</v>
      </c>
      <c r="G11" s="46">
        <f t="shared" ref="G11:H11" si="3">G5</f>
        <v>10</v>
      </c>
      <c r="H11" s="46">
        <f t="shared" si="3"/>
        <v>0</v>
      </c>
      <c r="I11" s="46" t="str">
        <f>I5</f>
        <v>E</v>
      </c>
      <c r="J11" s="25"/>
      <c r="K11" s="25"/>
      <c r="L11" s="47">
        <v>51</v>
      </c>
      <c r="M11" s="47">
        <v>15</v>
      </c>
      <c r="N11" s="47">
        <v>0</v>
      </c>
      <c r="O11" s="47" t="s">
        <v>51</v>
      </c>
      <c r="P11" s="47">
        <v>4</v>
      </c>
      <c r="Q11" s="47">
        <v>17</v>
      </c>
      <c r="R11" s="47">
        <v>50</v>
      </c>
      <c r="S11" s="69" t="s">
        <v>50</v>
      </c>
    </row>
    <row r="12" spans="1:19" x14ac:dyDescent="0.3">
      <c r="A12" s="24"/>
      <c r="B12" s="122">
        <f>IF(E11="S",(B11+(C11*$A$19)+(((D11+D14)/100*60)*$A$21))*-1,B11+(C11*$A$19)+(((D11+D14)/100*60)*$A$21))</f>
        <v>51.250005000000002</v>
      </c>
      <c r="C12" s="122"/>
      <c r="D12" s="122"/>
      <c r="E12" s="54" t="s">
        <v>37</v>
      </c>
      <c r="F12" s="122">
        <f>IF(I11="W",(F11+(G11*$A$19)+(((H11+H14)/100*60)*$A$21))*-1,F11+(G11*$A$19)+(((H11+H14)/100*60)*$A$21))</f>
        <v>4.1666699999999999</v>
      </c>
      <c r="G12" s="122"/>
      <c r="H12" s="122"/>
      <c r="I12" s="54" t="s">
        <v>38</v>
      </c>
      <c r="J12" s="25"/>
      <c r="K12" s="25"/>
      <c r="L12" s="122">
        <f>B12</f>
        <v>51.250005000000002</v>
      </c>
      <c r="M12" s="123"/>
      <c r="N12" s="123"/>
      <c r="O12" s="54" t="s">
        <v>37</v>
      </c>
      <c r="P12" s="122">
        <f>P6</f>
        <v>4.2916789999999994</v>
      </c>
      <c r="Q12" s="123"/>
      <c r="R12" s="123"/>
      <c r="S12" s="55" t="s">
        <v>38</v>
      </c>
    </row>
    <row r="13" spans="1:19" x14ac:dyDescent="0.3">
      <c r="A13" s="24"/>
      <c r="B13" s="56">
        <f>B7</f>
        <v>396</v>
      </c>
      <c r="C13" s="56">
        <f>M13</f>
        <v>1463</v>
      </c>
      <c r="E13" s="25"/>
      <c r="F13" s="49"/>
      <c r="G13" s="49"/>
      <c r="H13" s="49"/>
      <c r="I13" s="25"/>
      <c r="J13" s="25"/>
      <c r="K13" s="25"/>
      <c r="L13" s="48">
        <v>1763</v>
      </c>
      <c r="M13" s="48">
        <v>1463</v>
      </c>
      <c r="N13" s="54" t="s">
        <v>36</v>
      </c>
      <c r="O13" s="25"/>
      <c r="P13" s="49"/>
      <c r="Q13" s="51"/>
      <c r="R13" s="51"/>
      <c r="S13" s="26"/>
    </row>
    <row r="14" spans="1:19" ht="15" thickBot="1" x14ac:dyDescent="0.35">
      <c r="A14" s="31"/>
      <c r="B14" s="85">
        <v>0</v>
      </c>
      <c r="C14" s="85">
        <v>0</v>
      </c>
      <c r="D14" s="85">
        <v>0</v>
      </c>
      <c r="E14" s="85" t="s">
        <v>51</v>
      </c>
      <c r="F14" s="85">
        <v>0</v>
      </c>
      <c r="G14" s="85">
        <v>0</v>
      </c>
      <c r="H14" s="85">
        <v>0</v>
      </c>
      <c r="I14" s="85" t="s">
        <v>52</v>
      </c>
      <c r="J14" s="32"/>
      <c r="K14" s="32"/>
      <c r="L14" s="32"/>
      <c r="M14" s="32"/>
      <c r="N14" s="32"/>
      <c r="O14" s="32"/>
      <c r="P14" s="32"/>
      <c r="Q14" s="32"/>
      <c r="R14" s="32"/>
      <c r="S14" s="33"/>
    </row>
    <row r="15" spans="1:19" x14ac:dyDescent="0.3">
      <c r="B15" s="80" t="s">
        <v>43</v>
      </c>
      <c r="C15" s="80"/>
      <c r="D15" s="80"/>
      <c r="H15" s="77" t="s">
        <v>27</v>
      </c>
      <c r="I15" s="74"/>
      <c r="J15" s="74"/>
      <c r="K15" s="41" t="str">
        <f>CONCATENATE(C2,".kap")</f>
        <v>MA0139S2.kap</v>
      </c>
      <c r="L15" s="26"/>
    </row>
    <row r="16" spans="1:19" ht="15" thickBot="1" x14ac:dyDescent="0.35">
      <c r="H16" s="24"/>
      <c r="I16" s="25"/>
      <c r="J16" s="25"/>
      <c r="K16" s="25"/>
      <c r="L16" s="26"/>
    </row>
    <row r="17" spans="1:19" x14ac:dyDescent="0.3">
      <c r="B17" s="64" t="s">
        <v>32</v>
      </c>
      <c r="C17" s="63"/>
      <c r="D17" s="63"/>
      <c r="E17" s="63"/>
      <c r="F17" s="65"/>
      <c r="H17" s="27" t="str">
        <f ca="1">CONCATENATE("!MARI-caribbean ",TEXT(NOW(),"dd/mm/yy"))</f>
        <v>!MARI-caribbean 26/10/21</v>
      </c>
      <c r="I17" s="28"/>
      <c r="J17" s="28"/>
      <c r="K17" s="28"/>
      <c r="L17" s="26"/>
    </row>
    <row r="18" spans="1:19" x14ac:dyDescent="0.3">
      <c r="A18" s="60" t="s">
        <v>0</v>
      </c>
      <c r="B18" s="53" t="s">
        <v>33</v>
      </c>
      <c r="C18" s="54" t="s">
        <v>34</v>
      </c>
      <c r="E18" s="25"/>
      <c r="F18" s="55" t="s">
        <v>35</v>
      </c>
      <c r="H18" s="29" t="s">
        <v>19</v>
      </c>
      <c r="I18" s="28"/>
      <c r="J18" s="28"/>
      <c r="K18" s="28"/>
      <c r="L18" s="26"/>
    </row>
    <row r="19" spans="1:19" ht="15" thickBot="1" x14ac:dyDescent="0.35">
      <c r="A19" s="58">
        <v>1.6667000000000001E-2</v>
      </c>
      <c r="B19" s="43">
        <v>2560</v>
      </c>
      <c r="C19" s="52">
        <v>1920</v>
      </c>
      <c r="D19" s="66"/>
      <c r="E19" s="52"/>
      <c r="F19" s="45">
        <v>300</v>
      </c>
      <c r="H19" s="29" t="s">
        <v>25</v>
      </c>
      <c r="I19" s="28"/>
      <c r="J19" s="28"/>
      <c r="K19" s="28"/>
      <c r="L19" s="26"/>
    </row>
    <row r="20" spans="1:19" x14ac:dyDescent="0.3">
      <c r="A20" s="60" t="s">
        <v>1</v>
      </c>
      <c r="B20" s="60" t="s">
        <v>8</v>
      </c>
      <c r="C20" s="60"/>
      <c r="D20" s="60"/>
      <c r="E20" s="60"/>
      <c r="H20" s="29" t="str">
        <f>CONCATENATE("BSB/NA=",C1," ",C2,",NU=",C2,",RA=",B19,",",C19,",DU=",F19)</f>
        <v>BSB/NA=B and NL MA0139S2,NU=MA0139S2,RA=2560,1920,DU=300</v>
      </c>
      <c r="I20" s="28"/>
      <c r="J20" s="28"/>
      <c r="K20" s="28"/>
      <c r="L20" s="26"/>
    </row>
    <row r="21" spans="1:19" x14ac:dyDescent="0.3">
      <c r="A21" s="57">
        <v>2.7799999999999998E-4</v>
      </c>
      <c r="B21" s="2">
        <f>D9*A23</f>
        <v>7409.4148519999944</v>
      </c>
      <c r="C21" s="60" t="s">
        <v>7</v>
      </c>
      <c r="D21" s="2">
        <f>B21/C19</f>
        <v>3.8590702354166639</v>
      </c>
      <c r="E21" s="60" t="s">
        <v>3</v>
      </c>
      <c r="H21" s="29" t="str">
        <f>CONCATENATE("KNP/SC=",C3,",GD=WGS84,PR=MERCATOR,PP=",B9)</f>
        <v>KNP/SC=25000,GD=WGS84,PR=MERCATOR,PP=51.283339</v>
      </c>
      <c r="I21" s="28"/>
      <c r="J21" s="28"/>
      <c r="K21" s="28"/>
      <c r="L21" s="26"/>
    </row>
    <row r="22" spans="1:19" x14ac:dyDescent="0.3">
      <c r="A22" s="60" t="s">
        <v>5</v>
      </c>
      <c r="B22" s="2">
        <f>H9*A23</f>
        <v>13893.375250999943</v>
      </c>
      <c r="C22" s="60" t="s">
        <v>7</v>
      </c>
      <c r="D22" s="2">
        <f>B22/B19</f>
        <v>5.4270997074218528</v>
      </c>
      <c r="E22" s="60" t="s">
        <v>2</v>
      </c>
      <c r="H22" s="29" t="str">
        <f>CONCATENATE("    PI=UNKNOWN,SP=UNKNOWN,SK=0.0,TA=0.0")</f>
        <v xml:space="preserve">    PI=UNKNOWN,SP=UNKNOWN,SK=0.0,TA=0.0</v>
      </c>
      <c r="I22" s="28"/>
      <c r="J22" s="28"/>
      <c r="K22" s="28"/>
      <c r="L22" s="30"/>
    </row>
    <row r="23" spans="1:19" x14ac:dyDescent="0.3">
      <c r="A23" s="59">
        <v>111139</v>
      </c>
      <c r="H23" s="29" t="str">
        <f>CONCATENATE("    UN=",I1,",SD=MEAN LOWER LOW WATER,DX=",ROUND(D22,8),",DY=",ROUND(D21,8))</f>
        <v xml:space="preserve">    UN=METERS,SD=MEAN LOWER LOW WATER,DX=5.42709971,DY=3.85907024</v>
      </c>
      <c r="I23" s="28"/>
      <c r="J23" s="28"/>
      <c r="K23" s="28"/>
      <c r="L23" s="26"/>
    </row>
    <row r="24" spans="1:19" x14ac:dyDescent="0.3">
      <c r="H24" s="29" t="str">
        <f>CONCATENATE("KNQ/EC=RF,GD=NARC,VC=UNKNOWN,SC=MLLW,PC=MC,P1=UNKNOWN,P2=",B9)</f>
        <v>KNQ/EC=RF,GD=NARC,VC=UNKNOWN,SC=MLLW,PC=MC,P1=UNKNOWN,P2=51.283339</v>
      </c>
      <c r="I24" s="28"/>
      <c r="J24" s="28"/>
      <c r="K24" s="28"/>
      <c r="L24" s="26"/>
    </row>
    <row r="25" spans="1:19" x14ac:dyDescent="0.3">
      <c r="B25" t="s">
        <v>45</v>
      </c>
      <c r="H25" s="29" t="str">
        <f>CONCATENATE("    P3=NOT_APPLICABLE,P4=NOT_APPLICABLE,GC=MI,RM=POLYNOMIAL")</f>
        <v xml:space="preserve">    P3=NOT_APPLICABLE,P4=NOT_APPLICABLE,GC=MI,RM=POLYNOMIAL</v>
      </c>
      <c r="I25" s="28"/>
      <c r="J25" s="28"/>
      <c r="K25" s="28"/>
      <c r="L25" s="26"/>
    </row>
    <row r="26" spans="1:19" ht="15" thickBot="1" x14ac:dyDescent="0.35">
      <c r="B26" t="s">
        <v>48</v>
      </c>
      <c r="H26" s="29" t="s">
        <v>21</v>
      </c>
      <c r="I26" s="28"/>
      <c r="J26" s="28"/>
      <c r="K26" s="28"/>
      <c r="L26" s="26"/>
    </row>
    <row r="27" spans="1:19" x14ac:dyDescent="0.3">
      <c r="B27" t="s">
        <v>46</v>
      </c>
      <c r="H27" s="29" t="s">
        <v>22</v>
      </c>
      <c r="I27" s="28"/>
      <c r="J27" s="28"/>
      <c r="K27" s="28"/>
      <c r="L27" s="26"/>
      <c r="M27" s="75" t="s">
        <v>26</v>
      </c>
      <c r="N27" s="78"/>
      <c r="O27" s="78"/>
      <c r="P27" s="34"/>
      <c r="Q27" s="35" t="str">
        <f>CONCATENATE(C2,"map.BSB")</f>
        <v>MA0139S2map.BSB</v>
      </c>
      <c r="R27" s="36"/>
      <c r="S27" s="37"/>
    </row>
    <row r="28" spans="1:19" x14ac:dyDescent="0.3">
      <c r="B28" t="s">
        <v>44</v>
      </c>
      <c r="H28" s="29" t="s">
        <v>23</v>
      </c>
      <c r="I28" s="28"/>
      <c r="J28" s="28"/>
      <c r="K28" s="28"/>
      <c r="L28" s="26"/>
      <c r="M28" s="24"/>
      <c r="N28" s="25"/>
      <c r="O28" s="25"/>
      <c r="P28" s="25"/>
      <c r="Q28" s="25"/>
      <c r="R28" s="25"/>
      <c r="S28" s="26"/>
    </row>
    <row r="29" spans="1:19" x14ac:dyDescent="0.3">
      <c r="B29" t="s">
        <v>47</v>
      </c>
      <c r="H29" s="29" t="s">
        <v>24</v>
      </c>
      <c r="I29" s="28"/>
      <c r="J29" s="28"/>
      <c r="K29" s="28"/>
      <c r="L29" s="25"/>
      <c r="M29" s="27" t="str">
        <f ca="1">CONCATENATE("CRR/MARI-caribbean ",TEXT(NOW(),"dd/mm/yy hh:mm:ss"))</f>
        <v>CRR/MARI-caribbean 26/10/21 19:53:12</v>
      </c>
      <c r="N29" s="38"/>
      <c r="O29" s="38"/>
      <c r="P29" s="38"/>
      <c r="Q29" s="25"/>
      <c r="R29" s="25"/>
      <c r="S29" s="26"/>
    </row>
    <row r="30" spans="1:19" x14ac:dyDescent="0.3">
      <c r="H30" s="29" t="str">
        <f>CONCATENATE("CHT/NA=",C1)</f>
        <v>CHT/NA=B and NL</v>
      </c>
      <c r="I30" s="28"/>
      <c r="J30" s="28"/>
      <c r="K30" s="28"/>
      <c r="L30" s="25"/>
      <c r="M30" s="27" t="s">
        <v>19</v>
      </c>
      <c r="N30" s="38"/>
      <c r="O30" s="38"/>
      <c r="P30" s="38"/>
      <c r="Q30" s="25"/>
      <c r="R30" s="25"/>
      <c r="S30" s="26"/>
    </row>
    <row r="31" spans="1:19" x14ac:dyDescent="0.3">
      <c r="H31" s="29" t="str">
        <f>CONCATENATE("REF/1,",B7,",",C7,",",B6,",",F6)</f>
        <v>REF/1,396,298,51.316673,4.16667</v>
      </c>
      <c r="I31" s="28"/>
      <c r="J31" s="28"/>
      <c r="K31" s="28"/>
      <c r="L31" s="25"/>
      <c r="M31" s="27" t="str">
        <f>CONCATENATE("CHT/NA=",C2,"map,NU=",C2)</f>
        <v>CHT/NA=MA0139S2map,NU=MA0139S2</v>
      </c>
      <c r="N31" s="38"/>
      <c r="O31" s="38"/>
      <c r="P31" s="38"/>
      <c r="Q31" s="25"/>
      <c r="R31" s="25"/>
      <c r="S31" s="26"/>
    </row>
    <row r="32" spans="1:19" x14ac:dyDescent="0.3">
      <c r="H32" s="29" t="str">
        <f>CONCATENATE("REF/2,",B13,",",C13,",",B12,",",F12)</f>
        <v>REF/2,396,1463,51.250005,4.16667</v>
      </c>
      <c r="I32" s="28"/>
      <c r="J32" s="28"/>
      <c r="K32" s="28"/>
      <c r="L32" s="25"/>
      <c r="M32" s="27" t="str">
        <f ca="1">CONCATENATE("CED/SE=01,RE=01,ED=",TEXT(TODAY(),"dd/mm/yy"))</f>
        <v>CED/SE=01,RE=01,ED=26/10/21</v>
      </c>
      <c r="N32" s="38"/>
      <c r="O32" s="38"/>
      <c r="P32" s="38"/>
      <c r="Q32" s="25"/>
      <c r="R32" s="25"/>
      <c r="S32" s="26"/>
    </row>
    <row r="33" spans="8:22" x14ac:dyDescent="0.3">
      <c r="H33" s="29" t="str">
        <f>CONCATENATE("REF/3,",L7,",",M7,",",L6,",",P6)</f>
        <v>REF/3,1763,298,51.316673,4.291679</v>
      </c>
      <c r="I33" s="28"/>
      <c r="J33" s="28"/>
      <c r="K33" s="28"/>
      <c r="L33" s="25"/>
      <c r="M33" s="27" t="str">
        <f>CONCATENATE("K01/NA=",C2,"map,NU=",C2,",TY=BASE,FN=",C2,"map.KAP")</f>
        <v>K01/NA=MA0139S2map,NU=MA0139S2,TY=BASE,FN=MA0139S2map.KAP</v>
      </c>
      <c r="N33" s="38"/>
      <c r="O33" s="38"/>
      <c r="P33" s="38"/>
      <c r="Q33" s="25"/>
      <c r="R33" s="25"/>
      <c r="S33" s="26"/>
    </row>
    <row r="34" spans="8:22" ht="15" thickBot="1" x14ac:dyDescent="0.35">
      <c r="H34" s="29" t="str">
        <f>CONCATENATE("REF/4,",L13,",",M13,",",L12,",",P12)</f>
        <v>REF/4,1763,1463,51.250005,4.291679</v>
      </c>
      <c r="I34" s="28"/>
      <c r="J34" s="28"/>
      <c r="K34" s="28"/>
      <c r="L34" s="25"/>
      <c r="M34" s="31"/>
      <c r="N34" s="39"/>
      <c r="O34" s="32"/>
      <c r="P34" s="32"/>
      <c r="Q34" s="32"/>
      <c r="R34" s="32"/>
      <c r="S34" s="33"/>
    </row>
    <row r="35" spans="8:22" x14ac:dyDescent="0.3">
      <c r="H35" s="29" t="str">
        <f>CONCATENATE("PLY/1,",B12,",",F12)</f>
        <v>PLY/1,51.250005,4.16667</v>
      </c>
      <c r="I35" s="28"/>
      <c r="J35" s="28"/>
      <c r="K35" s="28"/>
      <c r="L35" s="26"/>
      <c r="M35" s="75" t="s">
        <v>30</v>
      </c>
      <c r="N35" s="78"/>
      <c r="O35" s="78"/>
      <c r="P35" s="34"/>
      <c r="Q35" s="34"/>
      <c r="R35" s="34"/>
      <c r="S35" s="34"/>
      <c r="T35" s="34"/>
      <c r="U35" s="34"/>
      <c r="V35" s="23"/>
    </row>
    <row r="36" spans="8:22" x14ac:dyDescent="0.3">
      <c r="H36" s="29" t="str">
        <f>CONCATENATE("PLY/2,",B6,",",F6)</f>
        <v>PLY/2,51.316673,4.16667</v>
      </c>
      <c r="I36" s="28"/>
      <c r="J36" s="28"/>
      <c r="K36" s="28"/>
      <c r="L36" s="26"/>
      <c r="M36" s="27" t="str">
        <f>CONCATENATE("imgkap ",C2,".png ",K15," ",C2,"map.kap -p MAP")</f>
        <v>imgkap MA0139S2.png MA0139S2.kap MA0139S2map.kap -p MAP</v>
      </c>
      <c r="N36" s="25"/>
      <c r="O36" s="25"/>
      <c r="P36" s="25"/>
      <c r="Q36" s="25"/>
      <c r="R36" s="25"/>
      <c r="S36" s="25"/>
      <c r="T36" s="25"/>
      <c r="U36" s="25"/>
      <c r="V36" s="26"/>
    </row>
    <row r="37" spans="8:22" x14ac:dyDescent="0.3">
      <c r="H37" s="29" t="str">
        <f>CONCATENATE("PLY/3,",L6,",",P6)</f>
        <v>PLY/3,51.316673,4.291679</v>
      </c>
      <c r="I37" s="28"/>
      <c r="J37" s="28"/>
      <c r="K37" s="28"/>
      <c r="L37" s="26"/>
      <c r="M37" s="24"/>
      <c r="N37" s="25"/>
      <c r="O37" s="25"/>
      <c r="P37" s="25"/>
      <c r="Q37" s="25"/>
      <c r="R37" s="25"/>
      <c r="S37" s="25"/>
      <c r="T37" s="25"/>
      <c r="U37" s="25"/>
      <c r="V37" s="26"/>
    </row>
    <row r="38" spans="8:22" x14ac:dyDescent="0.3">
      <c r="H38" s="29" t="str">
        <f>CONCATENATE("PLY/4,",L12,",",P12)</f>
        <v>PLY/4,51.250005,4.291679</v>
      </c>
      <c r="I38" s="28"/>
      <c r="J38" s="28"/>
      <c r="K38" s="28"/>
      <c r="L38" s="26"/>
      <c r="M38" s="77" t="s">
        <v>31</v>
      </c>
      <c r="N38" s="79"/>
      <c r="O38" s="25"/>
      <c r="P38" s="25"/>
      <c r="Q38" s="25"/>
      <c r="R38" s="25"/>
      <c r="S38" s="25"/>
      <c r="T38" s="25"/>
      <c r="U38" s="25"/>
      <c r="V38" s="26"/>
    </row>
    <row r="39" spans="8:22" ht="15" thickBot="1" x14ac:dyDescent="0.35">
      <c r="H39" s="82" t="s">
        <v>15</v>
      </c>
      <c r="I39" s="83"/>
      <c r="J39" s="83"/>
      <c r="K39" s="83"/>
      <c r="L39" s="84"/>
      <c r="M39" s="42" t="str">
        <f>CONCATENATE("imgkap ",C2,".png ",K15," ",C2,"map.kap")</f>
        <v>imgkap MA0139S2.png MA0139S2.kap MA0139S2map.kap</v>
      </c>
      <c r="N39" s="25"/>
      <c r="O39" s="25"/>
      <c r="P39" s="25"/>
      <c r="Q39" s="25"/>
      <c r="R39" s="25"/>
      <c r="S39" s="25"/>
      <c r="T39" s="25"/>
      <c r="U39" s="25"/>
      <c r="V39" s="26"/>
    </row>
    <row r="40" spans="8:22" ht="15" thickBot="1" x14ac:dyDescent="0.35">
      <c r="H40" s="81" t="str">
        <f>CONCATENATE("!MOD:",B14,".",C14,"'",D14,"''",E14," ",F14,".",G14,"'",H14,"''",I14)</f>
        <v>!MOD:0.0'0''N 0.0'0''W</v>
      </c>
      <c r="K40" s="25"/>
      <c r="L40" s="26"/>
      <c r="M40" s="31"/>
      <c r="N40" s="32"/>
      <c r="O40" s="32"/>
      <c r="P40" s="32"/>
      <c r="Q40" s="32"/>
      <c r="R40" s="32"/>
      <c r="S40" s="32"/>
      <c r="T40" s="32"/>
      <c r="U40" s="32"/>
      <c r="V40" s="33"/>
    </row>
    <row r="41" spans="8:22" x14ac:dyDescent="0.3">
      <c r="H41" s="81" t="str">
        <f>CONCATENATE("!EXTRACT FOR BSB FILE:  (REMOVE !)")</f>
        <v>!EXTRACT FOR BSB FILE:  (REMOVE !)</v>
      </c>
      <c r="I41" s="25"/>
      <c r="J41" s="25"/>
      <c r="K41" s="25"/>
      <c r="L41" s="26"/>
    </row>
    <row r="42" spans="8:22" x14ac:dyDescent="0.3">
      <c r="H42" s="81" t="str">
        <f>CONCATENATE("!",Q27)</f>
        <v>!MA0139S2map.BSB</v>
      </c>
      <c r="I42" s="25"/>
      <c r="J42" s="25"/>
      <c r="K42" s="25"/>
      <c r="L42" s="26"/>
    </row>
    <row r="43" spans="8:22" x14ac:dyDescent="0.3">
      <c r="H43" s="81" t="str">
        <f ca="1">CONCATENATE("!",M29)</f>
        <v>!CRR/MARI-caribbean 26/10/21 19:53:12</v>
      </c>
      <c r="I43" s="25"/>
      <c r="J43" s="25"/>
      <c r="K43" s="25"/>
      <c r="L43" s="26"/>
    </row>
    <row r="44" spans="8:22" x14ac:dyDescent="0.3">
      <c r="H44" s="81" t="str">
        <f>CONCATENATE("!",M30)</f>
        <v>!VER/3.0</v>
      </c>
      <c r="I44" s="25"/>
      <c r="J44" s="25"/>
      <c r="K44" s="25"/>
      <c r="L44" s="26"/>
    </row>
    <row r="45" spans="8:22" x14ac:dyDescent="0.3">
      <c r="H45" s="81" t="str">
        <f>CONCATENATE("!",M31)</f>
        <v>!CHT/NA=MA0139S2map,NU=MA0139S2</v>
      </c>
      <c r="I45" s="25"/>
      <c r="J45" s="25"/>
      <c r="K45" s="25"/>
      <c r="L45" s="26"/>
    </row>
    <row r="46" spans="8:22" x14ac:dyDescent="0.3">
      <c r="H46" s="81" t="str">
        <f ca="1">CONCATENATE("!",M32)</f>
        <v>!CED/SE=01,RE=01,ED=26/10/21</v>
      </c>
      <c r="I46" s="25"/>
      <c r="J46" s="25"/>
      <c r="K46" s="25"/>
      <c r="L46" s="26"/>
    </row>
    <row r="47" spans="8:22" ht="15" thickBot="1" x14ac:dyDescent="0.35">
      <c r="H47" s="67" t="str">
        <f>CONCATENATE("!",M33)</f>
        <v>!K01/NA=MA0139S2map,NU=MA0139S2,TY=BASE,FN=MA0139S2map.KAP</v>
      </c>
      <c r="I47" s="32"/>
      <c r="J47" s="32"/>
      <c r="K47" s="32"/>
      <c r="L47" s="33"/>
    </row>
  </sheetData>
  <mergeCells count="17">
    <mergeCell ref="I1:J1"/>
    <mergeCell ref="B6:D6"/>
    <mergeCell ref="F6:H6"/>
    <mergeCell ref="L6:N6"/>
    <mergeCell ref="P6:R6"/>
    <mergeCell ref="A1:B1"/>
    <mergeCell ref="C1:G1"/>
    <mergeCell ref="A2:B2"/>
    <mergeCell ref="C2:G2"/>
    <mergeCell ref="A3:B3"/>
    <mergeCell ref="C3:G3"/>
    <mergeCell ref="B12:D12"/>
    <mergeCell ref="F12:H12"/>
    <mergeCell ref="L12:N12"/>
    <mergeCell ref="P12:R12"/>
    <mergeCell ref="D9:E9"/>
    <mergeCell ref="H9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B198-135A-410D-8B1F-3F843D2F8A90}">
  <dimension ref="A1:Y40"/>
  <sheetViews>
    <sheetView topLeftCell="A19" zoomScale="70" zoomScaleNormal="70" workbookViewId="0">
      <selection activeCell="A35" sqref="A35"/>
    </sheetView>
  </sheetViews>
  <sheetFormatPr defaultRowHeight="14.4" x14ac:dyDescent="0.3"/>
  <cols>
    <col min="1" max="1" width="10" bestFit="1" customWidth="1"/>
    <col min="2" max="2" width="8.109375" bestFit="1" customWidth="1"/>
    <col min="3" max="3" width="5.6640625" customWidth="1"/>
    <col min="4" max="4" width="5.88671875" customWidth="1"/>
    <col min="5" max="15" width="5.6640625" customWidth="1"/>
    <col min="16" max="18" width="6" customWidth="1"/>
    <col min="19" max="27" width="5.6640625" customWidth="1"/>
  </cols>
  <sheetData>
    <row r="1" spans="1:25" x14ac:dyDescent="0.3">
      <c r="A1" t="s">
        <v>16</v>
      </c>
      <c r="B1" s="16" t="s">
        <v>17</v>
      </c>
      <c r="C1" s="134" t="s">
        <v>18</v>
      </c>
      <c r="D1" s="134"/>
      <c r="E1" s="18" t="s">
        <v>28</v>
      </c>
      <c r="F1" s="18"/>
    </row>
    <row r="2" spans="1:25" x14ac:dyDescent="0.3">
      <c r="A2" t="s">
        <v>20</v>
      </c>
      <c r="B2" s="13">
        <v>30000</v>
      </c>
    </row>
    <row r="4" spans="1:25" x14ac:dyDescent="0.3">
      <c r="D4">
        <f>D5*0.6</f>
        <v>12</v>
      </c>
      <c r="H4">
        <f>H5*0.6</f>
        <v>24</v>
      </c>
      <c r="J4" s="21">
        <v>3</v>
      </c>
      <c r="L4">
        <f>L5*0.6</f>
        <v>0</v>
      </c>
      <c r="P4">
        <f>P5*0.6</f>
        <v>54</v>
      </c>
      <c r="S4" s="21">
        <v>4</v>
      </c>
      <c r="U4">
        <f>U5*0.6</f>
        <v>0</v>
      </c>
      <c r="Y4">
        <f>Y5*0.6</f>
        <v>0</v>
      </c>
    </row>
    <row r="5" spans="1:25" x14ac:dyDescent="0.3">
      <c r="A5" s="21">
        <v>2</v>
      </c>
      <c r="B5" s="16">
        <v>53</v>
      </c>
      <c r="C5" s="16">
        <v>20</v>
      </c>
      <c r="D5" s="16">
        <v>20</v>
      </c>
      <c r="F5" s="16">
        <f>F11</f>
        <v>5</v>
      </c>
      <c r="G5" s="16">
        <f t="shared" ref="G5:H5" si="0">G11</f>
        <v>8</v>
      </c>
      <c r="H5" s="16">
        <f t="shared" si="0"/>
        <v>40</v>
      </c>
      <c r="J5" s="13">
        <f>S5</f>
        <v>53</v>
      </c>
      <c r="K5" s="13">
        <f t="shared" ref="K5:L5" si="1">T5</f>
        <v>22</v>
      </c>
      <c r="L5" s="13">
        <f t="shared" si="1"/>
        <v>0</v>
      </c>
      <c r="N5" s="13">
        <v>5</v>
      </c>
      <c r="O5" s="13">
        <v>12</v>
      </c>
      <c r="P5" s="13">
        <v>90</v>
      </c>
      <c r="S5" s="13">
        <v>53</v>
      </c>
      <c r="T5" s="13">
        <v>22</v>
      </c>
      <c r="U5" s="13">
        <v>0</v>
      </c>
      <c r="W5" s="13">
        <v>5</v>
      </c>
      <c r="X5" s="13">
        <v>16</v>
      </c>
      <c r="Y5" s="13">
        <v>0</v>
      </c>
    </row>
    <row r="6" spans="1:25" x14ac:dyDescent="0.3">
      <c r="B6" s="131">
        <f>S6</f>
        <v>53.366674000000003</v>
      </c>
      <c r="C6" s="133"/>
      <c r="D6" s="133"/>
      <c r="F6" s="131">
        <f>F12</f>
        <v>5.1400079999999999</v>
      </c>
      <c r="G6" s="133"/>
      <c r="H6" s="133"/>
      <c r="J6" s="131">
        <f>J5+(K5*$A$16)+((L5/100*60)*$A$18)</f>
        <v>53.366674000000003</v>
      </c>
      <c r="K6" s="131"/>
      <c r="L6" s="131"/>
      <c r="M6" t="s">
        <v>4</v>
      </c>
      <c r="N6" s="131">
        <f>N5+(O5*$A$16)+((P5/100*60)*$A$18)</f>
        <v>5.2150159999999994</v>
      </c>
      <c r="O6" s="131"/>
      <c r="P6" s="131"/>
      <c r="S6" s="131">
        <f>S5+(T5*$A$16)+((U5/100*60)*$A$18)</f>
        <v>53.366674000000003</v>
      </c>
      <c r="T6" s="131"/>
      <c r="U6" s="131"/>
      <c r="W6" s="131">
        <f>W5+(X5*$A$16)+((Y5/100*60)*$A$18)</f>
        <v>5.2666719999999998</v>
      </c>
      <c r="X6" s="131"/>
      <c r="Y6" s="131"/>
    </row>
    <row r="7" spans="1:25" x14ac:dyDescent="0.3">
      <c r="B7" s="17">
        <f>B13</f>
        <v>472</v>
      </c>
      <c r="C7" s="7" t="s">
        <v>4</v>
      </c>
      <c r="D7" s="7">
        <v>1111</v>
      </c>
      <c r="J7" s="8">
        <v>1498</v>
      </c>
      <c r="K7" s="9" t="s">
        <v>4</v>
      </c>
      <c r="L7" s="8">
        <f>U7</f>
        <v>424</v>
      </c>
      <c r="N7" s="3"/>
      <c r="O7" s="3"/>
      <c r="P7" s="3"/>
      <c r="S7" s="7">
        <v>2207</v>
      </c>
      <c r="T7" s="7" t="s">
        <v>4</v>
      </c>
      <c r="U7" s="7">
        <v>424</v>
      </c>
    </row>
    <row r="9" spans="1:25" x14ac:dyDescent="0.3">
      <c r="A9" t="s">
        <v>6</v>
      </c>
      <c r="B9" s="2">
        <f>(B12+S6)/2</f>
        <v>53.337510000000002</v>
      </c>
      <c r="C9" t="s">
        <v>10</v>
      </c>
      <c r="D9" s="132">
        <f>S6-B12</f>
        <v>5.8328000000003044E-2</v>
      </c>
      <c r="E9" s="132"/>
      <c r="G9" t="s">
        <v>9</v>
      </c>
      <c r="H9" s="132">
        <f>W6-F12</f>
        <v>0.12666399999999989</v>
      </c>
      <c r="I9" s="132"/>
      <c r="J9" s="20"/>
      <c r="K9" s="20"/>
      <c r="L9" s="20"/>
      <c r="M9" s="20"/>
      <c r="N9" s="20"/>
      <c r="O9" s="20"/>
    </row>
    <row r="10" spans="1:25" x14ac:dyDescent="0.3">
      <c r="D10">
        <f>D11*0.6</f>
        <v>30</v>
      </c>
      <c r="H10">
        <f>H11*0.6</f>
        <v>24</v>
      </c>
      <c r="S10" s="21">
        <v>5</v>
      </c>
      <c r="U10">
        <f>U11*0.6</f>
        <v>30</v>
      </c>
      <c r="Y10">
        <f>Y11*0.6</f>
        <v>0</v>
      </c>
    </row>
    <row r="11" spans="1:25" x14ac:dyDescent="0.3">
      <c r="A11" s="21">
        <v>1</v>
      </c>
      <c r="B11" s="13">
        <v>53</v>
      </c>
      <c r="C11" s="13">
        <v>18</v>
      </c>
      <c r="D11" s="13">
        <v>50</v>
      </c>
      <c r="F11" s="13">
        <v>5</v>
      </c>
      <c r="G11" s="13">
        <v>8</v>
      </c>
      <c r="H11" s="13">
        <v>40</v>
      </c>
      <c r="S11" s="2">
        <f>B11</f>
        <v>53</v>
      </c>
      <c r="T11" s="2">
        <f>C11</f>
        <v>18</v>
      </c>
      <c r="U11" s="2">
        <f>D11</f>
        <v>50</v>
      </c>
      <c r="W11" s="2">
        <f>W5</f>
        <v>5</v>
      </c>
      <c r="X11" s="2">
        <f t="shared" ref="X11:Y11" si="2">X5</f>
        <v>16</v>
      </c>
      <c r="Y11" s="2">
        <f t="shared" si="2"/>
        <v>0</v>
      </c>
    </row>
    <row r="12" spans="1:25" x14ac:dyDescent="0.3">
      <c r="B12" s="131">
        <f>B11+(C11*$A$16)+((D11/100*60)*$A$18)</f>
        <v>53.308346</v>
      </c>
      <c r="C12" s="131"/>
      <c r="D12" s="131"/>
      <c r="E12" t="s">
        <v>4</v>
      </c>
      <c r="F12" s="131">
        <f>F11+(G11*$A$16)+((H11/100*60)*$A$18)</f>
        <v>5.1400079999999999</v>
      </c>
      <c r="G12" s="131"/>
      <c r="H12" s="131"/>
      <c r="S12" s="131">
        <f>B12</f>
        <v>53.308346</v>
      </c>
      <c r="T12" s="133"/>
      <c r="U12" s="133"/>
      <c r="W12" s="131">
        <f>W6</f>
        <v>5.2666719999999998</v>
      </c>
      <c r="X12" s="133"/>
      <c r="Y12" s="133"/>
    </row>
    <row r="13" spans="1:25" x14ac:dyDescent="0.3">
      <c r="B13" s="8">
        <v>472</v>
      </c>
      <c r="C13" s="9" t="s">
        <v>4</v>
      </c>
      <c r="D13" s="8">
        <v>1761</v>
      </c>
      <c r="F13" s="3"/>
      <c r="G13" s="3"/>
      <c r="H13" s="3"/>
      <c r="S13" s="8">
        <f>S7</f>
        <v>2207</v>
      </c>
      <c r="T13" s="10" t="s">
        <v>4</v>
      </c>
      <c r="U13" s="8">
        <f>D13</f>
        <v>1761</v>
      </c>
      <c r="W13" s="3"/>
      <c r="X13" s="4"/>
      <c r="Y13" s="4"/>
    </row>
    <row r="15" spans="1:25" x14ac:dyDescent="0.3">
      <c r="A15" t="s">
        <v>0</v>
      </c>
      <c r="B15" t="s">
        <v>2</v>
      </c>
      <c r="D15" t="s">
        <v>3</v>
      </c>
      <c r="G15" s="19" t="s">
        <v>27</v>
      </c>
      <c r="H15" s="19"/>
      <c r="I15" s="19"/>
      <c r="J15" s="19"/>
      <c r="K15" s="19"/>
      <c r="L15" s="19"/>
      <c r="M15" s="19"/>
      <c r="N15" s="19"/>
      <c r="O15" s="19"/>
      <c r="P15" s="19" t="str">
        <f>CONCATENATE(E1,".kap")</f>
        <v>MA0112S1.kap</v>
      </c>
      <c r="Q15" s="19"/>
      <c r="S15" s="2" t="s">
        <v>26</v>
      </c>
      <c r="T15" s="2"/>
      <c r="U15" s="2"/>
      <c r="W15" s="15" t="str">
        <f>CONCATENATE(E1,"map.BSB")</f>
        <v>MA0112S1map.BSB</v>
      </c>
      <c r="X15" s="15"/>
      <c r="Y15" s="15"/>
    </row>
    <row r="16" spans="1:25" x14ac:dyDescent="0.3">
      <c r="A16" s="5">
        <v>1.6667000000000001E-2</v>
      </c>
      <c r="B16" s="124">
        <v>3200</v>
      </c>
      <c r="C16" s="124"/>
      <c r="D16" s="124">
        <v>2400</v>
      </c>
      <c r="E16" s="124"/>
      <c r="F16" s="13">
        <v>300</v>
      </c>
      <c r="G16" s="1" t="str">
        <f ca="1">CONCATENATE("!MARI-caribbean ",TEXT(NOW(),"dd/mm/yy"))</f>
        <v>!MARI-caribbean 26/10/21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S16" s="1" t="str">
        <f ca="1">CONCATENATE("CRR/MARI-caribbean ",TEXT(NOW(),"dd/mm/yy hh:mm:ss"))</f>
        <v>CRR/MARI-caribbean 26/10/21 19:53:12</v>
      </c>
      <c r="T16" s="1"/>
      <c r="U16" s="1"/>
      <c r="V16" s="1"/>
    </row>
    <row r="17" spans="1:22" x14ac:dyDescent="0.3">
      <c r="A17" t="s">
        <v>1</v>
      </c>
      <c r="B17" t="s">
        <v>8</v>
      </c>
      <c r="G17" s="15" t="s">
        <v>19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S17" s="1" t="s">
        <v>19</v>
      </c>
      <c r="T17" s="1"/>
      <c r="U17" s="1"/>
      <c r="V17" s="1"/>
    </row>
    <row r="18" spans="1:22" x14ac:dyDescent="0.3">
      <c r="A18" s="6">
        <v>2.7799999999999998E-4</v>
      </c>
      <c r="B18" s="2">
        <f>D9*A20</f>
        <v>6482.5155920003381</v>
      </c>
      <c r="C18" t="s">
        <v>7</v>
      </c>
      <c r="D18" s="12">
        <f>B18/D16</f>
        <v>2.7010481633334744</v>
      </c>
      <c r="E18" t="s">
        <v>3</v>
      </c>
      <c r="G18" s="15" t="s">
        <v>25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S18" s="1" t="str">
        <f>CONCATENATE("CHT/NA=",E1,"map,NU=",E1)</f>
        <v>CHT/NA=MA0112S1map,NU=MA0112S1</v>
      </c>
      <c r="T18" s="1"/>
      <c r="U18" s="1"/>
      <c r="V18" s="1"/>
    </row>
    <row r="19" spans="1:22" x14ac:dyDescent="0.3">
      <c r="A19" t="s">
        <v>5</v>
      </c>
      <c r="B19" s="2">
        <f>H9*A20</f>
        <v>14077.310295999987</v>
      </c>
      <c r="C19" t="s">
        <v>7</v>
      </c>
      <c r="D19" s="12">
        <f>B19/B16</f>
        <v>4.3991594674999961</v>
      </c>
      <c r="E19" t="s">
        <v>2</v>
      </c>
      <c r="G19" s="15" t="str">
        <f>CONCATENATE("BSB/NA=",B1," ",E1,",NU=",E1,",RA=",B16,",",D16,",DU=",F16)</f>
        <v>BSB/NA=B &amp; NL MA0112S1,NU=MA0112S1,RA=3200,2400,DU=300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S19" s="1" t="str">
        <f ca="1">CONCATENATE("CED/SE=01,RE=01,ED=",TEXT(TODAY(),"dd/mm/yy"))</f>
        <v>CED/SE=01,RE=01,ED=26/10/21</v>
      </c>
      <c r="T19" s="1"/>
      <c r="U19" s="1"/>
      <c r="V19" s="1"/>
    </row>
    <row r="20" spans="1:22" x14ac:dyDescent="0.3">
      <c r="A20" s="11">
        <v>111139</v>
      </c>
      <c r="G20" s="15" t="str">
        <f>CONCATENATE("KNP/SC=",B2,",GD=WGS84,PR=MERCATOR,PP=",B9)</f>
        <v>KNP/SC=30000,GD=WGS84,PR=MERCATOR,PP=53.33751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S20" s="1" t="str">
        <f>CONCATENATE("K01/NA=",E1,"map,NU=",E1,",TY=BASE,FN=",E1,"map.KAP")</f>
        <v>K01/NA=MA0112S1map,NU=MA0112S1,TY=BASE,FN=MA0112S1map.KAP</v>
      </c>
      <c r="T20" s="1"/>
      <c r="U20" s="1"/>
      <c r="V20" s="1"/>
    </row>
    <row r="21" spans="1:22" x14ac:dyDescent="0.3">
      <c r="G21" s="15" t="str">
        <f>CONCATENATE("    PI=UNKNOWN,SP=UNKNOWN,SK=0.0,TA=0.0")</f>
        <v xml:space="preserve">    PI=UNKNOWN,SP=UNKNOWN,SK=0.0,TA=0.0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4"/>
      <c r="T21" s="14"/>
    </row>
    <row r="22" spans="1:22" x14ac:dyDescent="0.3">
      <c r="B22" t="s">
        <v>11</v>
      </c>
      <c r="G22" s="15" t="str">
        <f>CONCATENATE("    UN=METERS,SD=MEAN LOWER LOW WATER,DX=",ROUND(D19,8),",DY=",ROUND(D18,8))</f>
        <v xml:space="preserve">    UN=METERS,SD=MEAN LOWER LOW WATER,DX=4.39915947,DY=2.70104816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22" x14ac:dyDescent="0.3">
      <c r="B23" t="s">
        <v>12</v>
      </c>
      <c r="G23" s="15" t="str">
        <f>CONCATENATE("KNQ/EC=RF,GD=NARC,VC=UNKNOWN,SC=MLLW,PC=MC,P1=UNKNOWN,P2=",B9)</f>
        <v>KNQ/EC=RF,GD=NARC,VC=UNKNOWN,SC=MLLW,PC=MC,P1=UNKNOWN,P2=53.33751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22" x14ac:dyDescent="0.3">
      <c r="B24" t="s">
        <v>13</v>
      </c>
      <c r="G24" s="15" t="str">
        <f>CONCATENATE("    P3=NOT_APPLICABLE,P4=NOT_APPLICABLE,GC=MI,RM=POLYNOMIAL")</f>
        <v xml:space="preserve">    P3=NOT_APPLICABLE,P4=NOT_APPLICABLE,GC=MI,RM=POLYNOMIAL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22" x14ac:dyDescent="0.3">
      <c r="B25" t="s">
        <v>14</v>
      </c>
      <c r="G25" s="15" t="s">
        <v>21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22" x14ac:dyDescent="0.3">
      <c r="G26" s="15" t="s">
        <v>22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22" x14ac:dyDescent="0.3">
      <c r="G27" s="15" t="s">
        <v>23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22" x14ac:dyDescent="0.3">
      <c r="G28" s="15" t="s">
        <v>24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22" x14ac:dyDescent="0.3">
      <c r="G29" s="15" t="str">
        <f>CONCATENATE("CHT/NA=",B1)</f>
        <v>CHT/NA=B &amp; NL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S29" t="str">
        <f>CONCATENATE("imgkap ",E1,".png ",P15," ",E1,"map.kap")</f>
        <v>imgkap MA0112S1.png MA0112S1.kap MA0112S1map.kap</v>
      </c>
    </row>
    <row r="30" spans="1:22" x14ac:dyDescent="0.3">
      <c r="G30" s="15" t="str">
        <f>CONCATENATE("REF/1,",B7,C7,D7,C7,B6,C7,F6)</f>
        <v>REF/1,472,1111,53.366674,5.140008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22" x14ac:dyDescent="0.3">
      <c r="G31" s="15" t="str">
        <f>CONCATENATE("REF/2,",B13,C13,D13,C13,B12,C13,F12)</f>
        <v>REF/2,472,1761,53.308346,5.140008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22" x14ac:dyDescent="0.3">
      <c r="G32" s="15" t="str">
        <f>CONCATENATE("REF/3,",J7,K7,L7,K7,J6,K7,N6)</f>
        <v>REF/3,1498,424,53.366674,5.215016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7:19" x14ac:dyDescent="0.3">
      <c r="G33" s="15" t="str">
        <f>CONCATENATE("REF/4,",S7,T7,U7,T7,S6,T7,W6)</f>
        <v>REF/4,2207,424,53.366674,5.266672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7:19" x14ac:dyDescent="0.3">
      <c r="G34" s="15" t="str">
        <f>CONCATENATE("REF/5,",S13,T13,U13,T13,S12,T13,W12)</f>
        <v>REF/5,2207,1761,53.308346,5.266672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7:19" x14ac:dyDescent="0.3">
      <c r="G35" s="15" t="str">
        <f>CONCATENATE("PLY/1,",B12,",",F12)</f>
        <v>PLY/1,53.308346,5.140008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7:19" x14ac:dyDescent="0.3">
      <c r="G36" s="15" t="str">
        <f>CONCATENATE("PLY/2,",B6,",",F6)</f>
        <v>PLY/2,53.366674,5.140008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S36" s="14"/>
    </row>
    <row r="37" spans="7:19" x14ac:dyDescent="0.3">
      <c r="G37" s="15" t="str">
        <f>CONCATENATE("PLY/3,",J6,",",N6)</f>
        <v>PLY/3,53.366674,5.215016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S37" s="14"/>
    </row>
    <row r="38" spans="7:19" x14ac:dyDescent="0.3">
      <c r="G38" s="15" t="str">
        <f>CONCATENATE("PLY/4,",S6,",",W6)</f>
        <v>PLY/4,53.366674,5.266672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7:19" x14ac:dyDescent="0.3">
      <c r="G39" s="15" t="str">
        <f>CONCATENATE("PLY/5,",S12,",",W12)</f>
        <v>PLY/5,53.308346,5.266672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7:19" x14ac:dyDescent="0.3">
      <c r="G40" s="15" t="s">
        <v>15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</row>
  </sheetData>
  <mergeCells count="15">
    <mergeCell ref="S12:U12"/>
    <mergeCell ref="W12:Y12"/>
    <mergeCell ref="C1:D1"/>
    <mergeCell ref="B6:D6"/>
    <mergeCell ref="F6:H6"/>
    <mergeCell ref="S6:U6"/>
    <mergeCell ref="W6:Y6"/>
    <mergeCell ref="N6:P6"/>
    <mergeCell ref="B16:C16"/>
    <mergeCell ref="D16:E16"/>
    <mergeCell ref="J6:L6"/>
    <mergeCell ref="D9:E9"/>
    <mergeCell ref="H9:I9"/>
    <mergeCell ref="B12:D12"/>
    <mergeCell ref="F12:H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108D-B887-4DC2-A053-D88D26019A4E}">
  <dimension ref="B2:J3"/>
  <sheetViews>
    <sheetView workbookViewId="0">
      <selection activeCell="D9" sqref="D9"/>
    </sheetView>
  </sheetViews>
  <sheetFormatPr defaultRowHeight="14.4" x14ac:dyDescent="0.3"/>
  <sheetData>
    <row r="2" spans="2:10" x14ac:dyDescent="0.3">
      <c r="B2" t="s">
        <v>84</v>
      </c>
    </row>
    <row r="3" spans="2:10" x14ac:dyDescent="0.3">
      <c r="B3" t="s">
        <v>82</v>
      </c>
      <c r="C3">
        <v>0</v>
      </c>
      <c r="D3">
        <v>0</v>
      </c>
      <c r="E3">
        <v>19.066700000000001</v>
      </c>
      <c r="F3" t="s">
        <v>51</v>
      </c>
      <c r="G3">
        <v>0</v>
      </c>
      <c r="H3">
        <v>0</v>
      </c>
      <c r="I3">
        <v>-12.5167</v>
      </c>
      <c r="J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 TR</vt:lpstr>
      <vt:lpstr>TL BR</vt:lpstr>
      <vt:lpstr>5point test</vt:lpstr>
      <vt:lpstr>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Maijen</dc:creator>
  <cp:lastModifiedBy>Bastiaan Maijen</cp:lastModifiedBy>
  <dcterms:created xsi:type="dcterms:W3CDTF">2021-10-10T18:24:22Z</dcterms:created>
  <dcterms:modified xsi:type="dcterms:W3CDTF">2021-10-26T23:53:11Z</dcterms:modified>
</cp:coreProperties>
</file>