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aan Maijen\Desktop\Example\"/>
    </mc:Choice>
  </mc:AlternateContent>
  <xr:revisionPtr revIDLastSave="0" documentId="13_ncr:1_{039940E5-3776-40F9-A61C-D443C4C5FEB4}" xr6:coauthVersionLast="47" xr6:coauthVersionMax="47" xr10:uidLastSave="{00000000-0000-0000-0000-000000000000}"/>
  <bookViews>
    <workbookView xWindow="-108" yWindow="-108" windowWidth="23256" windowHeight="12576" xr2:uid="{6C215D96-3E45-4724-8C29-D814B73E4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6" i="1" l="1"/>
  <c r="M29" i="1"/>
  <c r="K15" i="1"/>
  <c r="C7" i="1"/>
  <c r="B7" i="1"/>
  <c r="H17" i="1"/>
  <c r="Q27" i="1"/>
  <c r="M33" i="1"/>
  <c r="M32" i="1"/>
  <c r="M31" i="1"/>
  <c r="R4" i="1"/>
  <c r="N4" i="1"/>
  <c r="D10" i="1"/>
  <c r="H10" i="1"/>
  <c r="H25" i="1"/>
  <c r="H22" i="1"/>
  <c r="H20" i="1"/>
  <c r="H30" i="1"/>
  <c r="M13" i="1"/>
  <c r="L13" i="1"/>
  <c r="P6" i="1"/>
  <c r="P12" i="1" s="1"/>
  <c r="L6" i="1"/>
  <c r="B6" i="1" s="1"/>
  <c r="F12" i="1"/>
  <c r="B12" i="1"/>
  <c r="L12" i="1" s="1"/>
  <c r="M11" i="1"/>
  <c r="N11" i="1"/>
  <c r="N10" i="1" s="1"/>
  <c r="L11" i="1"/>
  <c r="Q11" i="1"/>
  <c r="R11" i="1"/>
  <c r="R10" i="1" s="1"/>
  <c r="P11" i="1"/>
  <c r="C5" i="1"/>
  <c r="D5" i="1"/>
  <c r="D4" i="1" s="1"/>
  <c r="B5" i="1"/>
  <c r="G5" i="1"/>
  <c r="H5" i="1"/>
  <c r="H4" i="1" s="1"/>
  <c r="F5" i="1"/>
  <c r="H34" i="1" l="1"/>
  <c r="H32" i="1"/>
  <c r="H33" i="1"/>
  <c r="M39" i="1"/>
  <c r="H38" i="1"/>
  <c r="H35" i="1"/>
  <c r="H37" i="1"/>
  <c r="D9" i="1"/>
  <c r="B21" i="1" s="1"/>
  <c r="D21" i="1" s="1"/>
  <c r="B9" i="1"/>
  <c r="F6" i="1"/>
  <c r="H31" i="1" s="1"/>
  <c r="H36" i="1" l="1"/>
  <c r="H24" i="1"/>
  <c r="H21" i="1"/>
  <c r="H9" i="1"/>
  <c r="B22" i="1" s="1"/>
  <c r="D22" i="1" s="1"/>
  <c r="H23" i="1" s="1"/>
</calcChain>
</file>

<file path=xl/sharedStrings.xml><?xml version="1.0" encoding="utf-8"?>
<sst xmlns="http://schemas.openxmlformats.org/spreadsheetml/2006/main" count="41" uniqueCount="36">
  <si>
    <t>per min</t>
  </si>
  <si>
    <t>per sec</t>
  </si>
  <si>
    <t>x</t>
  </si>
  <si>
    <t>y</t>
  </si>
  <si>
    <t>m/per deg</t>
  </si>
  <si>
    <t>mean</t>
  </si>
  <si>
    <t>m</t>
  </si>
  <si>
    <t>chart meters height (y)</t>
  </si>
  <si>
    <t>DMT/0.0,0.0</t>
  </si>
  <si>
    <t>ZONE:</t>
  </si>
  <si>
    <t>Map name</t>
  </si>
  <si>
    <t>VER/3.0</t>
  </si>
  <si>
    <t>Scale</t>
  </si>
  <si>
    <t>OST/1</t>
  </si>
  <si>
    <t>CED/SE=01,RE=01,ED=01/01/2000</t>
  </si>
  <si>
    <t>NTM/NE=00.00,ND=01/01/2000,BF=on,BD=01/01/2000</t>
  </si>
  <si>
    <t>IFM/3</t>
  </si>
  <si>
    <t>CRR/2021, MARI-caribbean</t>
  </si>
  <si>
    <t>BSB file format</t>
  </si>
  <si>
    <t>kap file format</t>
  </si>
  <si>
    <t>B and NL</t>
  </si>
  <si>
    <t>MA0120S1</t>
  </si>
  <si>
    <t xml:space="preserve">IMGKAP copy paste </t>
  </si>
  <si>
    <t>NO NIGHT</t>
  </si>
  <si>
    <t>IMAGE SIZE</t>
  </si>
  <si>
    <t>X</t>
  </si>
  <si>
    <t>Y</t>
  </si>
  <si>
    <t>DPI</t>
  </si>
  <si>
    <t>PX</t>
  </si>
  <si>
    <t>LAT</t>
  </si>
  <si>
    <t>LON</t>
  </si>
  <si>
    <t>real seconds</t>
  </si>
  <si>
    <t>diff Y</t>
  </si>
  <si>
    <t>diff X</t>
  </si>
  <si>
    <t>TOP RIGHT CORNER</t>
  </si>
  <si>
    <t>BOTTOM LEFT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</si>
</sst>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"/>
    <numFmt numFmtId="169" formatCode="0.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0" xfId="0" applyFill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0" borderId="0" xfId="0" applyFill="1" applyBorder="1" applyAlignment="1"/>
    <xf numFmtId="0" fontId="0" fillId="2" borderId="4" xfId="0" applyFill="1" applyBorder="1" applyAlignment="1"/>
    <xf numFmtId="0" fontId="0" fillId="0" borderId="5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2" borderId="2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0" xfId="0" applyFill="1" applyBorder="1"/>
    <xf numFmtId="0" fontId="0" fillId="0" borderId="7" xfId="0" applyBorder="1" applyAlignment="1"/>
    <xf numFmtId="0" fontId="0" fillId="2" borderId="0" xfId="0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3" borderId="4" xfId="0" applyFill="1" applyBorder="1"/>
    <xf numFmtId="0" fontId="0" fillId="3" borderId="0" xfId="0" applyFill="1" applyBorder="1"/>
    <xf numFmtId="0" fontId="0" fillId="4" borderId="0" xfId="0" applyFill="1" applyBorder="1"/>
    <xf numFmtId="169" fontId="0" fillId="3" borderId="4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9" fontId="0" fillId="3" borderId="0" xfId="0" applyNumberFormat="1" applyFill="1" applyBorder="1" applyAlignment="1">
      <alignment horizontal="center"/>
    </xf>
    <xf numFmtId="0" fontId="0" fillId="4" borderId="4" xfId="0" applyFill="1" applyBorder="1"/>
    <xf numFmtId="1" fontId="0" fillId="4" borderId="4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1" fontId="0" fillId="3" borderId="4" xfId="0" applyNumberFormat="1" applyFill="1" applyBorder="1"/>
    <xf numFmtId="1" fontId="0" fillId="3" borderId="0" xfId="0" applyNumberFormat="1" applyFill="1" applyBorder="1" applyAlignment="1">
      <alignment horizontal="center"/>
    </xf>
    <xf numFmtId="0" fontId="0" fillId="6" borderId="0" xfId="0" applyFill="1"/>
    <xf numFmtId="168" fontId="0" fillId="6" borderId="0" xfId="0" applyNumberFormat="1" applyFill="1"/>
    <xf numFmtId="3" fontId="1" fillId="6" borderId="0" xfId="0" applyNumberFormat="1" applyFont="1" applyFill="1"/>
    <xf numFmtId="0" fontId="0" fillId="5" borderId="0" xfId="0" applyFill="1"/>
    <xf numFmtId="0" fontId="0" fillId="0" borderId="0" xfId="0" applyFill="1" applyBorder="1" applyAlignment="1">
      <alignment horizontal="center"/>
    </xf>
    <xf numFmtId="169" fontId="0" fillId="5" borderId="0" xfId="0" applyNumberFormat="1" applyFill="1" applyBorder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5" borderId="3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4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528918</xdr:colOff>
      <xdr:row>0</xdr:row>
      <xdr:rowOff>0</xdr:rowOff>
    </xdr:from>
    <xdr:to>
      <xdr:col>36</xdr:col>
      <xdr:colOff>107576</xdr:colOff>
      <xdr:row>33</xdr:row>
      <xdr:rowOff>141193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E097C3-B19E-467C-A168-9366E37A2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2142" y="0"/>
          <a:ext cx="8113058" cy="6084793"/>
        </a:xfrm>
        <a:prstGeom prst="rect">
          <a:avLst/>
        </a:prstGeom>
      </xdr:spPr>
    </xdr:pic>
    <xdr:clientData/>
  </xdr:twoCellAnchor>
  <xdr:twoCellAnchor>
    <xdr:from>
      <xdr:col>24</xdr:col>
      <xdr:colOff>367552</xdr:colOff>
      <xdr:row>17</xdr:row>
      <xdr:rowOff>17930</xdr:rowOff>
    </xdr:from>
    <xdr:to>
      <xdr:col>26</xdr:col>
      <xdr:colOff>555811</xdr:colOff>
      <xdr:row>24</xdr:row>
      <xdr:rowOff>116541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E062F86-64C8-4054-A9B7-BF472D6F629C}"/>
            </a:ext>
          </a:extLst>
        </xdr:cNvPr>
        <xdr:cNvCxnSpPr/>
      </xdr:nvCxnSpPr>
      <xdr:spPr>
        <a:xfrm>
          <a:off x="11689976" y="3092824"/>
          <a:ext cx="1407459" cy="1362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35858</xdr:colOff>
      <xdr:row>7</xdr:row>
      <xdr:rowOff>17929</xdr:rowOff>
    </xdr:from>
    <xdr:to>
      <xdr:col>32</xdr:col>
      <xdr:colOff>98611</xdr:colOff>
      <xdr:row>10</xdr:row>
      <xdr:rowOff>53788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0700D2D-4570-4230-A133-F7A45A6BFF54}"/>
            </a:ext>
          </a:extLst>
        </xdr:cNvPr>
        <xdr:cNvCxnSpPr/>
      </xdr:nvCxnSpPr>
      <xdr:spPr>
        <a:xfrm>
          <a:off x="15625482" y="1281953"/>
          <a:ext cx="672353" cy="573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141192</xdr:colOff>
      <xdr:row>23</xdr:row>
      <xdr:rowOff>26895</xdr:rowOff>
    </xdr:from>
    <xdr:to>
      <xdr:col>27</xdr:col>
      <xdr:colOff>564776</xdr:colOff>
      <xdr:row>28</xdr:row>
      <xdr:rowOff>178240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9A6609A-4B35-4B6C-8F76-0BBB39BF4D1A}"/>
            </a:ext>
          </a:extLst>
        </xdr:cNvPr>
        <xdr:cNvCxnSpPr>
          <a:stCxn id="14" idx="4"/>
        </xdr:cNvCxnSpPr>
      </xdr:nvCxnSpPr>
      <xdr:spPr>
        <a:xfrm flipV="1">
          <a:off x="13292416" y="4186519"/>
          <a:ext cx="423584" cy="105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484094</xdr:colOff>
      <xdr:row>13</xdr:row>
      <xdr:rowOff>44824</xdr:rowOff>
    </xdr:from>
    <xdr:to>
      <xdr:col>25</xdr:col>
      <xdr:colOff>519952</xdr:colOff>
      <xdr:row>16</xdr:row>
      <xdr:rowOff>101660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710AC504-CDBB-426A-BABB-F27A6D138A14}"/>
            </a:ext>
          </a:extLst>
        </xdr:cNvPr>
        <xdr:cNvSpPr/>
      </xdr:nvSpPr>
      <xdr:spPr>
        <a:xfrm>
          <a:off x="11196918" y="2384612"/>
          <a:ext cx="1255058" cy="612648"/>
        </a:xfrm>
        <a:prstGeom prst="wedgeRectCallout">
          <a:avLst>
            <a:gd name="adj1" fmla="val -10833"/>
            <a:gd name="adj2" fmla="val 6689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BOTTON</a:t>
          </a:r>
          <a:r>
            <a:rPr lang="en-US" sz="1100" baseline="0"/>
            <a:t> LEFT COORDS</a:t>
          </a:r>
          <a:endParaRPr lang="en-US" sz="1100"/>
        </a:p>
      </xdr:txBody>
    </xdr:sp>
    <xdr:clientData/>
  </xdr:twoCellAnchor>
  <xdr:twoCellAnchor>
    <xdr:from>
      <xdr:col>30</xdr:col>
      <xdr:colOff>188258</xdr:colOff>
      <xdr:row>2</xdr:row>
      <xdr:rowOff>170331</xdr:rowOff>
    </xdr:from>
    <xdr:to>
      <xdr:col>32</xdr:col>
      <xdr:colOff>224116</xdr:colOff>
      <xdr:row>6</xdr:row>
      <xdr:rowOff>56838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C8123513-A289-49D1-84A2-7C98BB9D88B5}"/>
            </a:ext>
          </a:extLst>
        </xdr:cNvPr>
        <xdr:cNvSpPr/>
      </xdr:nvSpPr>
      <xdr:spPr>
        <a:xfrm>
          <a:off x="15168282" y="528919"/>
          <a:ext cx="1255058" cy="612648"/>
        </a:xfrm>
        <a:prstGeom prst="wedgeRectCallout">
          <a:avLst>
            <a:gd name="adj1" fmla="val -15119"/>
            <a:gd name="adj2" fmla="val 7274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TOP RIGHT </a:t>
          </a:r>
          <a:r>
            <a:rPr lang="en-US" sz="1100" baseline="0"/>
            <a:t>COORDS</a:t>
          </a:r>
          <a:endParaRPr lang="en-US" sz="1100"/>
        </a:p>
      </xdr:txBody>
    </xdr:sp>
    <xdr:clientData/>
  </xdr:twoCellAnchor>
  <xdr:twoCellAnchor>
    <xdr:from>
      <xdr:col>25</xdr:col>
      <xdr:colOff>215152</xdr:colOff>
      <xdr:row>27</xdr:row>
      <xdr:rowOff>98611</xdr:rowOff>
    </xdr:from>
    <xdr:to>
      <xdr:col>26</xdr:col>
      <xdr:colOff>519952</xdr:colOff>
      <xdr:row>30</xdr:row>
      <xdr:rowOff>173377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ADB5BA07-F93A-4C5F-BFAA-D31ED91EFAB8}"/>
            </a:ext>
          </a:extLst>
        </xdr:cNvPr>
        <xdr:cNvSpPr/>
      </xdr:nvSpPr>
      <xdr:spPr>
        <a:xfrm>
          <a:off x="12147176" y="4984376"/>
          <a:ext cx="914400" cy="612648"/>
        </a:xfrm>
        <a:prstGeom prst="wedgeRectCallout">
          <a:avLst>
            <a:gd name="adj1" fmla="val 75245"/>
            <a:gd name="adj2" fmla="val -773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SCALE</a:t>
          </a:r>
        </a:p>
      </xdr:txBody>
    </xdr:sp>
    <xdr:clientData/>
  </xdr:twoCellAnchor>
  <xdr:twoCellAnchor>
    <xdr:from>
      <xdr:col>23</xdr:col>
      <xdr:colOff>80682</xdr:colOff>
      <xdr:row>1</xdr:row>
      <xdr:rowOff>152400</xdr:rowOff>
    </xdr:from>
    <xdr:to>
      <xdr:col>24</xdr:col>
      <xdr:colOff>385482</xdr:colOff>
      <xdr:row>6</xdr:row>
      <xdr:rowOff>161365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66FD970-4D05-4504-BF71-B9820C600878}"/>
            </a:ext>
          </a:extLst>
        </xdr:cNvPr>
        <xdr:cNvSpPr/>
      </xdr:nvSpPr>
      <xdr:spPr>
        <a:xfrm>
          <a:off x="10793506" y="331694"/>
          <a:ext cx="91440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IMG SIZE</a:t>
          </a:r>
        </a:p>
        <a:p>
          <a:pPr algn="l"/>
          <a:r>
            <a:rPr lang="en-US" sz="1100"/>
            <a:t>1280 960</a:t>
          </a:r>
        </a:p>
        <a:p>
          <a:pPr algn="l"/>
          <a:r>
            <a:rPr lang="en-US" sz="1100"/>
            <a:t>300DPI</a:t>
          </a:r>
        </a:p>
      </xdr:txBody>
    </xdr:sp>
    <xdr:clientData/>
  </xdr:twoCellAnchor>
  <xdr:twoCellAnchor>
    <xdr:from>
      <xdr:col>2</xdr:col>
      <xdr:colOff>26895</xdr:colOff>
      <xdr:row>33</xdr:row>
      <xdr:rowOff>26895</xdr:rowOff>
    </xdr:from>
    <xdr:to>
      <xdr:col>5</xdr:col>
      <xdr:colOff>62753</xdr:colOff>
      <xdr:row>36</xdr:row>
      <xdr:rowOff>92696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425CEF58-D6A0-4816-B2D3-AC68BDF80AE7}"/>
            </a:ext>
          </a:extLst>
        </xdr:cNvPr>
        <xdr:cNvSpPr/>
      </xdr:nvSpPr>
      <xdr:spPr>
        <a:xfrm>
          <a:off x="1506071" y="5988424"/>
          <a:ext cx="1210235" cy="612648"/>
        </a:xfrm>
        <a:prstGeom prst="wedgeRectCallout">
          <a:avLst>
            <a:gd name="adj1" fmla="val 116422"/>
            <a:gd name="adj2" fmla="val -3407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GREEN ROW ONLY </a:t>
          </a:r>
        </a:p>
      </xdr:txBody>
    </xdr:sp>
    <xdr:clientData/>
  </xdr:twoCellAnchor>
  <xdr:twoCellAnchor>
    <xdr:from>
      <xdr:col>12</xdr:col>
      <xdr:colOff>197224</xdr:colOff>
      <xdr:row>22</xdr:row>
      <xdr:rowOff>8965</xdr:rowOff>
    </xdr:from>
    <xdr:to>
      <xdr:col>15</xdr:col>
      <xdr:colOff>251012</xdr:colOff>
      <xdr:row>25</xdr:row>
      <xdr:rowOff>83730</xdr:rowOff>
    </xdr:to>
    <xdr:sp macro="" textlink="">
      <xdr:nvSpPr>
        <xdr:cNvPr id="19" name="Speech Bubble: Rectangle 18">
          <a:extLst>
            <a:ext uri="{FF2B5EF4-FFF2-40B4-BE49-F238E27FC236}">
              <a16:creationId xmlns:a16="http://schemas.microsoft.com/office/drawing/2014/main" id="{EBC60E7B-EACE-4B22-8AE3-07D26CE127F4}"/>
            </a:ext>
          </a:extLst>
        </xdr:cNvPr>
        <xdr:cNvSpPr/>
      </xdr:nvSpPr>
      <xdr:spPr>
        <a:xfrm>
          <a:off x="5997389" y="3989294"/>
          <a:ext cx="1210235" cy="612648"/>
        </a:xfrm>
        <a:prstGeom prst="wedgeRectCallout">
          <a:avLst>
            <a:gd name="adj1" fmla="val -40615"/>
            <a:gd name="adj2" fmla="val 12249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GREEN ROW ONLY </a:t>
          </a:r>
        </a:p>
      </xdr:txBody>
    </xdr:sp>
    <xdr:clientData/>
  </xdr:twoCellAnchor>
  <xdr:twoCellAnchor>
    <xdr:from>
      <xdr:col>13</xdr:col>
      <xdr:colOff>358589</xdr:colOff>
      <xdr:row>40</xdr:row>
      <xdr:rowOff>89647</xdr:rowOff>
    </xdr:from>
    <xdr:to>
      <xdr:col>17</xdr:col>
      <xdr:colOff>26895</xdr:colOff>
      <xdr:row>43</xdr:row>
      <xdr:rowOff>164413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id="{2254C19E-C6A6-4B07-8411-36E68603FBEB}"/>
            </a:ext>
          </a:extLst>
        </xdr:cNvPr>
        <xdr:cNvSpPr/>
      </xdr:nvSpPr>
      <xdr:spPr>
        <a:xfrm>
          <a:off x="6544236" y="7324165"/>
          <a:ext cx="1210235" cy="612648"/>
        </a:xfrm>
        <a:prstGeom prst="wedgeRectCallout">
          <a:avLst>
            <a:gd name="adj1" fmla="val -78393"/>
            <a:gd name="adj2" fmla="val -15552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GREEN CELL</a:t>
          </a:r>
          <a:r>
            <a:rPr lang="en-US" sz="1100" baseline="0"/>
            <a:t> </a:t>
          </a:r>
          <a:r>
            <a:rPr lang="en-US" sz="1100"/>
            <a:t>ONLY </a:t>
          </a:r>
        </a:p>
        <a:p>
          <a:pPr algn="l"/>
          <a:r>
            <a:rPr lang="en-US" sz="1100"/>
            <a:t>EITHER ONE </a:t>
          </a:r>
        </a:p>
      </xdr:txBody>
    </xdr:sp>
    <xdr:clientData/>
  </xdr:twoCellAnchor>
  <xdr:twoCellAnchor>
    <xdr:from>
      <xdr:col>7</xdr:col>
      <xdr:colOff>268940</xdr:colOff>
      <xdr:row>3</xdr:row>
      <xdr:rowOff>53788</xdr:rowOff>
    </xdr:from>
    <xdr:to>
      <xdr:col>10</xdr:col>
      <xdr:colOff>528917</xdr:colOff>
      <xdr:row>10</xdr:row>
      <xdr:rowOff>98612</xdr:rowOff>
    </xdr:to>
    <xdr:sp macro="" textlink="">
      <xdr:nvSpPr>
        <xdr:cNvPr id="22" name="Explosion: 8 Points 21">
          <a:extLst>
            <a:ext uri="{FF2B5EF4-FFF2-40B4-BE49-F238E27FC236}">
              <a16:creationId xmlns:a16="http://schemas.microsoft.com/office/drawing/2014/main" id="{CEDBC461-7E66-4268-8794-DFA54F6C3606}"/>
            </a:ext>
          </a:extLst>
        </xdr:cNvPr>
        <xdr:cNvSpPr/>
      </xdr:nvSpPr>
      <xdr:spPr>
        <a:xfrm>
          <a:off x="3693458" y="600635"/>
          <a:ext cx="1640541" cy="1299883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FILL IN BLUE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503A-4E69-417A-9999-6C4F14B10F49}">
  <dimension ref="A1:V40"/>
  <sheetViews>
    <sheetView tabSelected="1" topLeftCell="A16" zoomScale="85" zoomScaleNormal="85" workbookViewId="0">
      <selection activeCell="M39" sqref="M39"/>
    </sheetView>
  </sheetViews>
  <sheetFormatPr defaultRowHeight="14.4" x14ac:dyDescent="0.3"/>
  <cols>
    <col min="1" max="1" width="11.6640625" customWidth="1"/>
    <col min="2" max="2" width="9.88671875" customWidth="1"/>
    <col min="3" max="3" width="5.6640625" customWidth="1"/>
    <col min="4" max="4" width="5.88671875" customWidth="1"/>
    <col min="5" max="9" width="5.6640625" customWidth="1"/>
    <col min="12" max="20" width="5.6640625" customWidth="1"/>
  </cols>
  <sheetData>
    <row r="1" spans="1:19" x14ac:dyDescent="0.3">
      <c r="A1" s="35" t="s">
        <v>9</v>
      </c>
      <c r="B1" s="36"/>
      <c r="C1" s="37" t="s">
        <v>20</v>
      </c>
      <c r="D1" s="37"/>
      <c r="E1" s="37"/>
      <c r="F1" s="37"/>
      <c r="G1" s="38"/>
      <c r="I1" s="59" t="s">
        <v>24</v>
      </c>
      <c r="J1" s="58"/>
      <c r="K1" s="58"/>
      <c r="L1" s="58"/>
      <c r="M1" s="60"/>
    </row>
    <row r="2" spans="1:19" x14ac:dyDescent="0.3">
      <c r="A2" s="39" t="s">
        <v>10</v>
      </c>
      <c r="B2" s="40"/>
      <c r="C2" s="41" t="s">
        <v>21</v>
      </c>
      <c r="D2" s="41"/>
      <c r="E2" s="41"/>
      <c r="F2" s="41"/>
      <c r="G2" s="42"/>
      <c r="I2" s="47" t="s">
        <v>25</v>
      </c>
      <c r="J2" s="5"/>
      <c r="K2" s="48" t="s">
        <v>26</v>
      </c>
      <c r="L2" s="5"/>
      <c r="M2" s="49" t="s">
        <v>27</v>
      </c>
    </row>
    <row r="3" spans="1:19" ht="15" thickBot="1" x14ac:dyDescent="0.35">
      <c r="A3" s="43" t="s">
        <v>12</v>
      </c>
      <c r="B3" s="44"/>
      <c r="C3" s="45">
        <v>20000</v>
      </c>
      <c r="D3" s="45"/>
      <c r="E3" s="45"/>
      <c r="F3" s="45"/>
      <c r="G3" s="46"/>
      <c r="I3" s="21">
        <v>1280</v>
      </c>
      <c r="J3" s="22"/>
      <c r="K3" s="22">
        <v>960</v>
      </c>
      <c r="L3" s="22"/>
      <c r="M3" s="23">
        <v>300</v>
      </c>
      <c r="Q3" t="s">
        <v>34</v>
      </c>
    </row>
    <row r="4" spans="1:19" x14ac:dyDescent="0.3">
      <c r="B4" s="4"/>
      <c r="C4" s="5"/>
      <c r="D4" s="25">
        <f>D5*0.6</f>
        <v>15</v>
      </c>
      <c r="E4" s="5"/>
      <c r="F4" s="5"/>
      <c r="G4" s="5"/>
      <c r="H4" s="2">
        <f>H5*0.6</f>
        <v>30</v>
      </c>
      <c r="I4" s="14"/>
      <c r="J4" s="14"/>
      <c r="K4" s="14"/>
      <c r="L4" s="58" t="s">
        <v>31</v>
      </c>
      <c r="M4" s="58"/>
      <c r="N4" s="2">
        <f>N5*0.6</f>
        <v>15</v>
      </c>
      <c r="O4" s="14"/>
      <c r="P4" s="14"/>
      <c r="Q4" s="14"/>
      <c r="R4" s="2">
        <f>R5*0.6</f>
        <v>54</v>
      </c>
      <c r="S4" s="3"/>
    </row>
    <row r="5" spans="1:19" x14ac:dyDescent="0.3">
      <c r="B5" s="24">
        <f>L5</f>
        <v>51</v>
      </c>
      <c r="C5" s="25">
        <f t="shared" ref="C5:D5" si="0">M5</f>
        <v>24</v>
      </c>
      <c r="D5" s="25">
        <f t="shared" si="0"/>
        <v>25</v>
      </c>
      <c r="E5" s="5"/>
      <c r="F5" s="25">
        <f>F11</f>
        <v>3</v>
      </c>
      <c r="G5" s="25">
        <f t="shared" ref="G5:H5" si="1">G11</f>
        <v>33</v>
      </c>
      <c r="H5" s="25">
        <f t="shared" si="1"/>
        <v>50</v>
      </c>
      <c r="I5" s="5"/>
      <c r="J5" s="5"/>
      <c r="K5" s="5"/>
      <c r="L5" s="26">
        <v>51</v>
      </c>
      <c r="M5" s="26">
        <v>24</v>
      </c>
      <c r="N5" s="26">
        <v>25</v>
      </c>
      <c r="O5" s="48" t="s">
        <v>29</v>
      </c>
      <c r="P5" s="26">
        <v>3</v>
      </c>
      <c r="Q5" s="26">
        <v>34</v>
      </c>
      <c r="R5" s="26">
        <v>90</v>
      </c>
      <c r="S5" s="49" t="s">
        <v>30</v>
      </c>
    </row>
    <row r="6" spans="1:19" x14ac:dyDescent="0.3">
      <c r="B6" s="27">
        <f>L6</f>
        <v>51.404178000000002</v>
      </c>
      <c r="C6" s="28"/>
      <c r="D6" s="28"/>
      <c r="E6" s="5"/>
      <c r="F6" s="29">
        <f>F12</f>
        <v>3.558351</v>
      </c>
      <c r="G6" s="28"/>
      <c r="H6" s="28"/>
      <c r="I6" s="5"/>
      <c r="J6" s="5"/>
      <c r="K6" s="5"/>
      <c r="L6" s="29">
        <f>L5+(M5*$A$19)+((N5/100*60)*$A$21)</f>
        <v>51.404178000000002</v>
      </c>
      <c r="M6" s="29"/>
      <c r="N6" s="29"/>
      <c r="O6" s="5"/>
      <c r="P6" s="29">
        <f>P5+(Q5*$A$19)+((R5/100*60)*$A$21)</f>
        <v>3.58169</v>
      </c>
      <c r="Q6" s="29"/>
      <c r="R6" s="29"/>
      <c r="S6" s="6"/>
    </row>
    <row r="7" spans="1:19" x14ac:dyDescent="0.3">
      <c r="B7" s="50">
        <f>B13</f>
        <v>391</v>
      </c>
      <c r="C7" s="25">
        <f>M7</f>
        <v>295</v>
      </c>
      <c r="D7" s="18"/>
      <c r="E7" s="5"/>
      <c r="F7" s="5"/>
      <c r="G7" s="5"/>
      <c r="H7" s="5"/>
      <c r="I7" s="5"/>
      <c r="J7" s="5"/>
      <c r="K7" s="5"/>
      <c r="L7" s="26">
        <v>900</v>
      </c>
      <c r="M7" s="26">
        <v>295</v>
      </c>
      <c r="N7" s="48" t="s">
        <v>28</v>
      </c>
      <c r="O7" s="5"/>
      <c r="P7" s="5"/>
      <c r="Q7" s="5"/>
      <c r="R7" s="5"/>
      <c r="S7" s="6"/>
    </row>
    <row r="8" spans="1:19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</row>
    <row r="9" spans="1:19" x14ac:dyDescent="0.3">
      <c r="A9" s="55" t="s">
        <v>5</v>
      </c>
      <c r="B9" s="24">
        <f>(B12+B6)/2</f>
        <v>51.398346500000002</v>
      </c>
      <c r="C9" s="48" t="s">
        <v>32</v>
      </c>
      <c r="D9" s="29">
        <f>B6-B12</f>
        <v>1.1662999999998647E-2</v>
      </c>
      <c r="E9" s="29"/>
      <c r="F9" s="5"/>
      <c r="G9" s="48" t="s">
        <v>33</v>
      </c>
      <c r="H9" s="29">
        <f>P6-F6</f>
        <v>2.3338999999999999E-2</v>
      </c>
      <c r="I9" s="29"/>
      <c r="J9" s="5"/>
      <c r="K9" s="5"/>
      <c r="L9" s="5"/>
      <c r="M9" s="5"/>
      <c r="N9" s="5"/>
      <c r="O9" s="5"/>
      <c r="P9" s="5"/>
      <c r="Q9" s="5"/>
      <c r="R9" s="5"/>
      <c r="S9" s="6"/>
    </row>
    <row r="10" spans="1:19" x14ac:dyDescent="0.3">
      <c r="B10" s="4"/>
      <c r="C10" s="5"/>
      <c r="D10" s="25">
        <f>D11*0.6</f>
        <v>33</v>
      </c>
      <c r="E10" s="5"/>
      <c r="F10" s="5"/>
      <c r="G10" s="5"/>
      <c r="H10" s="25">
        <f>H11*0.6</f>
        <v>30</v>
      </c>
      <c r="I10" s="5"/>
      <c r="J10" s="5"/>
      <c r="K10" s="5"/>
      <c r="L10" s="5"/>
      <c r="M10" s="5"/>
      <c r="N10" s="25">
        <f>N11*0.6</f>
        <v>33</v>
      </c>
      <c r="O10" s="5"/>
      <c r="P10" s="5"/>
      <c r="Q10" s="5"/>
      <c r="R10" s="25">
        <f>R11*0.6</f>
        <v>54</v>
      </c>
      <c r="S10" s="6"/>
    </row>
    <row r="11" spans="1:19" x14ac:dyDescent="0.3">
      <c r="B11" s="30">
        <v>51</v>
      </c>
      <c r="C11" s="26">
        <v>23</v>
      </c>
      <c r="D11" s="26">
        <v>55</v>
      </c>
      <c r="E11" s="48" t="s">
        <v>29</v>
      </c>
      <c r="F11" s="26">
        <v>3</v>
      </c>
      <c r="G11" s="26">
        <v>33</v>
      </c>
      <c r="H11" s="26">
        <v>50</v>
      </c>
      <c r="I11" s="48" t="s">
        <v>30</v>
      </c>
      <c r="J11" s="5"/>
      <c r="K11" s="5"/>
      <c r="L11" s="25">
        <f>B11</f>
        <v>51</v>
      </c>
      <c r="M11" s="25">
        <f t="shared" ref="M11:N11" si="2">C11</f>
        <v>23</v>
      </c>
      <c r="N11" s="25">
        <f t="shared" si="2"/>
        <v>55</v>
      </c>
      <c r="O11" s="5"/>
      <c r="P11" s="25">
        <f>P5</f>
        <v>3</v>
      </c>
      <c r="Q11" s="25">
        <f t="shared" ref="Q11:R11" si="3">Q5</f>
        <v>34</v>
      </c>
      <c r="R11" s="25">
        <f t="shared" si="3"/>
        <v>90</v>
      </c>
      <c r="S11" s="6"/>
    </row>
    <row r="12" spans="1:19" x14ac:dyDescent="0.3">
      <c r="B12" s="27">
        <f>B11+(C11*$A$19)+((D11/100*60)*$A$21)</f>
        <v>51.392515000000003</v>
      </c>
      <c r="C12" s="29"/>
      <c r="D12" s="29"/>
      <c r="E12" s="5"/>
      <c r="F12" s="29">
        <f>F11+(G11*$A$19)+((H11/100*60)*$A$21)</f>
        <v>3.558351</v>
      </c>
      <c r="G12" s="29"/>
      <c r="H12" s="29"/>
      <c r="I12" s="5"/>
      <c r="J12" s="5"/>
      <c r="K12" s="5"/>
      <c r="L12" s="29">
        <f>B12</f>
        <v>51.392515000000003</v>
      </c>
      <c r="M12" s="28"/>
      <c r="N12" s="28"/>
      <c r="O12" s="5"/>
      <c r="P12" s="29">
        <f>P6</f>
        <v>3.58169</v>
      </c>
      <c r="Q12" s="28"/>
      <c r="R12" s="28"/>
      <c r="S12" s="6"/>
    </row>
    <row r="13" spans="1:19" x14ac:dyDescent="0.3">
      <c r="B13" s="31">
        <v>391</v>
      </c>
      <c r="C13" s="32">
        <v>704</v>
      </c>
      <c r="D13" s="57" t="s">
        <v>28</v>
      </c>
      <c r="E13" s="5"/>
      <c r="F13" s="33"/>
      <c r="G13" s="33"/>
      <c r="H13" s="33"/>
      <c r="I13" s="5"/>
      <c r="J13" s="5"/>
      <c r="K13" s="5"/>
      <c r="L13" s="51">
        <f>L7</f>
        <v>900</v>
      </c>
      <c r="M13" s="51">
        <f>C13</f>
        <v>704</v>
      </c>
      <c r="N13" s="56"/>
      <c r="O13" s="5"/>
      <c r="P13" s="33"/>
      <c r="Q13" s="34"/>
      <c r="R13" s="34"/>
      <c r="S13" s="6"/>
    </row>
    <row r="14" spans="1:19" ht="15" thickBot="1" x14ac:dyDescent="0.35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 x14ac:dyDescent="0.3">
      <c r="B15" t="s">
        <v>35</v>
      </c>
      <c r="H15" s="63" t="s">
        <v>19</v>
      </c>
      <c r="I15" s="64"/>
      <c r="J15" s="64"/>
      <c r="K15" s="20" t="str">
        <f>CONCATENATE(C2,".kap")</f>
        <v>MA0120S1.kap</v>
      </c>
      <c r="L15" s="6"/>
    </row>
    <row r="16" spans="1:19" x14ac:dyDescent="0.3">
      <c r="H16" s="4"/>
      <c r="I16" s="5"/>
      <c r="J16" s="5"/>
      <c r="K16" s="5"/>
      <c r="L16" s="6"/>
    </row>
    <row r="17" spans="1:19" x14ac:dyDescent="0.3">
      <c r="H17" s="7" t="str">
        <f ca="1">CONCATENATE("!MARI-caribbean ",TEXT(NOW(),"dd/mm/yy"))</f>
        <v>!MARI-caribbean 11/10/21</v>
      </c>
      <c r="I17" s="8"/>
      <c r="J17" s="8"/>
      <c r="K17" s="8"/>
      <c r="L17" s="6"/>
    </row>
    <row r="18" spans="1:19" x14ac:dyDescent="0.3">
      <c r="A18" s="55" t="s">
        <v>0</v>
      </c>
      <c r="H18" s="9" t="s">
        <v>11</v>
      </c>
      <c r="I18" s="8"/>
      <c r="J18" s="8"/>
      <c r="K18" s="8"/>
      <c r="L18" s="6"/>
    </row>
    <row r="19" spans="1:19" x14ac:dyDescent="0.3">
      <c r="A19" s="53">
        <v>1.6667000000000001E-2</v>
      </c>
      <c r="H19" s="9" t="s">
        <v>17</v>
      </c>
      <c r="I19" s="8"/>
      <c r="J19" s="8"/>
      <c r="K19" s="8"/>
      <c r="L19" s="6"/>
    </row>
    <row r="20" spans="1:19" x14ac:dyDescent="0.3">
      <c r="A20" s="55" t="s">
        <v>1</v>
      </c>
      <c r="B20" s="55" t="s">
        <v>7</v>
      </c>
      <c r="C20" s="55"/>
      <c r="D20" s="55"/>
      <c r="E20" s="55"/>
      <c r="H20" s="9" t="str">
        <f>CONCATENATE("BSB/NA=",C1," ",C2,",NU=",C2,",RA=",I3,",",K3,",DU=",M3)</f>
        <v>BSB/NA=B and NL MA0120S1,NU=MA0120S1,RA=1280,960,DU=300</v>
      </c>
      <c r="I20" s="8"/>
      <c r="J20" s="8"/>
      <c r="K20" s="8"/>
      <c r="L20" s="6"/>
    </row>
    <row r="21" spans="1:19" x14ac:dyDescent="0.3">
      <c r="A21" s="52">
        <v>2.7799999999999998E-4</v>
      </c>
      <c r="B21" s="1">
        <f>D9*A23</f>
        <v>1296.2141569998496</v>
      </c>
      <c r="C21" s="55" t="s">
        <v>6</v>
      </c>
      <c r="D21" s="1">
        <f>B21/K3</f>
        <v>1.3502230802081767</v>
      </c>
      <c r="E21" s="55" t="s">
        <v>3</v>
      </c>
      <c r="H21" s="9" t="str">
        <f>CONCATENATE("KNP/SC=",C3,",GD=WGS84,PR=MERCATOR,PP=",B9)</f>
        <v>KNP/SC=20000,GD=WGS84,PR=MERCATOR,PP=51.3983465</v>
      </c>
      <c r="I21" s="8"/>
      <c r="J21" s="8"/>
      <c r="K21" s="8"/>
      <c r="L21" s="6"/>
    </row>
    <row r="22" spans="1:19" x14ac:dyDescent="0.3">
      <c r="A22" s="55" t="s">
        <v>4</v>
      </c>
      <c r="B22" s="1">
        <f>H9*A23</f>
        <v>2593.8731209999996</v>
      </c>
      <c r="C22" s="55" t="s">
        <v>6</v>
      </c>
      <c r="D22" s="1">
        <f>B22/I3</f>
        <v>2.0264633757812498</v>
      </c>
      <c r="E22" s="55" t="s">
        <v>2</v>
      </c>
      <c r="H22" s="9" t="str">
        <f>CONCATENATE("    PI=UNKNOWN,SP=UNKNOWN,SK=0.0,TA=0.0")</f>
        <v xml:space="preserve">    PI=UNKNOWN,SP=UNKNOWN,SK=0.0,TA=0.0</v>
      </c>
      <c r="I22" s="8"/>
      <c r="J22" s="8"/>
      <c r="K22" s="8"/>
      <c r="L22" s="10"/>
    </row>
    <row r="23" spans="1:19" x14ac:dyDescent="0.3">
      <c r="A23" s="54">
        <v>111139</v>
      </c>
      <c r="H23" s="9" t="str">
        <f>CONCATENATE("    UN=METERS,SD=MEAN LOWER LOW WATER,DX=",ROUND(D22,8),",DY=",ROUND(D21,8))</f>
        <v xml:space="preserve">    UN=METERS,SD=MEAN LOWER LOW WATER,DX=2.02646338,DY=1.35022308</v>
      </c>
      <c r="I23" s="8"/>
      <c r="J23" s="8"/>
      <c r="K23" s="8"/>
      <c r="L23" s="6"/>
    </row>
    <row r="24" spans="1:19" x14ac:dyDescent="0.3">
      <c r="H24" s="9" t="str">
        <f>CONCATENATE("KNQ/EC=RF,GD=NARC,VC=UNKNOWN,SC=MLLW,PC=MC,P1=UNKNOWN,P2=",B9)</f>
        <v>KNQ/EC=RF,GD=NARC,VC=UNKNOWN,SC=MLLW,PC=MC,P1=UNKNOWN,P2=51.3983465</v>
      </c>
      <c r="I24" s="8"/>
      <c r="J24" s="8"/>
      <c r="K24" s="8"/>
      <c r="L24" s="6"/>
    </row>
    <row r="25" spans="1:19" x14ac:dyDescent="0.3">
      <c r="H25" s="9" t="str">
        <f>CONCATENATE("    P3=NOT_APPLICABLE,P4=NOT_APPLICABLE,GC=MI,RM=POLYNOMIAL")</f>
        <v xml:space="preserve">    P3=NOT_APPLICABLE,P4=NOT_APPLICABLE,GC=MI,RM=POLYNOMIAL</v>
      </c>
      <c r="I25" s="8"/>
      <c r="J25" s="8"/>
      <c r="K25" s="8"/>
      <c r="L25" s="6"/>
    </row>
    <row r="26" spans="1:19" ht="15" thickBot="1" x14ac:dyDescent="0.35">
      <c r="H26" s="9" t="s">
        <v>13</v>
      </c>
      <c r="I26" s="8"/>
      <c r="J26" s="8"/>
      <c r="K26" s="8"/>
      <c r="L26" s="6"/>
    </row>
    <row r="27" spans="1:19" x14ac:dyDescent="0.3">
      <c r="H27" s="9" t="s">
        <v>14</v>
      </c>
      <c r="I27" s="8"/>
      <c r="J27" s="8"/>
      <c r="K27" s="8"/>
      <c r="L27" s="6"/>
      <c r="M27" s="61" t="s">
        <v>18</v>
      </c>
      <c r="N27" s="62"/>
      <c r="O27" s="62"/>
      <c r="P27" s="14"/>
      <c r="Q27" s="15" t="str">
        <f>CONCATENATE(C2,"map.BSB")</f>
        <v>MA0120S1map.BSB</v>
      </c>
      <c r="R27" s="16"/>
      <c r="S27" s="17"/>
    </row>
    <row r="28" spans="1:19" x14ac:dyDescent="0.3">
      <c r="H28" s="9" t="s">
        <v>15</v>
      </c>
      <c r="I28" s="8"/>
      <c r="J28" s="8"/>
      <c r="K28" s="8"/>
      <c r="L28" s="6"/>
      <c r="M28" s="4"/>
      <c r="N28" s="5"/>
      <c r="O28" s="5"/>
      <c r="P28" s="5"/>
      <c r="Q28" s="5"/>
      <c r="R28" s="5"/>
      <c r="S28" s="6"/>
    </row>
    <row r="29" spans="1:19" x14ac:dyDescent="0.3">
      <c r="H29" s="9" t="s">
        <v>16</v>
      </c>
      <c r="I29" s="8"/>
      <c r="J29" s="8"/>
      <c r="K29" s="8"/>
      <c r="L29" s="5"/>
      <c r="M29" s="7" t="str">
        <f ca="1">CONCATENATE("CRR/MARI-caribbean ",TEXT(NOW(),"dd/mm/yy hh:mm:ss"))</f>
        <v>CRR/MARI-caribbean 11/10/21 21:50:04</v>
      </c>
      <c r="N29" s="18"/>
      <c r="O29" s="18"/>
      <c r="P29" s="18"/>
      <c r="Q29" s="5"/>
      <c r="R29" s="5"/>
      <c r="S29" s="6"/>
    </row>
    <row r="30" spans="1:19" x14ac:dyDescent="0.3">
      <c r="H30" s="9" t="str">
        <f>CONCATENATE("CHT/NA=",C1)</f>
        <v>CHT/NA=B and NL</v>
      </c>
      <c r="I30" s="8"/>
      <c r="J30" s="8"/>
      <c r="K30" s="8"/>
      <c r="L30" s="5"/>
      <c r="M30" s="7" t="s">
        <v>11</v>
      </c>
      <c r="N30" s="18"/>
      <c r="O30" s="18"/>
      <c r="P30" s="18"/>
      <c r="Q30" s="5"/>
      <c r="R30" s="5"/>
      <c r="S30" s="6"/>
    </row>
    <row r="31" spans="1:19" x14ac:dyDescent="0.3">
      <c r="H31" s="9" t="str">
        <f>CONCATENATE("REF/1,",B7,",",C7,",",B6,",",F6)</f>
        <v>REF/1,391,295,51.404178,3.558351</v>
      </c>
      <c r="I31" s="8"/>
      <c r="J31" s="8"/>
      <c r="K31" s="8"/>
      <c r="L31" s="5"/>
      <c r="M31" s="7" t="str">
        <f>CONCATENATE("CHT/NA=",C2,"map,NU=",C2)</f>
        <v>CHT/NA=MA0120S1map,NU=MA0120S1</v>
      </c>
      <c r="N31" s="18"/>
      <c r="O31" s="18"/>
      <c r="P31" s="18"/>
      <c r="Q31" s="5"/>
      <c r="R31" s="5"/>
      <c r="S31" s="6"/>
    </row>
    <row r="32" spans="1:19" x14ac:dyDescent="0.3">
      <c r="H32" s="9" t="str">
        <f>CONCATENATE("REF/2,",B13,",",C13,",",B12,",",F12)</f>
        <v>REF/2,391,704,51.392515,3.558351</v>
      </c>
      <c r="I32" s="8"/>
      <c r="J32" s="8"/>
      <c r="K32" s="8"/>
      <c r="L32" s="5"/>
      <c r="M32" s="7" t="str">
        <f ca="1">CONCATENATE("CED/SE=01,RE=01,ED=",TEXT(TODAY(),"dd/mm/yy"))</f>
        <v>CED/SE=01,RE=01,ED=11/10/21</v>
      </c>
      <c r="N32" s="18"/>
      <c r="O32" s="18"/>
      <c r="P32" s="18"/>
      <c r="Q32" s="5"/>
      <c r="R32" s="5"/>
      <c r="S32" s="6"/>
    </row>
    <row r="33" spans="8:22" x14ac:dyDescent="0.3">
      <c r="H33" s="9" t="str">
        <f>CONCATENATE("REF/3,",L7,",",M7,",",L6,",",P6)</f>
        <v>REF/3,900,295,51.404178,3.58169</v>
      </c>
      <c r="I33" s="8"/>
      <c r="J33" s="8"/>
      <c r="K33" s="8"/>
      <c r="L33" s="5"/>
      <c r="M33" s="7" t="str">
        <f>CONCATENATE("K01/NA=",C2,"map,NU=",C2,",TY=BASE,FN=",C2,"map.KAP")</f>
        <v>K01/NA=MA0120S1map,NU=MA0120S1,TY=BASE,FN=MA0120S1map.KAP</v>
      </c>
      <c r="N33" s="18"/>
      <c r="O33" s="18"/>
      <c r="P33" s="18"/>
      <c r="Q33" s="5"/>
      <c r="R33" s="5"/>
      <c r="S33" s="6"/>
    </row>
    <row r="34" spans="8:22" ht="15" thickBot="1" x14ac:dyDescent="0.35">
      <c r="H34" s="9" t="str">
        <f>CONCATENATE("REF/4,",L13,",",M13,",",L12,",",P12)</f>
        <v>REF/4,900,704,51.392515,3.58169</v>
      </c>
      <c r="I34" s="8"/>
      <c r="J34" s="8"/>
      <c r="K34" s="8"/>
      <c r="L34" s="5"/>
      <c r="M34" s="11"/>
      <c r="N34" s="19"/>
      <c r="O34" s="12"/>
      <c r="P34" s="12"/>
      <c r="Q34" s="12"/>
      <c r="R34" s="12"/>
      <c r="S34" s="13"/>
    </row>
    <row r="35" spans="8:22" x14ac:dyDescent="0.3">
      <c r="H35" s="9" t="str">
        <f>CONCATENATE("PLY/1,",B12,",",F12)</f>
        <v>PLY/1,51.392515,3.558351</v>
      </c>
      <c r="I35" s="8"/>
      <c r="J35" s="8"/>
      <c r="K35" s="8"/>
      <c r="L35" s="6"/>
      <c r="M35" s="61" t="s">
        <v>22</v>
      </c>
      <c r="N35" s="62"/>
      <c r="O35" s="62"/>
      <c r="P35" s="14"/>
      <c r="Q35" s="14"/>
      <c r="R35" s="14"/>
      <c r="S35" s="14"/>
      <c r="T35" s="14"/>
      <c r="U35" s="14"/>
      <c r="V35" s="3"/>
    </row>
    <row r="36" spans="8:22" x14ac:dyDescent="0.3">
      <c r="H36" s="9" t="str">
        <f>CONCATENATE("PLY/2,",B6,",",F6)</f>
        <v>PLY/2,51.404178,3.558351</v>
      </c>
      <c r="I36" s="8"/>
      <c r="J36" s="8"/>
      <c r="K36" s="8"/>
      <c r="L36" s="6"/>
      <c r="M36" s="7" t="str">
        <f>CONCATENATE("imgkap ",C2,".png ",K15," ",C2,"mapN.kap -p MAP")</f>
        <v>imgkap MA0120S1.png MA0120S1.kap MA0120S1mapN.kap -p MAP</v>
      </c>
      <c r="N36" s="5"/>
      <c r="O36" s="5"/>
      <c r="P36" s="5"/>
      <c r="Q36" s="5"/>
      <c r="R36" s="5"/>
      <c r="S36" s="5"/>
      <c r="T36" s="5"/>
      <c r="U36" s="5"/>
      <c r="V36" s="6"/>
    </row>
    <row r="37" spans="8:22" x14ac:dyDescent="0.3">
      <c r="H37" s="9" t="str">
        <f>CONCATENATE("PLY/3,",L6,",",P6)</f>
        <v>PLY/3,51.404178,3.58169</v>
      </c>
      <c r="I37" s="8"/>
      <c r="J37" s="8"/>
      <c r="K37" s="8"/>
      <c r="L37" s="6"/>
      <c r="M37" s="4"/>
      <c r="N37" s="5"/>
      <c r="O37" s="5"/>
      <c r="P37" s="5"/>
      <c r="Q37" s="5"/>
      <c r="R37" s="5"/>
      <c r="S37" s="5"/>
      <c r="T37" s="5"/>
      <c r="U37" s="5"/>
      <c r="V37" s="6"/>
    </row>
    <row r="38" spans="8:22" x14ac:dyDescent="0.3">
      <c r="H38" s="9" t="str">
        <f>CONCATENATE("PLY/4,",L12,",",P12)</f>
        <v>PLY/4,51.392515,3.58169</v>
      </c>
      <c r="I38" s="8"/>
      <c r="J38" s="8"/>
      <c r="K38" s="8"/>
      <c r="L38" s="6"/>
      <c r="M38" s="4" t="s">
        <v>23</v>
      </c>
      <c r="N38" s="5"/>
      <c r="O38" s="5"/>
      <c r="P38" s="5"/>
      <c r="Q38" s="5"/>
      <c r="R38" s="5"/>
      <c r="S38" s="5"/>
      <c r="T38" s="5"/>
      <c r="U38" s="5"/>
      <c r="V38" s="6"/>
    </row>
    <row r="39" spans="8:22" x14ac:dyDescent="0.3">
      <c r="H39" s="9" t="s">
        <v>8</v>
      </c>
      <c r="I39" s="8"/>
      <c r="J39" s="8"/>
      <c r="K39" s="8"/>
      <c r="L39" s="6"/>
      <c r="M39" s="7" t="str">
        <f>CONCATENATE("imgkap ",C2,".png ",K15," ",C2,"map.kap")</f>
        <v>imgkap MA0120S1.png MA0120S1.kap MA0120S1map.kap</v>
      </c>
      <c r="N39" s="5"/>
      <c r="O39" s="5"/>
      <c r="P39" s="5"/>
      <c r="Q39" s="5"/>
      <c r="R39" s="5"/>
      <c r="S39" s="5"/>
      <c r="T39" s="5"/>
      <c r="U39" s="5"/>
      <c r="V39" s="6"/>
    </row>
    <row r="40" spans="8:22" ht="15" thickBot="1" x14ac:dyDescent="0.35">
      <c r="H40" s="11"/>
      <c r="I40" s="12"/>
      <c r="J40" s="12"/>
      <c r="K40" s="12"/>
      <c r="L40" s="13"/>
      <c r="M40" s="11"/>
      <c r="N40" s="12"/>
      <c r="O40" s="12"/>
      <c r="P40" s="12"/>
      <c r="Q40" s="12"/>
      <c r="R40" s="12"/>
      <c r="S40" s="12"/>
      <c r="T40" s="12"/>
      <c r="U40" s="12"/>
      <c r="V40" s="13"/>
    </row>
  </sheetData>
  <mergeCells count="16">
    <mergeCell ref="A1:B1"/>
    <mergeCell ref="A3:B3"/>
    <mergeCell ref="C3:G3"/>
    <mergeCell ref="C2:G2"/>
    <mergeCell ref="C1:G1"/>
    <mergeCell ref="A2:B2"/>
    <mergeCell ref="D9:E9"/>
    <mergeCell ref="H9:I9"/>
    <mergeCell ref="B12:D12"/>
    <mergeCell ref="B6:D6"/>
    <mergeCell ref="F6:H6"/>
    <mergeCell ref="F12:H12"/>
    <mergeCell ref="L6:N6"/>
    <mergeCell ref="P6:R6"/>
    <mergeCell ref="L12:N12"/>
    <mergeCell ref="P12:R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Maijen</dc:creator>
  <cp:lastModifiedBy>Bastiaan Maijen</cp:lastModifiedBy>
  <dcterms:created xsi:type="dcterms:W3CDTF">2021-10-10T18:24:22Z</dcterms:created>
  <dcterms:modified xsi:type="dcterms:W3CDTF">2021-10-12T01:50:59Z</dcterms:modified>
</cp:coreProperties>
</file>