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aan Maijen\Desktop\imgkap\"/>
    </mc:Choice>
  </mc:AlternateContent>
  <xr:revisionPtr revIDLastSave="0" documentId="13_ncr:1_{07F4EAB7-817F-41FB-81FA-C74CBDA23282}" xr6:coauthVersionLast="47" xr6:coauthVersionMax="47" xr10:uidLastSave="{00000000-0000-0000-0000-000000000000}"/>
  <bookViews>
    <workbookView xWindow="-108" yWindow="-108" windowWidth="23256" windowHeight="12576" xr2:uid="{6C215D96-3E45-4724-8C29-D814B73E4063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L7" i="2"/>
  <c r="H9" i="2"/>
  <c r="D9" i="2"/>
  <c r="B9" i="2"/>
  <c r="K5" i="2"/>
  <c r="L5" i="2"/>
  <c r="L4" i="2" s="1"/>
  <c r="J5" i="2"/>
  <c r="P4" i="2"/>
  <c r="N6" i="2"/>
  <c r="K15" i="1"/>
  <c r="M36" i="1" s="1"/>
  <c r="C7" i="1"/>
  <c r="B7" i="1"/>
  <c r="P15" i="2"/>
  <c r="S29" i="2" s="1"/>
  <c r="S13" i="2"/>
  <c r="U13" i="2"/>
  <c r="B7" i="2"/>
  <c r="G29" i="2"/>
  <c r="G24" i="2"/>
  <c r="G21" i="2"/>
  <c r="S20" i="2"/>
  <c r="S19" i="2"/>
  <c r="G19" i="2"/>
  <c r="S18" i="2"/>
  <c r="S16" i="2"/>
  <c r="G16" i="2"/>
  <c r="W15" i="2"/>
  <c r="F12" i="2"/>
  <c r="F6" i="2" s="1"/>
  <c r="B12" i="2"/>
  <c r="Y11" i="2"/>
  <c r="Y10" i="2" s="1"/>
  <c r="X11" i="2"/>
  <c r="W11" i="2"/>
  <c r="U11" i="2"/>
  <c r="U10" i="2" s="1"/>
  <c r="T11" i="2"/>
  <c r="S11" i="2"/>
  <c r="H10" i="2"/>
  <c r="D10" i="2"/>
  <c r="W6" i="2"/>
  <c r="S6" i="2"/>
  <c r="H5" i="2"/>
  <c r="H4" i="2" s="1"/>
  <c r="G5" i="2"/>
  <c r="F5" i="2"/>
  <c r="D4" i="2"/>
  <c r="Y4" i="2"/>
  <c r="U4" i="2"/>
  <c r="H17" i="1"/>
  <c r="Q27" i="1"/>
  <c r="M33" i="1"/>
  <c r="M32" i="1"/>
  <c r="M31" i="1"/>
  <c r="R4" i="1"/>
  <c r="N4" i="1"/>
  <c r="D10" i="1"/>
  <c r="H10" i="1"/>
  <c r="H25" i="1"/>
  <c r="H22" i="1"/>
  <c r="H20" i="1"/>
  <c r="H30" i="1"/>
  <c r="M13" i="1"/>
  <c r="L13" i="1"/>
  <c r="P6" i="1"/>
  <c r="P12" i="1" s="1"/>
  <c r="L6" i="1"/>
  <c r="B6" i="1" s="1"/>
  <c r="F12" i="1"/>
  <c r="B12" i="1"/>
  <c r="L12" i="1" s="1"/>
  <c r="H34" i="1" s="1"/>
  <c r="M11" i="1"/>
  <c r="N11" i="1"/>
  <c r="N10" i="1" s="1"/>
  <c r="L11" i="1"/>
  <c r="Q11" i="1"/>
  <c r="R11" i="1"/>
  <c r="R10" i="1" s="1"/>
  <c r="P11" i="1"/>
  <c r="C5" i="1"/>
  <c r="D5" i="1"/>
  <c r="D4" i="1" s="1"/>
  <c r="B5" i="1"/>
  <c r="G5" i="1"/>
  <c r="H5" i="1"/>
  <c r="H4" i="1" s="1"/>
  <c r="F5" i="1"/>
  <c r="H31" i="1" l="1"/>
  <c r="H32" i="1"/>
  <c r="H33" i="1"/>
  <c r="M39" i="1"/>
  <c r="J6" i="2"/>
  <c r="G32" i="2" s="1"/>
  <c r="G38" i="2"/>
  <c r="G33" i="2"/>
  <c r="G31" i="2"/>
  <c r="B19" i="2"/>
  <c r="D19" i="2" s="1"/>
  <c r="B6" i="2"/>
  <c r="G36" i="2" s="1"/>
  <c r="S12" i="2"/>
  <c r="G35" i="2"/>
  <c r="W12" i="2"/>
  <c r="G34" i="2" s="1"/>
  <c r="H38" i="1"/>
  <c r="H35" i="1"/>
  <c r="H37" i="1"/>
  <c r="D9" i="1"/>
  <c r="B21" i="1" s="1"/>
  <c r="D21" i="1" s="1"/>
  <c r="B9" i="1"/>
  <c r="F6" i="1"/>
  <c r="G37" i="2" l="1"/>
  <c r="G39" i="2"/>
  <c r="B18" i="2"/>
  <c r="D18" i="2" s="1"/>
  <c r="G22" i="2" s="1"/>
  <c r="G30" i="2"/>
  <c r="H36" i="1"/>
  <c r="H24" i="1"/>
  <c r="H21" i="1"/>
  <c r="H9" i="1"/>
  <c r="B22" i="1" s="1"/>
  <c r="D22" i="1" s="1"/>
  <c r="H23" i="1" s="1"/>
  <c r="G23" i="2" l="1"/>
  <c r="G20" i="2"/>
</calcChain>
</file>

<file path=xl/sharedStrings.xml><?xml version="1.0" encoding="utf-8"?>
<sst xmlns="http://schemas.openxmlformats.org/spreadsheetml/2006/main" count="80" uniqueCount="45">
  <si>
    <t>per min</t>
  </si>
  <si>
    <t>per sec</t>
  </si>
  <si>
    <t>x</t>
  </si>
  <si>
    <t>y</t>
  </si>
  <si>
    <t>,</t>
  </si>
  <si>
    <t>m/per deg</t>
  </si>
  <si>
    <t>mean</t>
  </si>
  <si>
    <t>m</t>
  </si>
  <si>
    <t>chart meters height (y)</t>
  </si>
  <si>
    <t>diffx</t>
  </si>
  <si>
    <t>diffy</t>
  </si>
  <si>
    <t>PLY/1,51.813333,3.845</t>
  </si>
  <si>
    <t>PLY/2,51.876667,3.845</t>
  </si>
  <si>
    <t>PLY/3,51.876667,4.073333</t>
  </si>
  <si>
    <t>PLY/4,51.813333,4.073333</t>
  </si>
  <si>
    <t>DMT/0.0,0.0</t>
  </si>
  <si>
    <t>ZONE:</t>
  </si>
  <si>
    <t>B &amp; NL</t>
  </si>
  <si>
    <t>Map name</t>
  </si>
  <si>
    <t>VER/3.0</t>
  </si>
  <si>
    <t>Scale</t>
  </si>
  <si>
    <t>OST/1</t>
  </si>
  <si>
    <t>CED/SE=01,RE=01,ED=01/01/2000</t>
  </si>
  <si>
    <t>NTM/NE=00.00,ND=01/01/2000,BF=on,BD=01/01/2000</t>
  </si>
  <si>
    <t>IFM/3</t>
  </si>
  <si>
    <t>CRR/2021, MARI-caribbean</t>
  </si>
  <si>
    <t>BSB file format</t>
  </si>
  <si>
    <t>kap file format</t>
  </si>
  <si>
    <t>MA0110S0</t>
  </si>
  <si>
    <t>MA0112S1</t>
  </si>
  <si>
    <t>B and NL</t>
  </si>
  <si>
    <t xml:space="preserve">IMGKAP copy paste </t>
  </si>
  <si>
    <t>NO NIGHT</t>
  </si>
  <si>
    <t>IMAGE SIZE</t>
  </si>
  <si>
    <t>X</t>
  </si>
  <si>
    <t>Y</t>
  </si>
  <si>
    <t>DPI</t>
  </si>
  <si>
    <t>PX</t>
  </si>
  <si>
    <t>LAT</t>
  </si>
  <si>
    <t>LON</t>
  </si>
  <si>
    <t>real seconds</t>
  </si>
  <si>
    <t>diff Y</t>
  </si>
  <si>
    <t>diff X</t>
  </si>
  <si>
    <t>TOP RIGHT CORNER</t>
  </si>
  <si>
    <t>BOTTOM LEFT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</si>
</sst>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"/>
    <numFmt numFmtId="169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8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5" borderId="0" xfId="0" applyNumberFormat="1" applyFill="1" applyAlignment="1">
      <alignment horizontal="center"/>
    </xf>
    <xf numFmtId="16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3" fontId="2" fillId="0" borderId="0" xfId="0" applyNumberFormat="1" applyFont="1"/>
    <xf numFmtId="169" fontId="0" fillId="3" borderId="0" xfId="0" applyNumberForma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169" fontId="0" fillId="2" borderId="0" xfId="0" applyNumberFormat="1" applyFill="1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0" fillId="8" borderId="0" xfId="0" applyFill="1"/>
    <xf numFmtId="1" fontId="0" fillId="5" borderId="0" xfId="0" applyNumberFormat="1" applyFill="1"/>
    <xf numFmtId="0" fontId="0" fillId="8" borderId="0" xfId="0" applyFill="1" applyAlignment="1"/>
    <xf numFmtId="0" fontId="0" fillId="3" borderId="0" xfId="0" applyFill="1" applyAlignment="1"/>
    <xf numFmtId="169" fontId="0" fillId="3" borderId="0" xfId="0" applyNumberFormat="1" applyFill="1" applyAlignment="1">
      <alignment horizontal="center"/>
    </xf>
    <xf numFmtId="0" fontId="1" fillId="10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0" borderId="0" xfId="0" applyFill="1" applyBorder="1" applyAlignment="1"/>
    <xf numFmtId="0" fontId="0" fillId="2" borderId="4" xfId="0" applyFill="1" applyBorder="1" applyAlignment="1"/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2" borderId="2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0" xfId="0" applyFill="1" applyBorder="1"/>
    <xf numFmtId="0" fontId="0" fillId="0" borderId="7" xfId="0" applyBorder="1" applyAlignment="1"/>
    <xf numFmtId="0" fontId="0" fillId="0" borderId="1" xfId="0" applyBorder="1"/>
    <xf numFmtId="0" fontId="0" fillId="2" borderId="0" xfId="0" applyFill="1" applyBorder="1"/>
    <xf numFmtId="0" fontId="0" fillId="9" borderId="4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/>
    <xf numFmtId="0" fontId="0" fillId="3" borderId="4" xfId="0" applyFill="1" applyBorder="1"/>
    <xf numFmtId="0" fontId="0" fillId="3" borderId="0" xfId="0" applyFill="1" applyBorder="1"/>
    <xf numFmtId="0" fontId="0" fillId="7" borderId="0" xfId="0" applyFill="1" applyBorder="1"/>
    <xf numFmtId="169" fontId="0" fillId="3" borderId="4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9" fontId="0" fillId="3" borderId="0" xfId="0" applyNumberFormat="1" applyFill="1" applyBorder="1" applyAlignment="1">
      <alignment horizontal="center"/>
    </xf>
    <xf numFmtId="0" fontId="0" fillId="7" borderId="4" xfId="0" applyFill="1" applyBorder="1"/>
    <xf numFmtId="1" fontId="0" fillId="7" borderId="4" xfId="0" applyNumberFormat="1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1" fontId="0" fillId="3" borderId="4" xfId="0" applyNumberFormat="1" applyFill="1" applyBorder="1"/>
    <xf numFmtId="1" fontId="0" fillId="3" borderId="0" xfId="0" applyNumberFormat="1" applyFill="1" applyBorder="1" applyAlignment="1">
      <alignment horizontal="center"/>
    </xf>
    <xf numFmtId="0" fontId="0" fillId="12" borderId="0" xfId="0" applyFill="1"/>
    <xf numFmtId="168" fontId="0" fillId="12" borderId="0" xfId="0" applyNumberFormat="1" applyFill="1"/>
    <xf numFmtId="3" fontId="2" fillId="12" borderId="0" xfId="0" applyNumberFormat="1" applyFont="1" applyFill="1"/>
    <xf numFmtId="0" fontId="0" fillId="11" borderId="0" xfId="0" applyFill="1"/>
    <xf numFmtId="0" fontId="0" fillId="0" borderId="0" xfId="0" applyFill="1" applyBorder="1" applyAlignment="1">
      <alignment horizontal="center"/>
    </xf>
    <xf numFmtId="169" fontId="0" fillId="11" borderId="0" xfId="0" applyNumberFormat="1" applyFill="1" applyBorder="1" applyAlignment="1">
      <alignment horizontal="center"/>
    </xf>
    <xf numFmtId="0" fontId="0" fillId="11" borderId="2" xfId="0" applyFill="1" applyBorder="1"/>
    <xf numFmtId="0" fontId="0" fillId="11" borderId="1" xfId="0" applyFill="1" applyBorder="1"/>
    <xf numFmtId="0" fontId="0" fillId="11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503A-4E69-417A-9999-6C4F14B10F49}">
  <dimension ref="A1:V40"/>
  <sheetViews>
    <sheetView tabSelected="1" zoomScale="85" zoomScaleNormal="85" workbookViewId="0">
      <selection activeCell="B25" sqref="B25"/>
    </sheetView>
  </sheetViews>
  <sheetFormatPr defaultRowHeight="14.4" x14ac:dyDescent="0.3"/>
  <cols>
    <col min="1" max="1" width="11.6640625" customWidth="1"/>
    <col min="2" max="2" width="9.88671875" customWidth="1"/>
    <col min="3" max="3" width="5.6640625" customWidth="1"/>
    <col min="4" max="4" width="5.88671875" customWidth="1"/>
    <col min="5" max="9" width="5.6640625" customWidth="1"/>
    <col min="12" max="20" width="5.6640625" customWidth="1"/>
  </cols>
  <sheetData>
    <row r="1" spans="1:19" x14ac:dyDescent="0.3">
      <c r="A1" s="63" t="s">
        <v>16</v>
      </c>
      <c r="B1" s="64"/>
      <c r="C1" s="65" t="s">
        <v>30</v>
      </c>
      <c r="D1" s="65"/>
      <c r="E1" s="65"/>
      <c r="F1" s="65"/>
      <c r="G1" s="66"/>
    </row>
    <row r="2" spans="1:19" x14ac:dyDescent="0.3">
      <c r="A2" s="67" t="s">
        <v>18</v>
      </c>
      <c r="B2" s="68"/>
      <c r="C2" s="69" t="s">
        <v>28</v>
      </c>
      <c r="D2" s="69"/>
      <c r="E2" s="69"/>
      <c r="F2" s="69"/>
      <c r="G2" s="70"/>
    </row>
    <row r="3" spans="1:19" ht="15" thickBot="1" x14ac:dyDescent="0.35">
      <c r="A3" s="71" t="s">
        <v>20</v>
      </c>
      <c r="B3" s="72"/>
      <c r="C3" s="73">
        <v>75000</v>
      </c>
      <c r="D3" s="73"/>
      <c r="E3" s="73"/>
      <c r="F3" s="73"/>
      <c r="G3" s="74"/>
      <c r="Q3" t="s">
        <v>43</v>
      </c>
    </row>
    <row r="4" spans="1:19" x14ac:dyDescent="0.3">
      <c r="B4" s="30"/>
      <c r="C4" s="31"/>
      <c r="D4" s="53">
        <f>D5*0.6</f>
        <v>30</v>
      </c>
      <c r="E4" s="31"/>
      <c r="F4" s="31"/>
      <c r="G4" s="31"/>
      <c r="H4" s="28">
        <f>H5*0.6</f>
        <v>0</v>
      </c>
      <c r="I4" s="40"/>
      <c r="J4" s="40"/>
      <c r="K4" s="40"/>
      <c r="L4" s="86" t="s">
        <v>40</v>
      </c>
      <c r="M4" s="86"/>
      <c r="N4" s="28">
        <f>N5*0.6</f>
        <v>30</v>
      </c>
      <c r="O4" s="40"/>
      <c r="P4" s="40"/>
      <c r="Q4" s="40"/>
      <c r="R4" s="28">
        <f>R5*0.6</f>
        <v>42</v>
      </c>
      <c r="S4" s="29"/>
    </row>
    <row r="5" spans="1:19" x14ac:dyDescent="0.3">
      <c r="B5" s="52">
        <f>L5</f>
        <v>51</v>
      </c>
      <c r="C5" s="53">
        <f t="shared" ref="C5:D5" si="0">M5</f>
        <v>58</v>
      </c>
      <c r="D5" s="53">
        <f t="shared" si="0"/>
        <v>50</v>
      </c>
      <c r="E5" s="31"/>
      <c r="F5" s="53">
        <f>F11</f>
        <v>2</v>
      </c>
      <c r="G5" s="53">
        <f t="shared" ref="G5:H5" si="1">G11</f>
        <v>57</v>
      </c>
      <c r="H5" s="53">
        <f t="shared" si="1"/>
        <v>0</v>
      </c>
      <c r="I5" s="31"/>
      <c r="J5" s="31"/>
      <c r="K5" s="31"/>
      <c r="L5" s="54">
        <v>51</v>
      </c>
      <c r="M5" s="54">
        <v>58</v>
      </c>
      <c r="N5" s="54">
        <v>50</v>
      </c>
      <c r="O5" s="76" t="s">
        <v>38</v>
      </c>
      <c r="P5" s="54">
        <v>4</v>
      </c>
      <c r="Q5" s="54">
        <v>8</v>
      </c>
      <c r="R5" s="54">
        <v>70</v>
      </c>
      <c r="S5" s="77" t="s">
        <v>39</v>
      </c>
    </row>
    <row r="6" spans="1:19" x14ac:dyDescent="0.3">
      <c r="B6" s="55">
        <f>L6</f>
        <v>51.975026</v>
      </c>
      <c r="C6" s="56"/>
      <c r="D6" s="56"/>
      <c r="E6" s="31"/>
      <c r="F6" s="57">
        <f>F12</f>
        <v>2.9500190000000002</v>
      </c>
      <c r="G6" s="56"/>
      <c r="H6" s="56"/>
      <c r="I6" s="31"/>
      <c r="J6" s="31"/>
      <c r="K6" s="31"/>
      <c r="L6" s="57">
        <f>L5+(M5*$A$19)+((N5/100*60)*$A$21)</f>
        <v>51.975026</v>
      </c>
      <c r="M6" s="57"/>
      <c r="N6" s="57"/>
      <c r="O6" s="31"/>
      <c r="P6" s="57">
        <f>P5+(Q5*$A$19)+((R5/100*60)*$A$21)</f>
        <v>4.1450119999999995</v>
      </c>
      <c r="Q6" s="57"/>
      <c r="R6" s="57"/>
      <c r="S6" s="32"/>
    </row>
    <row r="7" spans="1:19" x14ac:dyDescent="0.3">
      <c r="B7" s="78">
        <f>B13</f>
        <v>440</v>
      </c>
      <c r="C7" s="53">
        <f>M7</f>
        <v>331</v>
      </c>
      <c r="D7" s="44"/>
      <c r="E7" s="31"/>
      <c r="F7" s="31"/>
      <c r="G7" s="31"/>
      <c r="H7" s="31"/>
      <c r="I7" s="31"/>
      <c r="J7" s="31"/>
      <c r="K7" s="31"/>
      <c r="L7" s="54">
        <v>7339</v>
      </c>
      <c r="M7" s="54">
        <v>331</v>
      </c>
      <c r="N7" s="76" t="s">
        <v>37</v>
      </c>
      <c r="O7" s="31"/>
      <c r="P7" s="31"/>
      <c r="Q7" s="31"/>
      <c r="R7" s="31"/>
      <c r="S7" s="32"/>
    </row>
    <row r="8" spans="1:19" x14ac:dyDescent="0.3"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2"/>
    </row>
    <row r="9" spans="1:19" x14ac:dyDescent="0.3">
      <c r="A9" s="83" t="s">
        <v>6</v>
      </c>
      <c r="B9" s="52">
        <f>(B12+B6)/2</f>
        <v>51.755853000000002</v>
      </c>
      <c r="C9" s="76" t="s">
        <v>41</v>
      </c>
      <c r="D9" s="57">
        <f>B6-B12</f>
        <v>0.43834600000000279</v>
      </c>
      <c r="E9" s="57"/>
      <c r="F9" s="31"/>
      <c r="G9" s="76" t="s">
        <v>42</v>
      </c>
      <c r="H9" s="57">
        <f>P6-F6</f>
        <v>1.1949929999999993</v>
      </c>
      <c r="I9" s="57"/>
      <c r="J9" s="31"/>
      <c r="K9" s="31"/>
      <c r="L9" s="31"/>
      <c r="M9" s="31"/>
      <c r="N9" s="31"/>
      <c r="O9" s="31"/>
      <c r="P9" s="31"/>
      <c r="Q9" s="31"/>
      <c r="R9" s="31"/>
      <c r="S9" s="32"/>
    </row>
    <row r="10" spans="1:19" x14ac:dyDescent="0.3">
      <c r="B10" s="30"/>
      <c r="C10" s="31"/>
      <c r="D10" s="53">
        <f>D11*0.6</f>
        <v>12</v>
      </c>
      <c r="E10" s="31"/>
      <c r="F10" s="31"/>
      <c r="G10" s="31"/>
      <c r="H10" s="53">
        <f>H11*0.6</f>
        <v>0</v>
      </c>
      <c r="I10" s="31"/>
      <c r="J10" s="31"/>
      <c r="K10" s="31"/>
      <c r="L10" s="31"/>
      <c r="M10" s="31"/>
      <c r="N10" s="53">
        <f>N11*0.6</f>
        <v>12</v>
      </c>
      <c r="O10" s="31"/>
      <c r="P10" s="31"/>
      <c r="Q10" s="31"/>
      <c r="R10" s="53">
        <f>R11*0.6</f>
        <v>42</v>
      </c>
      <c r="S10" s="32"/>
    </row>
    <row r="11" spans="1:19" x14ac:dyDescent="0.3">
      <c r="B11" s="58">
        <v>51</v>
      </c>
      <c r="C11" s="54">
        <v>32</v>
      </c>
      <c r="D11" s="54">
        <v>20</v>
      </c>
      <c r="E11" s="76" t="s">
        <v>38</v>
      </c>
      <c r="F11" s="54">
        <v>2</v>
      </c>
      <c r="G11" s="54">
        <v>57</v>
      </c>
      <c r="H11" s="54">
        <v>0</v>
      </c>
      <c r="I11" s="76" t="s">
        <v>39</v>
      </c>
      <c r="J11" s="31"/>
      <c r="K11" s="31"/>
      <c r="L11" s="53">
        <f>B11</f>
        <v>51</v>
      </c>
      <c r="M11" s="53">
        <f t="shared" ref="M11:N11" si="2">C11</f>
        <v>32</v>
      </c>
      <c r="N11" s="53">
        <f t="shared" si="2"/>
        <v>20</v>
      </c>
      <c r="O11" s="31"/>
      <c r="P11" s="53">
        <f>P5</f>
        <v>4</v>
      </c>
      <c r="Q11" s="53">
        <f t="shared" ref="Q11:R11" si="3">Q5</f>
        <v>8</v>
      </c>
      <c r="R11" s="53">
        <f t="shared" si="3"/>
        <v>70</v>
      </c>
      <c r="S11" s="32"/>
    </row>
    <row r="12" spans="1:19" x14ac:dyDescent="0.3">
      <c r="B12" s="55">
        <f>B11+(C11*$A$19)+((D11/100*60)*$A$21)</f>
        <v>51.536679999999997</v>
      </c>
      <c r="C12" s="57"/>
      <c r="D12" s="57"/>
      <c r="E12" s="31"/>
      <c r="F12" s="57">
        <f>F11+(G11*$A$19)+((H11/100*60)*$A$21)</f>
        <v>2.9500190000000002</v>
      </c>
      <c r="G12" s="57"/>
      <c r="H12" s="57"/>
      <c r="I12" s="31"/>
      <c r="J12" s="31"/>
      <c r="K12" s="31"/>
      <c r="L12" s="57">
        <f>B12</f>
        <v>51.536679999999997</v>
      </c>
      <c r="M12" s="56"/>
      <c r="N12" s="56"/>
      <c r="O12" s="31"/>
      <c r="P12" s="57">
        <f>P6</f>
        <v>4.1450119999999995</v>
      </c>
      <c r="Q12" s="56"/>
      <c r="R12" s="56"/>
      <c r="S12" s="32"/>
    </row>
    <row r="13" spans="1:19" x14ac:dyDescent="0.3">
      <c r="B13" s="59">
        <v>440</v>
      </c>
      <c r="C13" s="60">
        <v>4416</v>
      </c>
      <c r="D13" s="85" t="s">
        <v>37</v>
      </c>
      <c r="E13" s="31"/>
      <c r="F13" s="61"/>
      <c r="G13" s="61"/>
      <c r="H13" s="61"/>
      <c r="I13" s="31"/>
      <c r="J13" s="31"/>
      <c r="K13" s="31"/>
      <c r="L13" s="79">
        <f>L7</f>
        <v>7339</v>
      </c>
      <c r="M13" s="79">
        <f>C13</f>
        <v>4416</v>
      </c>
      <c r="N13" s="84"/>
      <c r="O13" s="31"/>
      <c r="P13" s="61"/>
      <c r="Q13" s="62"/>
      <c r="R13" s="62"/>
      <c r="S13" s="32"/>
    </row>
    <row r="14" spans="1:19" ht="15" thickBot="1" x14ac:dyDescent="0.35"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9"/>
    </row>
    <row r="15" spans="1:19" x14ac:dyDescent="0.3">
      <c r="B15" t="s">
        <v>44</v>
      </c>
      <c r="H15" s="52" t="s">
        <v>27</v>
      </c>
      <c r="I15" s="53"/>
      <c r="J15" s="53"/>
      <c r="K15" s="47" t="str">
        <f>CONCATENATE(C2,".kap")</f>
        <v>MA0110S0.kap</v>
      </c>
      <c r="L15" s="32"/>
    </row>
    <row r="16" spans="1:19" ht="15" thickBot="1" x14ac:dyDescent="0.35">
      <c r="H16" s="30"/>
      <c r="I16" s="31"/>
      <c r="J16" s="31"/>
      <c r="K16" s="31"/>
      <c r="L16" s="32"/>
    </row>
    <row r="17" spans="1:19" x14ac:dyDescent="0.3">
      <c r="B17" s="87" t="s">
        <v>33</v>
      </c>
      <c r="C17" s="86"/>
      <c r="D17" s="86"/>
      <c r="E17" s="86"/>
      <c r="F17" s="88"/>
      <c r="H17" s="33" t="str">
        <f ca="1">CONCATENATE("!MARI-caribbean ",TEXT(NOW(),"dd/mm/yy"))</f>
        <v>!MARI-caribbean 11/10/21</v>
      </c>
      <c r="I17" s="34"/>
      <c r="J17" s="34"/>
      <c r="K17" s="34"/>
      <c r="L17" s="32"/>
    </row>
    <row r="18" spans="1:19" x14ac:dyDescent="0.3">
      <c r="A18" s="83" t="s">
        <v>0</v>
      </c>
      <c r="B18" s="75" t="s">
        <v>34</v>
      </c>
      <c r="C18" s="31"/>
      <c r="D18" s="76" t="s">
        <v>35</v>
      </c>
      <c r="E18" s="31"/>
      <c r="F18" s="77" t="s">
        <v>36</v>
      </c>
      <c r="H18" s="35" t="s">
        <v>19</v>
      </c>
      <c r="I18" s="34"/>
      <c r="J18" s="34"/>
      <c r="K18" s="34"/>
      <c r="L18" s="32"/>
    </row>
    <row r="19" spans="1:19" ht="15" thickBot="1" x14ac:dyDescent="0.35">
      <c r="A19" s="81">
        <v>1.6667000000000001E-2</v>
      </c>
      <c r="B19" s="49">
        <v>7680</v>
      </c>
      <c r="C19" s="50"/>
      <c r="D19" s="50">
        <v>4800</v>
      </c>
      <c r="E19" s="50"/>
      <c r="F19" s="51">
        <v>300</v>
      </c>
      <c r="H19" s="35" t="s">
        <v>25</v>
      </c>
      <c r="I19" s="34"/>
      <c r="J19" s="34"/>
      <c r="K19" s="34"/>
      <c r="L19" s="32"/>
    </row>
    <row r="20" spans="1:19" x14ac:dyDescent="0.3">
      <c r="A20" s="83" t="s">
        <v>1</v>
      </c>
      <c r="B20" s="83" t="s">
        <v>8</v>
      </c>
      <c r="C20" s="83"/>
      <c r="D20" s="83"/>
      <c r="E20" s="83"/>
      <c r="H20" s="35" t="str">
        <f>CONCATENATE("BSB/NA=",C1," ",C2,",NU=",C2,",RA=",B19,",",D19,",DU=",F19)</f>
        <v>BSB/NA=B and NL MA0110S0,NU=MA0110S0,RA=7680,4800,DU=300</v>
      </c>
      <c r="I20" s="34"/>
      <c r="J20" s="34"/>
      <c r="K20" s="34"/>
      <c r="L20" s="32"/>
    </row>
    <row r="21" spans="1:19" x14ac:dyDescent="0.3">
      <c r="A21" s="80">
        <v>2.7799999999999998E-4</v>
      </c>
      <c r="B21" s="2">
        <f>D9*A23</f>
        <v>48717.336094000311</v>
      </c>
      <c r="C21" s="83" t="s">
        <v>7</v>
      </c>
      <c r="D21" s="2">
        <f>B21/D19</f>
        <v>10.149445019583398</v>
      </c>
      <c r="E21" s="83" t="s">
        <v>3</v>
      </c>
      <c r="H21" s="35" t="str">
        <f>CONCATENATE("KNP/SC=",C3,",GD=WGS84,PR=MERCATOR,PP=",B9)</f>
        <v>KNP/SC=75000,GD=WGS84,PR=MERCATOR,PP=51.755853</v>
      </c>
      <c r="I21" s="34"/>
      <c r="J21" s="34"/>
      <c r="K21" s="34"/>
      <c r="L21" s="32"/>
    </row>
    <row r="22" spans="1:19" x14ac:dyDescent="0.3">
      <c r="A22" s="83" t="s">
        <v>5</v>
      </c>
      <c r="B22" s="2">
        <f>H9*A23</f>
        <v>132810.32702699993</v>
      </c>
      <c r="C22" s="83" t="s">
        <v>7</v>
      </c>
      <c r="D22" s="2">
        <f>B22/B19</f>
        <v>17.293011331640617</v>
      </c>
      <c r="E22" s="83" t="s">
        <v>2</v>
      </c>
      <c r="H22" s="35" t="str">
        <f>CONCATENATE("    PI=UNKNOWN,SP=UNKNOWN,SK=0.0,TA=0.0")</f>
        <v xml:space="preserve">    PI=UNKNOWN,SP=UNKNOWN,SK=0.0,TA=0.0</v>
      </c>
      <c r="I22" s="34"/>
      <c r="J22" s="34"/>
      <c r="K22" s="34"/>
      <c r="L22" s="36"/>
    </row>
    <row r="23" spans="1:19" x14ac:dyDescent="0.3">
      <c r="A23" s="82">
        <v>111139</v>
      </c>
      <c r="H23" s="35" t="str">
        <f>CONCATENATE("    UN=METERS,SD=MEAN LOWER LOW WATER,DX=",ROUND(D22,8),",DY=",ROUND(D21,8))</f>
        <v xml:space="preserve">    UN=METERS,SD=MEAN LOWER LOW WATER,DX=17.29301133,DY=10.14944502</v>
      </c>
      <c r="I23" s="34"/>
      <c r="J23" s="34"/>
      <c r="K23" s="34"/>
      <c r="L23" s="32"/>
    </row>
    <row r="24" spans="1:19" x14ac:dyDescent="0.3">
      <c r="H24" s="35" t="str">
        <f>CONCATENATE("KNQ/EC=RF,GD=NARC,VC=UNKNOWN,SC=MLLW,PC=MC,P1=UNKNOWN,P2=",B9)</f>
        <v>KNQ/EC=RF,GD=NARC,VC=UNKNOWN,SC=MLLW,PC=MC,P1=UNKNOWN,P2=51.755853</v>
      </c>
      <c r="I24" s="34"/>
      <c r="J24" s="34"/>
      <c r="K24" s="34"/>
      <c r="L24" s="32"/>
    </row>
    <row r="25" spans="1:19" x14ac:dyDescent="0.3">
      <c r="H25" s="35" t="str">
        <f>CONCATENATE("    P3=NOT_APPLICABLE,P4=NOT_APPLICABLE,GC=MI,RM=POLYNOMIAL")</f>
        <v xml:space="preserve">    P3=NOT_APPLICABLE,P4=NOT_APPLICABLE,GC=MI,RM=POLYNOMIAL</v>
      </c>
      <c r="I25" s="34"/>
      <c r="J25" s="34"/>
      <c r="K25" s="34"/>
      <c r="L25" s="32"/>
    </row>
    <row r="26" spans="1:19" ht="15" thickBot="1" x14ac:dyDescent="0.35">
      <c r="H26" s="35" t="s">
        <v>21</v>
      </c>
      <c r="I26" s="34"/>
      <c r="J26" s="34"/>
      <c r="K26" s="34"/>
      <c r="L26" s="32"/>
    </row>
    <row r="27" spans="1:19" x14ac:dyDescent="0.3">
      <c r="H27" s="35" t="s">
        <v>22</v>
      </c>
      <c r="I27" s="34"/>
      <c r="J27" s="34"/>
      <c r="K27" s="34"/>
      <c r="L27" s="32"/>
      <c r="M27" s="27" t="s">
        <v>26</v>
      </c>
      <c r="N27" s="28"/>
      <c r="O27" s="28"/>
      <c r="P27" s="40"/>
      <c r="Q27" s="41" t="str">
        <f>CONCATENATE(C2,"map.BSB")</f>
        <v>MA0110S0map.BSB</v>
      </c>
      <c r="R27" s="42"/>
      <c r="S27" s="43"/>
    </row>
    <row r="28" spans="1:19" x14ac:dyDescent="0.3">
      <c r="H28" s="35" t="s">
        <v>23</v>
      </c>
      <c r="I28" s="34"/>
      <c r="J28" s="34"/>
      <c r="K28" s="34"/>
      <c r="L28" s="32"/>
      <c r="M28" s="30"/>
      <c r="N28" s="31"/>
      <c r="O28" s="31"/>
      <c r="P28" s="31"/>
      <c r="Q28" s="31"/>
      <c r="R28" s="31"/>
      <c r="S28" s="32"/>
    </row>
    <row r="29" spans="1:19" x14ac:dyDescent="0.3">
      <c r="H29" s="35" t="s">
        <v>24</v>
      </c>
      <c r="I29" s="34"/>
      <c r="J29" s="34"/>
      <c r="K29" s="34"/>
      <c r="L29" s="31"/>
      <c r="M29" s="33" t="str">
        <f ca="1">CONCATENATE("CRR/MARI-caribbean ",TEXT(NOW(),"dd/mm/yy hh:mm:ss"))</f>
        <v>CRR/MARI-caribbean 11/10/21 21:03:34</v>
      </c>
      <c r="N29" s="44"/>
      <c r="O29" s="44"/>
      <c r="P29" s="44"/>
      <c r="Q29" s="31"/>
      <c r="R29" s="31"/>
      <c r="S29" s="32"/>
    </row>
    <row r="30" spans="1:19" x14ac:dyDescent="0.3">
      <c r="H30" s="35" t="str">
        <f>CONCATENATE("CHT/NA=",C1)</f>
        <v>CHT/NA=B and NL</v>
      </c>
      <c r="I30" s="34"/>
      <c r="J30" s="34"/>
      <c r="K30" s="34"/>
      <c r="L30" s="31"/>
      <c r="M30" s="33" t="s">
        <v>19</v>
      </c>
      <c r="N30" s="44"/>
      <c r="O30" s="44"/>
      <c r="P30" s="44"/>
      <c r="Q30" s="31"/>
      <c r="R30" s="31"/>
      <c r="S30" s="32"/>
    </row>
    <row r="31" spans="1:19" x14ac:dyDescent="0.3">
      <c r="H31" s="35" t="str">
        <f>CONCATENATE("REF/1,",B7,",",C7,",",B6,",",F6)</f>
        <v>REF/1,440,331,51.975026,2.950019</v>
      </c>
      <c r="I31" s="34"/>
      <c r="J31" s="34"/>
      <c r="K31" s="34"/>
      <c r="L31" s="31"/>
      <c r="M31" s="33" t="str">
        <f>CONCATENATE("CHT/NA=",C2,"map,NU=",C2)</f>
        <v>CHT/NA=MA0110S0map,NU=MA0110S0</v>
      </c>
      <c r="N31" s="44"/>
      <c r="O31" s="44"/>
      <c r="P31" s="44"/>
      <c r="Q31" s="31"/>
      <c r="R31" s="31"/>
      <c r="S31" s="32"/>
    </row>
    <row r="32" spans="1:19" x14ac:dyDescent="0.3">
      <c r="H32" s="35" t="str">
        <f>CONCATENATE("REF/2,",B13,",",C13,",",B12,",",F12)</f>
        <v>REF/2,440,4416,51.53668,2.950019</v>
      </c>
      <c r="I32" s="34"/>
      <c r="J32" s="34"/>
      <c r="K32" s="34"/>
      <c r="L32" s="31"/>
      <c r="M32" s="33" t="str">
        <f ca="1">CONCATENATE("CED/SE=01,RE=01,ED=",TEXT(TODAY(),"dd/mm/yy"))</f>
        <v>CED/SE=01,RE=01,ED=11/10/21</v>
      </c>
      <c r="N32" s="44"/>
      <c r="O32" s="44"/>
      <c r="P32" s="44"/>
      <c r="Q32" s="31"/>
      <c r="R32" s="31"/>
      <c r="S32" s="32"/>
    </row>
    <row r="33" spans="8:22" x14ac:dyDescent="0.3">
      <c r="H33" s="35" t="str">
        <f>CONCATENATE("REF/3,",L7,",",M7,",",L6,",",P6)</f>
        <v>REF/3,7339,331,51.975026,4.145012</v>
      </c>
      <c r="I33" s="34"/>
      <c r="J33" s="34"/>
      <c r="K33" s="34"/>
      <c r="L33" s="31"/>
      <c r="M33" s="33" t="str">
        <f>CONCATENATE("K01/NA=",C2,"map,NU=",C2,",TY=BASE,FN=",C2,"map.KAP")</f>
        <v>K01/NA=MA0110S0map,NU=MA0110S0,TY=BASE,FN=MA0110S0map.KAP</v>
      </c>
      <c r="N33" s="44"/>
      <c r="O33" s="44"/>
      <c r="P33" s="44"/>
      <c r="Q33" s="31"/>
      <c r="R33" s="31"/>
      <c r="S33" s="32"/>
    </row>
    <row r="34" spans="8:22" ht="15" thickBot="1" x14ac:dyDescent="0.35">
      <c r="H34" s="35" t="str">
        <f>CONCATENATE("REF/4,",L13,",",M13,",",L12,",",P12)</f>
        <v>REF/4,7339,4416,51.53668,4.145012</v>
      </c>
      <c r="I34" s="34"/>
      <c r="J34" s="34"/>
      <c r="K34" s="34"/>
      <c r="L34" s="31"/>
      <c r="M34" s="37"/>
      <c r="N34" s="45"/>
      <c r="O34" s="38"/>
      <c r="P34" s="38"/>
      <c r="Q34" s="38"/>
      <c r="R34" s="38"/>
      <c r="S34" s="39"/>
    </row>
    <row r="35" spans="8:22" x14ac:dyDescent="0.3">
      <c r="H35" s="35" t="str">
        <f>CONCATENATE("PLY/1,",B12,",",F12)</f>
        <v>PLY/1,51.53668,2.950019</v>
      </c>
      <c r="I35" s="34"/>
      <c r="J35" s="34"/>
      <c r="K35" s="34"/>
      <c r="L35" s="32"/>
      <c r="M35" s="46" t="s">
        <v>31</v>
      </c>
      <c r="N35" s="40"/>
      <c r="O35" s="40"/>
      <c r="P35" s="40"/>
      <c r="Q35" s="40"/>
      <c r="R35" s="40"/>
      <c r="S35" s="40"/>
      <c r="T35" s="40"/>
      <c r="U35" s="40"/>
      <c r="V35" s="29"/>
    </row>
    <row r="36" spans="8:22" x14ac:dyDescent="0.3">
      <c r="H36" s="35" t="str">
        <f>CONCATENATE("PLY/2,",B6,",",F6)</f>
        <v>PLY/2,51.975026,2.950019</v>
      </c>
      <c r="I36" s="34"/>
      <c r="J36" s="34"/>
      <c r="K36" s="34"/>
      <c r="L36" s="32"/>
      <c r="M36" s="33" t="str">
        <f>CONCATENATE("imgkap ",C2,".png ",K15," ",C2,"map.kap -p MAP")</f>
        <v>imgkap MA0110S0.png MA0110S0.kap MA0110S0map.kap -p MAP</v>
      </c>
      <c r="N36" s="31"/>
      <c r="O36" s="31"/>
      <c r="P36" s="31"/>
      <c r="Q36" s="31"/>
      <c r="R36" s="31"/>
      <c r="S36" s="31"/>
      <c r="T36" s="31"/>
      <c r="U36" s="31"/>
      <c r="V36" s="32"/>
    </row>
    <row r="37" spans="8:22" x14ac:dyDescent="0.3">
      <c r="H37" s="35" t="str">
        <f>CONCATENATE("PLY/3,",L6,",",P6)</f>
        <v>PLY/3,51.975026,4.145012</v>
      </c>
      <c r="I37" s="34"/>
      <c r="J37" s="34"/>
      <c r="K37" s="34"/>
      <c r="L37" s="32"/>
      <c r="M37" s="30"/>
      <c r="N37" s="31"/>
      <c r="O37" s="31"/>
      <c r="P37" s="31"/>
      <c r="Q37" s="31"/>
      <c r="R37" s="31"/>
      <c r="S37" s="31"/>
      <c r="T37" s="31"/>
      <c r="U37" s="31"/>
      <c r="V37" s="32"/>
    </row>
    <row r="38" spans="8:22" x14ac:dyDescent="0.3">
      <c r="H38" s="35" t="str">
        <f>CONCATENATE("PLY/4,",L12,",",P12)</f>
        <v>PLY/4,51.53668,4.145012</v>
      </c>
      <c r="I38" s="34"/>
      <c r="J38" s="34"/>
      <c r="K38" s="34"/>
      <c r="L38" s="32"/>
      <c r="M38" s="30" t="s">
        <v>32</v>
      </c>
      <c r="N38" s="31"/>
      <c r="O38" s="31"/>
      <c r="P38" s="31"/>
      <c r="Q38" s="31"/>
      <c r="R38" s="31"/>
      <c r="S38" s="31"/>
      <c r="T38" s="31"/>
      <c r="U38" s="31"/>
      <c r="V38" s="32"/>
    </row>
    <row r="39" spans="8:22" x14ac:dyDescent="0.3">
      <c r="H39" s="35" t="s">
        <v>15</v>
      </c>
      <c r="I39" s="34"/>
      <c r="J39" s="34"/>
      <c r="K39" s="34"/>
      <c r="L39" s="32"/>
      <c r="M39" s="48" t="str">
        <f>CONCATENATE("imgkap ",C2,".png ",K15," ",C2,"map.kap")</f>
        <v>imgkap MA0110S0.png MA0110S0.kap MA0110S0map.kap</v>
      </c>
      <c r="N39" s="31"/>
      <c r="O39" s="31"/>
      <c r="P39" s="31"/>
      <c r="Q39" s="31"/>
      <c r="R39" s="31"/>
      <c r="S39" s="31"/>
      <c r="T39" s="31"/>
      <c r="U39" s="31"/>
      <c r="V39" s="32"/>
    </row>
    <row r="40" spans="8:22" ht="15" thickBot="1" x14ac:dyDescent="0.35">
      <c r="H40" s="37"/>
      <c r="I40" s="38"/>
      <c r="J40" s="38"/>
      <c r="K40" s="38"/>
      <c r="L40" s="39"/>
      <c r="M40" s="37"/>
      <c r="N40" s="38"/>
      <c r="O40" s="38"/>
      <c r="P40" s="38"/>
      <c r="Q40" s="38"/>
      <c r="R40" s="38"/>
      <c r="S40" s="38"/>
      <c r="T40" s="38"/>
      <c r="U40" s="38"/>
      <c r="V40" s="39"/>
    </row>
  </sheetData>
  <mergeCells count="16">
    <mergeCell ref="A1:B1"/>
    <mergeCell ref="A3:B3"/>
    <mergeCell ref="C3:G3"/>
    <mergeCell ref="C2:G2"/>
    <mergeCell ref="C1:G1"/>
    <mergeCell ref="A2:B2"/>
    <mergeCell ref="D9:E9"/>
    <mergeCell ref="H9:I9"/>
    <mergeCell ref="B12:D12"/>
    <mergeCell ref="B6:D6"/>
    <mergeCell ref="F6:H6"/>
    <mergeCell ref="F12:H12"/>
    <mergeCell ref="L6:N6"/>
    <mergeCell ref="P6:R6"/>
    <mergeCell ref="L12:N12"/>
    <mergeCell ref="P12:R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B198-135A-410D-8B1F-3F843D2F8A90}">
  <dimension ref="A1:Y40"/>
  <sheetViews>
    <sheetView zoomScale="70" zoomScaleNormal="70" workbookViewId="0">
      <selection activeCell="E1" sqref="E1"/>
    </sheetView>
  </sheetViews>
  <sheetFormatPr defaultRowHeight="14.4" x14ac:dyDescent="0.3"/>
  <cols>
    <col min="1" max="1" width="10" bestFit="1" customWidth="1"/>
    <col min="2" max="2" width="8.109375" bestFit="1" customWidth="1"/>
    <col min="3" max="3" width="5.6640625" customWidth="1"/>
    <col min="4" max="4" width="5.88671875" customWidth="1"/>
    <col min="5" max="15" width="5.6640625" customWidth="1"/>
    <col min="16" max="18" width="6" customWidth="1"/>
    <col min="19" max="27" width="5.6640625" customWidth="1"/>
  </cols>
  <sheetData>
    <row r="1" spans="1:25" x14ac:dyDescent="0.3">
      <c r="A1" t="s">
        <v>16</v>
      </c>
      <c r="B1" s="21" t="s">
        <v>17</v>
      </c>
      <c r="C1" s="5" t="s">
        <v>18</v>
      </c>
      <c r="D1" s="5"/>
      <c r="E1" s="23" t="s">
        <v>29</v>
      </c>
      <c r="F1" s="23"/>
    </row>
    <row r="2" spans="1:25" x14ac:dyDescent="0.3">
      <c r="A2" t="s">
        <v>20</v>
      </c>
      <c r="B2" s="16">
        <v>30000</v>
      </c>
    </row>
    <row r="4" spans="1:25" x14ac:dyDescent="0.3">
      <c r="D4">
        <f>D5*0.6</f>
        <v>12</v>
      </c>
      <c r="H4">
        <f>H5*0.6</f>
        <v>24</v>
      </c>
      <c r="J4" s="26">
        <v>3</v>
      </c>
      <c r="L4">
        <f>L5*0.6</f>
        <v>0</v>
      </c>
      <c r="P4">
        <f>P5*0.6</f>
        <v>54</v>
      </c>
      <c r="S4" s="26">
        <v>4</v>
      </c>
      <c r="U4">
        <f>U5*0.6</f>
        <v>0</v>
      </c>
      <c r="Y4">
        <f>Y5*0.6</f>
        <v>0</v>
      </c>
    </row>
    <row r="5" spans="1:25" x14ac:dyDescent="0.3">
      <c r="A5" s="26">
        <v>2</v>
      </c>
      <c r="B5" s="21">
        <v>53</v>
      </c>
      <c r="C5" s="21">
        <v>20</v>
      </c>
      <c r="D5" s="21">
        <v>20</v>
      </c>
      <c r="F5" s="21">
        <f>F11</f>
        <v>5</v>
      </c>
      <c r="G5" s="21">
        <f t="shared" ref="G5:H5" si="0">G11</f>
        <v>8</v>
      </c>
      <c r="H5" s="21">
        <f t="shared" si="0"/>
        <v>40</v>
      </c>
      <c r="J5" s="16">
        <f>S5</f>
        <v>53</v>
      </c>
      <c r="K5" s="16">
        <f t="shared" ref="K5:L5" si="1">T5</f>
        <v>22</v>
      </c>
      <c r="L5" s="16">
        <f t="shared" si="1"/>
        <v>0</v>
      </c>
      <c r="N5" s="16">
        <v>5</v>
      </c>
      <c r="O5" s="16">
        <v>12</v>
      </c>
      <c r="P5" s="16">
        <v>90</v>
      </c>
      <c r="S5" s="16">
        <v>53</v>
      </c>
      <c r="T5" s="16">
        <v>22</v>
      </c>
      <c r="U5" s="16">
        <v>0</v>
      </c>
      <c r="W5" s="16">
        <v>5</v>
      </c>
      <c r="X5" s="16">
        <v>16</v>
      </c>
      <c r="Y5" s="16">
        <v>0</v>
      </c>
    </row>
    <row r="6" spans="1:25" x14ac:dyDescent="0.3">
      <c r="B6" s="18">
        <f>S6</f>
        <v>53.366674000000003</v>
      </c>
      <c r="C6" s="6"/>
      <c r="D6" s="6"/>
      <c r="F6" s="18">
        <f>F12</f>
        <v>5.1400079999999999</v>
      </c>
      <c r="G6" s="6"/>
      <c r="H6" s="6"/>
      <c r="J6" s="18">
        <f>J5+(K5*$A$16)+((L5/100*60)*$A$18)</f>
        <v>53.366674000000003</v>
      </c>
      <c r="K6" s="18"/>
      <c r="L6" s="18"/>
      <c r="M6" t="s">
        <v>4</v>
      </c>
      <c r="N6" s="18">
        <f>N5+(O5*$A$16)+((P5/100*60)*$A$18)</f>
        <v>5.2150159999999994</v>
      </c>
      <c r="O6" s="18"/>
      <c r="P6" s="18"/>
      <c r="S6" s="18">
        <f>S5+(T5*$A$16)+((U5/100*60)*$A$18)</f>
        <v>53.366674000000003</v>
      </c>
      <c r="T6" s="18"/>
      <c r="U6" s="18"/>
      <c r="W6" s="18">
        <f>W5+(X5*$A$16)+((Y5/100*60)*$A$18)</f>
        <v>5.2666719999999998</v>
      </c>
      <c r="X6" s="18"/>
      <c r="Y6" s="18"/>
    </row>
    <row r="7" spans="1:25" x14ac:dyDescent="0.3">
      <c r="B7" s="22">
        <f>B13</f>
        <v>472</v>
      </c>
      <c r="C7" s="9" t="s">
        <v>4</v>
      </c>
      <c r="D7" s="9">
        <v>1111</v>
      </c>
      <c r="J7" s="10">
        <v>1498</v>
      </c>
      <c r="K7" s="11" t="s">
        <v>4</v>
      </c>
      <c r="L7" s="10">
        <f>U7</f>
        <v>424</v>
      </c>
      <c r="N7" s="3"/>
      <c r="O7" s="3"/>
      <c r="P7" s="3"/>
      <c r="S7" s="9">
        <v>2207</v>
      </c>
      <c r="T7" s="9" t="s">
        <v>4</v>
      </c>
      <c r="U7" s="9">
        <v>424</v>
      </c>
    </row>
    <row r="9" spans="1:25" x14ac:dyDescent="0.3">
      <c r="A9" t="s">
        <v>6</v>
      </c>
      <c r="B9" s="2">
        <f>(B12+S6)/2</f>
        <v>53.337510000000002</v>
      </c>
      <c r="C9" t="s">
        <v>10</v>
      </c>
      <c r="D9" s="14">
        <f>S6-B12</f>
        <v>5.8328000000003044E-2</v>
      </c>
      <c r="E9" s="14"/>
      <c r="G9" t="s">
        <v>9</v>
      </c>
      <c r="H9" s="14">
        <f>W6-F12</f>
        <v>0.12666399999999989</v>
      </c>
      <c r="I9" s="14"/>
      <c r="J9" s="25"/>
      <c r="K9" s="25"/>
      <c r="L9" s="25"/>
      <c r="M9" s="25"/>
      <c r="N9" s="25"/>
      <c r="O9" s="25"/>
    </row>
    <row r="10" spans="1:25" x14ac:dyDescent="0.3">
      <c r="D10">
        <f>D11*0.6</f>
        <v>30</v>
      </c>
      <c r="H10">
        <f>H11*0.6</f>
        <v>24</v>
      </c>
      <c r="S10" s="26">
        <v>5</v>
      </c>
      <c r="U10">
        <f>U11*0.6</f>
        <v>30</v>
      </c>
      <c r="Y10">
        <f>Y11*0.6</f>
        <v>0</v>
      </c>
    </row>
    <row r="11" spans="1:25" x14ac:dyDescent="0.3">
      <c r="A11" s="26">
        <v>1</v>
      </c>
      <c r="B11" s="16">
        <v>53</v>
      </c>
      <c r="C11" s="16">
        <v>18</v>
      </c>
      <c r="D11" s="16">
        <v>50</v>
      </c>
      <c r="F11" s="16">
        <v>5</v>
      </c>
      <c r="G11" s="16">
        <v>8</v>
      </c>
      <c r="H11" s="16">
        <v>40</v>
      </c>
      <c r="S11" s="2">
        <f>B11</f>
        <v>53</v>
      </c>
      <c r="T11" s="2">
        <f>C11</f>
        <v>18</v>
      </c>
      <c r="U11" s="2">
        <f>D11</f>
        <v>50</v>
      </c>
      <c r="W11" s="2">
        <f>W5</f>
        <v>5</v>
      </c>
      <c r="X11" s="2">
        <f t="shared" ref="X11:Y11" si="2">X5</f>
        <v>16</v>
      </c>
      <c r="Y11" s="2">
        <f t="shared" si="2"/>
        <v>0</v>
      </c>
    </row>
    <row r="12" spans="1:25" x14ac:dyDescent="0.3">
      <c r="B12" s="18">
        <f>B11+(C11*$A$16)+((D11/100*60)*$A$18)</f>
        <v>53.308346</v>
      </c>
      <c r="C12" s="18"/>
      <c r="D12" s="18"/>
      <c r="E12" t="s">
        <v>4</v>
      </c>
      <c r="F12" s="18">
        <f>F11+(G11*$A$16)+((H11/100*60)*$A$18)</f>
        <v>5.1400079999999999</v>
      </c>
      <c r="G12" s="18"/>
      <c r="H12" s="18"/>
      <c r="S12" s="18">
        <f>B12</f>
        <v>53.308346</v>
      </c>
      <c r="T12" s="6"/>
      <c r="U12" s="6"/>
      <c r="W12" s="18">
        <f>W6</f>
        <v>5.2666719999999998</v>
      </c>
      <c r="X12" s="6"/>
      <c r="Y12" s="6"/>
    </row>
    <row r="13" spans="1:25" x14ac:dyDescent="0.3">
      <c r="B13" s="10">
        <v>472</v>
      </c>
      <c r="C13" s="11" t="s">
        <v>4</v>
      </c>
      <c r="D13" s="10">
        <v>1761</v>
      </c>
      <c r="F13" s="3"/>
      <c r="G13" s="3"/>
      <c r="H13" s="3"/>
      <c r="S13" s="10">
        <f>S7</f>
        <v>2207</v>
      </c>
      <c r="T13" s="12" t="s">
        <v>4</v>
      </c>
      <c r="U13" s="10">
        <f>D13</f>
        <v>1761</v>
      </c>
      <c r="W13" s="3"/>
      <c r="X13" s="4"/>
      <c r="Y13" s="4"/>
    </row>
    <row r="15" spans="1:25" x14ac:dyDescent="0.3">
      <c r="A15" t="s">
        <v>0</v>
      </c>
      <c r="B15" t="s">
        <v>2</v>
      </c>
      <c r="D15" t="s">
        <v>3</v>
      </c>
      <c r="G15" s="24" t="s">
        <v>27</v>
      </c>
      <c r="H15" s="24"/>
      <c r="I15" s="24"/>
      <c r="J15" s="24"/>
      <c r="K15" s="24"/>
      <c r="L15" s="24"/>
      <c r="M15" s="24"/>
      <c r="N15" s="24"/>
      <c r="O15" s="24"/>
      <c r="P15" s="24" t="str">
        <f>CONCATENATE(E1,".kap")</f>
        <v>MA0112S1.kap</v>
      </c>
      <c r="Q15" s="24"/>
      <c r="S15" s="2" t="s">
        <v>26</v>
      </c>
      <c r="T15" s="2"/>
      <c r="U15" s="2"/>
      <c r="W15" s="20" t="str">
        <f>CONCATENATE(E1,"map.BSB")</f>
        <v>MA0112S1map.BSB</v>
      </c>
      <c r="X15" s="20"/>
      <c r="Y15" s="20"/>
    </row>
    <row r="16" spans="1:25" x14ac:dyDescent="0.3">
      <c r="A16" s="7">
        <v>1.6667000000000001E-2</v>
      </c>
      <c r="B16" s="17">
        <v>3200</v>
      </c>
      <c r="C16" s="17"/>
      <c r="D16" s="17">
        <v>2400</v>
      </c>
      <c r="E16" s="17"/>
      <c r="F16" s="16">
        <v>300</v>
      </c>
      <c r="G16" s="1" t="str">
        <f ca="1">CONCATENATE("!MARI-caribbean ",TEXT(NOW(),"dd/mm/yy"))</f>
        <v>!MARI-caribbean 11/10/21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S16" s="1" t="str">
        <f ca="1">CONCATENATE("CRR/MARI-caribbean ",TEXT(NOW(),"dd/mm/yy hh:mm:ss"))</f>
        <v>CRR/MARI-caribbean 11/10/21 21:03:34</v>
      </c>
      <c r="T16" s="1"/>
      <c r="U16" s="1"/>
      <c r="V16" s="1"/>
    </row>
    <row r="17" spans="1:22" x14ac:dyDescent="0.3">
      <c r="A17" t="s">
        <v>1</v>
      </c>
      <c r="B17" t="s">
        <v>8</v>
      </c>
      <c r="G17" s="20" t="s">
        <v>19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S17" s="1" t="s">
        <v>19</v>
      </c>
      <c r="T17" s="1"/>
      <c r="U17" s="1"/>
      <c r="V17" s="1"/>
    </row>
    <row r="18" spans="1:22" x14ac:dyDescent="0.3">
      <c r="A18" s="8">
        <v>2.7799999999999998E-4</v>
      </c>
      <c r="B18" s="2">
        <f>D9*A20</f>
        <v>6482.5155920003381</v>
      </c>
      <c r="C18" t="s">
        <v>7</v>
      </c>
      <c r="D18" s="15">
        <f>B18/D16</f>
        <v>2.7010481633334744</v>
      </c>
      <c r="E18" t="s">
        <v>3</v>
      </c>
      <c r="G18" s="20" t="s">
        <v>25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S18" s="1" t="str">
        <f>CONCATENATE("CHT/NA=",E1,"map,NU=",E1)</f>
        <v>CHT/NA=MA0112S1map,NU=MA0112S1</v>
      </c>
      <c r="T18" s="1"/>
      <c r="U18" s="1"/>
      <c r="V18" s="1"/>
    </row>
    <row r="19" spans="1:22" x14ac:dyDescent="0.3">
      <c r="A19" t="s">
        <v>5</v>
      </c>
      <c r="B19" s="2">
        <f>H9*A20</f>
        <v>14077.310295999987</v>
      </c>
      <c r="C19" t="s">
        <v>7</v>
      </c>
      <c r="D19" s="15">
        <f>B19/B16</f>
        <v>4.3991594674999961</v>
      </c>
      <c r="E19" t="s">
        <v>2</v>
      </c>
      <c r="G19" s="20" t="str">
        <f>CONCATENATE("BSB/NA=",B1," ",E1,",NU=",E1,",RA=",B16,",",D16,",DU=",F16)</f>
        <v>BSB/NA=B &amp; NL MA0112S1,NU=MA0112S1,RA=3200,2400,DU=300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S19" s="1" t="str">
        <f ca="1">CONCATENATE("CED/SE=01,RE=01,ED=",TEXT(TODAY(),"dd/mm/yy"))</f>
        <v>CED/SE=01,RE=01,ED=11/10/21</v>
      </c>
      <c r="T19" s="1"/>
      <c r="U19" s="1"/>
      <c r="V19" s="1"/>
    </row>
    <row r="20" spans="1:22" x14ac:dyDescent="0.3">
      <c r="A20" s="13">
        <v>111139</v>
      </c>
      <c r="G20" s="20" t="str">
        <f>CONCATENATE("KNP/SC=",B2,",GD=WGS84,PR=MERCATOR,PP=",B9)</f>
        <v>KNP/SC=30000,GD=WGS84,PR=MERCATOR,PP=53.33751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S20" s="1" t="str">
        <f>CONCATENATE("K01/NA=",E1,"map,NU=",E1,",TY=BASE,FN=",E1,"map.KAP")</f>
        <v>K01/NA=MA0112S1map,NU=MA0112S1,TY=BASE,FN=MA0112S1map.KAP</v>
      </c>
      <c r="T20" s="1"/>
      <c r="U20" s="1"/>
      <c r="V20" s="1"/>
    </row>
    <row r="21" spans="1:22" x14ac:dyDescent="0.3">
      <c r="G21" s="20" t="str">
        <f>CONCATENATE("    PI=UNKNOWN,SP=UNKNOWN,SK=0.0,TA=0.0")</f>
        <v xml:space="preserve">    PI=UNKNOWN,SP=UNKNOWN,SK=0.0,TA=0.0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9"/>
      <c r="T21" s="19"/>
    </row>
    <row r="22" spans="1:22" x14ac:dyDescent="0.3">
      <c r="B22" t="s">
        <v>11</v>
      </c>
      <c r="G22" s="20" t="str">
        <f>CONCATENATE("    UN=METERS,SD=MEAN LOWER LOW WATER,DX=",ROUND(D19,8),",DY=",ROUND(D18,8))</f>
        <v xml:space="preserve">    UN=METERS,SD=MEAN LOWER LOW WATER,DX=4.39915947,DY=2.70104816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22" x14ac:dyDescent="0.3">
      <c r="B23" t="s">
        <v>12</v>
      </c>
      <c r="G23" s="20" t="str">
        <f>CONCATENATE("KNQ/EC=RF,GD=NARC,VC=UNKNOWN,SC=MLLW,PC=MC,P1=UNKNOWN,P2=",B9)</f>
        <v>KNQ/EC=RF,GD=NARC,VC=UNKNOWN,SC=MLLW,PC=MC,P1=UNKNOWN,P2=53.33751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22" x14ac:dyDescent="0.3">
      <c r="B24" t="s">
        <v>13</v>
      </c>
      <c r="G24" s="20" t="str">
        <f>CONCATENATE("    P3=NOT_APPLICABLE,P4=NOT_APPLICABLE,GC=MI,RM=POLYNOMIAL")</f>
        <v xml:space="preserve">    P3=NOT_APPLICABLE,P4=NOT_APPLICABLE,GC=MI,RM=POLYNOMIAL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22" x14ac:dyDescent="0.3">
      <c r="B25" t="s">
        <v>14</v>
      </c>
      <c r="G25" s="20" t="s">
        <v>21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22" x14ac:dyDescent="0.3">
      <c r="G26" s="20" t="s">
        <v>22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22" x14ac:dyDescent="0.3">
      <c r="G27" s="20" t="s">
        <v>23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22" x14ac:dyDescent="0.3">
      <c r="G28" s="20" t="s">
        <v>24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22" x14ac:dyDescent="0.3">
      <c r="G29" s="20" t="str">
        <f>CONCATENATE("CHT/NA=",B1)</f>
        <v>CHT/NA=B &amp; NL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S29" t="str">
        <f>CONCATENATE("imgkap ",E1,".png ",P15," ",E1,"map.kap")</f>
        <v>imgkap MA0112S1.png MA0112S1.kap MA0112S1map.kap</v>
      </c>
    </row>
    <row r="30" spans="1:22" x14ac:dyDescent="0.3">
      <c r="G30" s="20" t="str">
        <f>CONCATENATE("REF/1,",B7,C7,D7,C7,B6,C7,F6)</f>
        <v>REF/1,472,1111,53.366674,5.140008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22" x14ac:dyDescent="0.3">
      <c r="G31" s="20" t="str">
        <f>CONCATENATE("REF/2,",B13,C13,D13,C13,B12,C13,F12)</f>
        <v>REF/2,472,1761,53.308346,5.140008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22" x14ac:dyDescent="0.3">
      <c r="G32" s="20" t="str">
        <f>CONCATENATE("REF/3,",J7,K7,L7,K7,J6,K7,N6)</f>
        <v>REF/3,1498,424,53.366674,5.215016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7:19" x14ac:dyDescent="0.3">
      <c r="G33" s="20" t="str">
        <f>CONCATENATE("REF/4,",S7,T7,U7,T7,S6,T7,W6)</f>
        <v>REF/4,2207,424,53.366674,5.266672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7:19" x14ac:dyDescent="0.3">
      <c r="G34" s="20" t="str">
        <f>CONCATENATE("REF/5,",S13,T13,U13,T13,S12,T13,W12)</f>
        <v>REF/5,2207,1761,53.308346,5.266672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7:19" x14ac:dyDescent="0.3">
      <c r="G35" s="20" t="str">
        <f>CONCATENATE("PLY/1,",B12,",",F12)</f>
        <v>PLY/1,53.308346,5.140008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7:19" x14ac:dyDescent="0.3">
      <c r="G36" s="20" t="str">
        <f>CONCATENATE("PLY/2,",B6,",",F6)</f>
        <v>PLY/2,53.366674,5.140008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S36" s="19"/>
    </row>
    <row r="37" spans="7:19" x14ac:dyDescent="0.3">
      <c r="G37" s="20" t="str">
        <f>CONCATENATE("PLY/3,",J6,",",N6)</f>
        <v>PLY/3,53.366674,5.215016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S37" s="19"/>
    </row>
    <row r="38" spans="7:19" x14ac:dyDescent="0.3">
      <c r="G38" s="20" t="str">
        <f>CONCATENATE("PLY/4,",S6,",",W6)</f>
        <v>PLY/4,53.366674,5.266672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7:19" x14ac:dyDescent="0.3">
      <c r="G39" s="20" t="str">
        <f>CONCATENATE("PLY/5,",S12,",",W12)</f>
        <v>PLY/5,53.308346,5.266672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7:19" x14ac:dyDescent="0.3">
      <c r="G40" s="20" t="s">
        <v>15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</row>
  </sheetData>
  <mergeCells count="15">
    <mergeCell ref="B16:C16"/>
    <mergeCell ref="D16:E16"/>
    <mergeCell ref="J6:L6"/>
    <mergeCell ref="D9:E9"/>
    <mergeCell ref="H9:I9"/>
    <mergeCell ref="B12:D12"/>
    <mergeCell ref="F12:H12"/>
    <mergeCell ref="S12:U12"/>
    <mergeCell ref="W12:Y12"/>
    <mergeCell ref="C1:D1"/>
    <mergeCell ref="B6:D6"/>
    <mergeCell ref="F6:H6"/>
    <mergeCell ref="S6:U6"/>
    <mergeCell ref="W6:Y6"/>
    <mergeCell ref="N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Bastiaan Maijen</dc:creator>
  <cp:lastModifiedBy>Bastiaan Maijen</cp:lastModifiedBy>
  <dcterms:created xsi:type="dcterms:W3CDTF">2021-10-10T18:24:22Z</dcterms:created>
  <dcterms:modified xsi:type="dcterms:W3CDTF">2021-10-12T01:04:52Z</dcterms:modified>
</cp:coreProperties>
</file>