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6E5D7E3-B5FD-4EC2-B1AB-C9340DFD06E2}" xr6:coauthVersionLast="47" xr6:coauthVersionMax="47" xr10:uidLastSave="{00000000-0000-0000-0000-000000000000}"/>
  <bookViews>
    <workbookView xWindow="-120" yWindow="-120" windowWidth="20730" windowHeight="11160" activeTab="2" xr2:uid="{C076A643-238D-4F28-94BC-3ACAD6246BE1}"/>
  </bookViews>
  <sheets>
    <sheet name="DECEMBER" sheetId="2" r:id="rId1"/>
    <sheet name="Sheet1" sheetId="3" r:id="rId2"/>
    <sheet name="JAN202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" i="4" l="1"/>
  <c r="AW24" i="4"/>
  <c r="AW17" i="4"/>
  <c r="AV24" i="4" l="1"/>
  <c r="AV10" i="4"/>
  <c r="AV52" i="4"/>
  <c r="AV38" i="4"/>
  <c r="AU3" i="4" l="1"/>
  <c r="AU24" i="4"/>
  <c r="AU10" i="4"/>
  <c r="AU17" i="4" l="1"/>
  <c r="AT3" i="4" l="1"/>
  <c r="AT70" i="4"/>
  <c r="AS3" i="4" l="1"/>
  <c r="AS24" i="4"/>
  <c r="AS10" i="4"/>
  <c r="AS52" i="4"/>
  <c r="AS70" i="4"/>
  <c r="AR3" i="4" l="1"/>
  <c r="AR70" i="4"/>
  <c r="AQ3" i="4" l="1"/>
  <c r="AQ24" i="4"/>
  <c r="AQ10" i="4"/>
  <c r="AQ17" i="4"/>
  <c r="AP3" i="4" l="1"/>
  <c r="AP70" i="4" l="1"/>
  <c r="AO3" i="4" l="1"/>
  <c r="AO24" i="4"/>
  <c r="AO10" i="4"/>
  <c r="AO52" i="4"/>
  <c r="AO17" i="4"/>
  <c r="AO22" i="4" s="1"/>
  <c r="AO45" i="4"/>
  <c r="AO70" i="4"/>
  <c r="AN3" i="4" l="1"/>
  <c r="AN70" i="4"/>
  <c r="AM3" i="4" l="1"/>
  <c r="AM24" i="4"/>
  <c r="AM10" i="4"/>
  <c r="AM70" i="4"/>
  <c r="AL3" i="4" l="1"/>
  <c r="AL38" i="4"/>
  <c r="AL70" i="4"/>
  <c r="AK3" i="4" l="1"/>
  <c r="AJ24" i="4" l="1"/>
  <c r="AJ70" i="4"/>
  <c r="AI3" i="4" l="1"/>
  <c r="AI24" i="4"/>
  <c r="AI10" i="4"/>
  <c r="AI52" i="4"/>
  <c r="AI70" i="4"/>
  <c r="AH3" i="4" l="1"/>
  <c r="AH24" i="4"/>
  <c r="AH38" i="4"/>
  <c r="AH70" i="4" l="1"/>
  <c r="AG3" i="4" l="1"/>
  <c r="AG24" i="4"/>
  <c r="AG10" i="4"/>
  <c r="AG17" i="4"/>
  <c r="AF3" i="4" l="1"/>
  <c r="AF38" i="4"/>
  <c r="AF70" i="4" l="1"/>
  <c r="D70" i="4" l="1"/>
  <c r="D64" i="4"/>
  <c r="D57" i="4"/>
  <c r="D50" i="4"/>
  <c r="D43" i="4"/>
  <c r="D36" i="4"/>
  <c r="D29" i="4"/>
  <c r="D22" i="4"/>
  <c r="D15" i="4"/>
  <c r="D8" i="4"/>
  <c r="D66" i="4" s="1"/>
  <c r="D71" i="4" s="1"/>
  <c r="AE3" i="4" l="1"/>
  <c r="AE24" i="4"/>
  <c r="AE10" i="4"/>
  <c r="AE52" i="4"/>
  <c r="AD3" i="4" l="1"/>
  <c r="AD38" i="4"/>
  <c r="AD70" i="4" l="1"/>
  <c r="AC3" i="4" l="1"/>
  <c r="AC24" i="4"/>
  <c r="AC10" i="4"/>
  <c r="AC45" i="4"/>
  <c r="AC70" i="4"/>
  <c r="AB3" i="4" l="1"/>
  <c r="AB70" i="4"/>
  <c r="AA3" i="4" l="1"/>
  <c r="AA24" i="4"/>
  <c r="AA10" i="4"/>
  <c r="Z3" i="4" l="1"/>
  <c r="Z24" i="4"/>
  <c r="Z70" i="4"/>
  <c r="Y3" i="4" l="1"/>
  <c r="Y24" i="4"/>
  <c r="Y10" i="4"/>
  <c r="Y45" i="4"/>
  <c r="X3" i="4" l="1"/>
  <c r="X38" i="4"/>
  <c r="X70" i="4" l="1"/>
  <c r="W3" i="4" l="1"/>
  <c r="W24" i="4"/>
  <c r="W10" i="4"/>
  <c r="W52" i="4"/>
  <c r="W17" i="4"/>
  <c r="V3" i="4" l="1"/>
  <c r="V70" i="4"/>
  <c r="U3" i="4" l="1"/>
  <c r="U24" i="4"/>
  <c r="U10" i="4"/>
  <c r="U38" i="4"/>
  <c r="U45" i="4"/>
  <c r="U70" i="4"/>
  <c r="T3" i="4" l="1"/>
  <c r="T38" i="4"/>
  <c r="T70" i="4"/>
  <c r="S3" i="4" l="1"/>
  <c r="S24" i="4"/>
  <c r="S52" i="4"/>
  <c r="S17" i="4"/>
  <c r="S70" i="4"/>
  <c r="R3" i="4" l="1"/>
  <c r="R38" i="4"/>
  <c r="R70" i="4" l="1"/>
  <c r="Q3" i="4" l="1"/>
  <c r="Q24" i="4"/>
  <c r="Q10" i="4"/>
  <c r="Q52" i="4"/>
  <c r="Q45" i="4"/>
  <c r="P3" i="4" l="1"/>
  <c r="P24" i="4"/>
  <c r="P38" i="4"/>
  <c r="P70" i="4"/>
  <c r="O70" i="4" l="1"/>
  <c r="N3" i="4"/>
  <c r="N8" i="4"/>
  <c r="N24" i="4"/>
  <c r="N10" i="4"/>
  <c r="N17" i="4"/>
  <c r="M3" i="4" l="1"/>
  <c r="M38" i="4"/>
  <c r="M70" i="4"/>
  <c r="L3" i="4" l="1"/>
  <c r="L24" i="4"/>
  <c r="L10" i="4"/>
  <c r="K3" i="4" l="1"/>
  <c r="K24" i="4"/>
  <c r="J24" i="4" l="1"/>
  <c r="J70" i="4"/>
  <c r="I3" i="4" l="1"/>
  <c r="I24" i="4"/>
  <c r="I10" i="4"/>
  <c r="I52" i="4"/>
  <c r="I17" i="4"/>
  <c r="I70" i="4"/>
  <c r="H3" i="4" l="1"/>
  <c r="H24" i="4"/>
  <c r="H38" i="4"/>
  <c r="H70" i="4"/>
  <c r="G3" i="4" l="1"/>
  <c r="G24" i="4"/>
  <c r="G10" i="4"/>
  <c r="G52" i="4"/>
  <c r="E3" i="4" l="1"/>
  <c r="E24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E52" i="4"/>
  <c r="E57" i="4" s="1"/>
  <c r="BL62" i="4"/>
  <c r="BL63" i="4"/>
  <c r="BL60" i="4"/>
  <c r="BL61" i="4"/>
  <c r="BL58" i="4"/>
  <c r="BL59" i="4"/>
  <c r="BL52" i="4"/>
  <c r="BL53" i="4"/>
  <c r="BL54" i="4"/>
  <c r="BL55" i="4"/>
  <c r="BL56" i="4"/>
  <c r="BL51" i="4"/>
  <c r="BL57" i="4" s="1"/>
  <c r="BL49" i="4"/>
  <c r="BL45" i="4"/>
  <c r="BL46" i="4"/>
  <c r="BL47" i="4"/>
  <c r="BL48" i="4"/>
  <c r="BL44" i="4"/>
  <c r="BL42" i="4"/>
  <c r="BL38" i="4"/>
  <c r="BL39" i="4"/>
  <c r="BL40" i="4"/>
  <c r="BL41" i="4"/>
  <c r="BL37" i="4"/>
  <c r="BL34" i="4"/>
  <c r="BL35" i="4"/>
  <c r="BL31" i="4"/>
  <c r="BL32" i="4"/>
  <c r="BL33" i="4"/>
  <c r="BL30" i="4"/>
  <c r="BL25" i="4"/>
  <c r="BL26" i="4"/>
  <c r="BL27" i="4"/>
  <c r="BL28" i="4"/>
  <c r="BL23" i="4"/>
  <c r="BL10" i="4"/>
  <c r="BL11" i="4"/>
  <c r="BL12" i="4"/>
  <c r="BL13" i="4"/>
  <c r="BL14" i="4"/>
  <c r="BL16" i="4"/>
  <c r="BL17" i="4"/>
  <c r="BL18" i="4"/>
  <c r="BL19" i="4"/>
  <c r="BL20" i="4"/>
  <c r="BL21" i="4"/>
  <c r="BL9" i="4"/>
  <c r="BL15" i="4" s="1"/>
  <c r="BL3" i="4"/>
  <c r="BL4" i="4"/>
  <c r="BL5" i="4"/>
  <c r="BL6" i="4"/>
  <c r="BL7" i="4"/>
  <c r="BL2" i="4"/>
  <c r="BL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E50" i="4"/>
  <c r="BL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E43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E36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G29" i="4"/>
  <c r="E29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E15" i="4"/>
  <c r="BJ22" i="4"/>
  <c r="BK22" i="4"/>
  <c r="BL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E22" i="4"/>
  <c r="BL8" i="4"/>
  <c r="BK8" i="4"/>
  <c r="F8" i="4"/>
  <c r="G8" i="4"/>
  <c r="H8" i="4"/>
  <c r="I8" i="4"/>
  <c r="J8" i="4"/>
  <c r="K8" i="4"/>
  <c r="L8" i="4"/>
  <c r="M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K66" i="4" s="1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E8" i="4"/>
  <c r="E66" i="4" s="1"/>
  <c r="E71" i="4" s="1"/>
  <c r="BK66" i="4" l="1"/>
  <c r="BK71" i="4" s="1"/>
  <c r="BJ66" i="4"/>
  <c r="BJ71" i="4" s="1"/>
  <c r="BI66" i="4"/>
  <c r="BI71" i="4" s="1"/>
  <c r="BH66" i="4"/>
  <c r="BH71" i="4" s="1"/>
  <c r="BG66" i="4"/>
  <c r="BG71" i="4" s="1"/>
  <c r="BF66" i="4"/>
  <c r="BF71" i="4" s="1"/>
  <c r="BE66" i="4"/>
  <c r="BE71" i="4" s="1"/>
  <c r="BD66" i="4"/>
  <c r="BD71" i="4" s="1"/>
  <c r="BC66" i="4"/>
  <c r="BC71" i="4" s="1"/>
  <c r="BB66" i="4"/>
  <c r="BB71" i="4" s="1"/>
  <c r="BA66" i="4"/>
  <c r="BA71" i="4" s="1"/>
  <c r="AZ66" i="4"/>
  <c r="AZ71" i="4" s="1"/>
  <c r="AY66" i="4"/>
  <c r="AY71" i="4" s="1"/>
  <c r="AX66" i="4"/>
  <c r="AX71" i="4" s="1"/>
  <c r="AW66" i="4"/>
  <c r="AW71" i="4" s="1"/>
  <c r="AV66" i="4"/>
  <c r="AV71" i="4" s="1"/>
  <c r="AU66" i="4"/>
  <c r="AU71" i="4" s="1"/>
  <c r="AT66" i="4"/>
  <c r="AT71" i="4" s="1"/>
  <c r="AS66" i="4"/>
  <c r="AS71" i="4" s="1"/>
  <c r="AR66" i="4"/>
  <c r="AR71" i="4" s="1"/>
  <c r="AQ66" i="4"/>
  <c r="AQ71" i="4" s="1"/>
  <c r="AP66" i="4"/>
  <c r="AP71" i="4" s="1"/>
  <c r="AO66" i="4"/>
  <c r="AO71" i="4" s="1"/>
  <c r="AN66" i="4"/>
  <c r="AN71" i="4" s="1"/>
  <c r="AM66" i="4"/>
  <c r="AM71" i="4" s="1"/>
  <c r="AL66" i="4"/>
  <c r="AL71" i="4" s="1"/>
  <c r="AK71" i="4"/>
  <c r="AJ66" i="4"/>
  <c r="AJ71" i="4" s="1"/>
  <c r="AI66" i="4"/>
  <c r="AI71" i="4" s="1"/>
  <c r="AH66" i="4"/>
  <c r="AH71" i="4" s="1"/>
  <c r="AG66" i="4"/>
  <c r="AG71" i="4" s="1"/>
  <c r="AF66" i="4"/>
  <c r="AF71" i="4" s="1"/>
  <c r="AE66" i="4"/>
  <c r="AE71" i="4" s="1"/>
  <c r="AD66" i="4"/>
  <c r="AD71" i="4" s="1"/>
  <c r="AC66" i="4"/>
  <c r="AC71" i="4" s="1"/>
  <c r="AB66" i="4"/>
  <c r="AB71" i="4" s="1"/>
  <c r="AA66" i="4"/>
  <c r="AA71" i="4" s="1"/>
  <c r="Z66" i="4"/>
  <c r="Z71" i="4" s="1"/>
  <c r="Y66" i="4"/>
  <c r="Y71" i="4" s="1"/>
  <c r="X66" i="4"/>
  <c r="X71" i="4" s="1"/>
  <c r="W66" i="4"/>
  <c r="W71" i="4" s="1"/>
  <c r="V66" i="4"/>
  <c r="V71" i="4" s="1"/>
  <c r="U66" i="4"/>
  <c r="U71" i="4" s="1"/>
  <c r="T66" i="4"/>
  <c r="T71" i="4" s="1"/>
  <c r="S66" i="4"/>
  <c r="S71" i="4" s="1"/>
  <c r="R66" i="4"/>
  <c r="R71" i="4" s="1"/>
  <c r="Q66" i="4"/>
  <c r="Q71" i="4" s="1"/>
  <c r="P66" i="4"/>
  <c r="P71" i="4" s="1"/>
  <c r="O66" i="4"/>
  <c r="O71" i="4" s="1"/>
  <c r="N66" i="4"/>
  <c r="N71" i="4" s="1"/>
  <c r="M66" i="4"/>
  <c r="M71" i="4" s="1"/>
  <c r="L66" i="4"/>
  <c r="L71" i="4" s="1"/>
  <c r="K66" i="4"/>
  <c r="K71" i="4" s="1"/>
  <c r="J66" i="4"/>
  <c r="J71" i="4" s="1"/>
  <c r="I66" i="4"/>
  <c r="I71" i="4" s="1"/>
  <c r="H66" i="4"/>
  <c r="H71" i="4" s="1"/>
  <c r="G66" i="4"/>
  <c r="G71" i="4" s="1"/>
  <c r="F24" i="4"/>
  <c r="BL24" i="4" l="1"/>
  <c r="BL29" i="4" s="1"/>
  <c r="BL66" i="4" s="1"/>
  <c r="BL71" i="4" s="1"/>
  <c r="F29" i="4"/>
  <c r="F66" i="4" s="1"/>
  <c r="F71" i="4" s="1"/>
  <c r="AU64" i="3"/>
  <c r="AW64" i="3"/>
  <c r="AZ64" i="3"/>
  <c r="BB64" i="3"/>
  <c r="BC64" i="3"/>
  <c r="BD64" i="3"/>
  <c r="BE64" i="3"/>
  <c r="BF64" i="3"/>
  <c r="BG64" i="3"/>
  <c r="BH64" i="3"/>
  <c r="BI64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AU70" i="3"/>
  <c r="AV70" i="3"/>
  <c r="AW70" i="3"/>
  <c r="BB70" i="3"/>
  <c r="BD70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AT70" i="3"/>
  <c r="AR70" i="3"/>
  <c r="AL70" i="3"/>
  <c r="AK70" i="3"/>
  <c r="AJ70" i="3"/>
  <c r="AI70" i="3"/>
  <c r="AH70" i="3"/>
  <c r="AF70" i="3"/>
  <c r="AE70" i="3"/>
  <c r="AD70" i="3"/>
  <c r="AC70" i="3"/>
  <c r="AB70" i="3"/>
  <c r="AA70" i="3"/>
  <c r="Z70" i="3"/>
  <c r="X70" i="3"/>
  <c r="W70" i="3"/>
  <c r="V70" i="3"/>
  <c r="T70" i="3"/>
  <c r="S70" i="3"/>
  <c r="Q70" i="3"/>
  <c r="P70" i="3"/>
  <c r="O70" i="3"/>
  <c r="L70" i="3"/>
  <c r="K70" i="3"/>
  <c r="J70" i="3"/>
  <c r="H70" i="3"/>
  <c r="F70" i="3"/>
  <c r="D70" i="3"/>
  <c r="AS64" i="3"/>
  <c r="AQ64" i="3"/>
  <c r="AP64" i="3"/>
  <c r="AO64" i="3"/>
  <c r="AL64" i="3"/>
  <c r="AK64" i="3"/>
  <c r="AI64" i="3"/>
  <c r="AE64" i="3"/>
  <c r="AC64" i="3"/>
  <c r="AB64" i="3"/>
  <c r="AA64" i="3"/>
  <c r="Y64" i="3"/>
  <c r="V64" i="3"/>
  <c r="T64" i="3"/>
  <c r="S64" i="3"/>
  <c r="R64" i="3"/>
  <c r="Q64" i="3"/>
  <c r="N64" i="3"/>
  <c r="L64" i="3"/>
  <c r="F64" i="3"/>
  <c r="D64" i="3"/>
  <c r="BB63" i="3"/>
  <c r="BB62" i="3"/>
  <c r="BB61" i="3"/>
  <c r="BB60" i="3"/>
  <c r="BD60" i="3" s="1"/>
  <c r="AR59" i="3"/>
  <c r="AR64" i="3" s="1"/>
  <c r="AJ59" i="3"/>
  <c r="AJ64" i="3" s="1"/>
  <c r="AH59" i="3"/>
  <c r="AH64" i="3" s="1"/>
  <c r="AG59" i="3"/>
  <c r="AG64" i="3" s="1"/>
  <c r="AD59" i="3"/>
  <c r="AD64" i="3" s="1"/>
  <c r="Z59" i="3"/>
  <c r="Z64" i="3" s="1"/>
  <c r="X59" i="3"/>
  <c r="X64" i="3" s="1"/>
  <c r="W59" i="3"/>
  <c r="W64" i="3" s="1"/>
  <c r="U59" i="3"/>
  <c r="U64" i="3" s="1"/>
  <c r="P59" i="3"/>
  <c r="P64" i="3" s="1"/>
  <c r="O59" i="3"/>
  <c r="O64" i="3" s="1"/>
  <c r="M59" i="3"/>
  <c r="M64" i="3" s="1"/>
  <c r="K59" i="3"/>
  <c r="K64" i="3" s="1"/>
  <c r="H59" i="3"/>
  <c r="H64" i="3" s="1"/>
  <c r="G59" i="3"/>
  <c r="G64" i="3" s="1"/>
  <c r="E59" i="3"/>
  <c r="BB58" i="3"/>
  <c r="BG58" i="3" s="1"/>
  <c r="BI57" i="3"/>
  <c r="BH57" i="3"/>
  <c r="BG57" i="3"/>
  <c r="BF57" i="3"/>
  <c r="BE57" i="3"/>
  <c r="BD57" i="3"/>
  <c r="BC57" i="3"/>
  <c r="BA57" i="3"/>
  <c r="AZ57" i="3"/>
  <c r="AW57" i="3"/>
  <c r="AU57" i="3"/>
  <c r="AR57" i="3"/>
  <c r="AQ57" i="3"/>
  <c r="AP57" i="3"/>
  <c r="AO57" i="3"/>
  <c r="AL57" i="3"/>
  <c r="AJ57" i="3"/>
  <c r="AH57" i="3"/>
  <c r="AF57" i="3"/>
  <c r="AB57" i="3"/>
  <c r="AA57" i="3"/>
  <c r="Z57" i="3"/>
  <c r="X57" i="3"/>
  <c r="U57" i="3"/>
  <c r="P57" i="3"/>
  <c r="K57" i="3"/>
  <c r="J57" i="3"/>
  <c r="I57" i="3"/>
  <c r="E57" i="3"/>
  <c r="BB56" i="3"/>
  <c r="BB55" i="3"/>
  <c r="BB54" i="3"/>
  <c r="BB53" i="3"/>
  <c r="AX52" i="3"/>
  <c r="AX57" i="3" s="1"/>
  <c r="AS52" i="3"/>
  <c r="AS57" i="3" s="1"/>
  <c r="Y52" i="3"/>
  <c r="Y57" i="3" s="1"/>
  <c r="T52" i="3"/>
  <c r="T57" i="3" s="1"/>
  <c r="S52" i="3"/>
  <c r="S57" i="3" s="1"/>
  <c r="Q52" i="3"/>
  <c r="Q57" i="3" s="1"/>
  <c r="L52" i="3"/>
  <c r="L57" i="3" s="1"/>
  <c r="H52" i="3"/>
  <c r="H57" i="3" s="1"/>
  <c r="F52" i="3"/>
  <c r="BB51" i="3"/>
  <c r="BI50" i="3"/>
  <c r="BH50" i="3"/>
  <c r="BG50" i="3"/>
  <c r="BF50" i="3"/>
  <c r="BE50" i="3"/>
  <c r="BD50" i="3"/>
  <c r="BC50" i="3"/>
  <c r="U50" i="3"/>
  <c r="BB50" i="3" s="1"/>
  <c r="BB44" i="3"/>
  <c r="BB49" i="3" s="1"/>
  <c r="BI43" i="3"/>
  <c r="BH43" i="3"/>
  <c r="BG43" i="3"/>
  <c r="BF43" i="3"/>
  <c r="BE43" i="3"/>
  <c r="BD43" i="3"/>
  <c r="BC43" i="3"/>
  <c r="BA43" i="3"/>
  <c r="AZ43" i="3"/>
  <c r="AY43" i="3"/>
  <c r="AX43" i="3"/>
  <c r="AW43" i="3"/>
  <c r="AV43" i="3"/>
  <c r="AU43" i="3"/>
  <c r="AT43" i="3"/>
  <c r="AS43" i="3"/>
  <c r="AQ43" i="3"/>
  <c r="AO43" i="3"/>
  <c r="AK43" i="3"/>
  <c r="AI43" i="3"/>
  <c r="AC43" i="3"/>
  <c r="V43" i="3"/>
  <c r="T43" i="3"/>
  <c r="S43" i="3"/>
  <c r="Q43" i="3"/>
  <c r="N43" i="3"/>
  <c r="M43" i="3"/>
  <c r="L43" i="3"/>
  <c r="J43" i="3"/>
  <c r="H43" i="3"/>
  <c r="F43" i="3"/>
  <c r="E43" i="3"/>
  <c r="D43" i="3"/>
  <c r="BB42" i="3"/>
  <c r="BB41" i="3"/>
  <c r="BB40" i="3"/>
  <c r="BB39" i="3"/>
  <c r="AR38" i="3"/>
  <c r="AR43" i="3" s="1"/>
  <c r="AP38" i="3"/>
  <c r="AP43" i="3" s="1"/>
  <c r="AN38" i="3"/>
  <c r="AN43" i="3" s="1"/>
  <c r="AM38" i="3"/>
  <c r="AM43" i="3" s="1"/>
  <c r="AL38" i="3"/>
  <c r="AL43" i="3" s="1"/>
  <c r="AJ38" i="3"/>
  <c r="AJ43" i="3" s="1"/>
  <c r="AH38" i="3"/>
  <c r="AH43" i="3" s="1"/>
  <c r="AG38" i="3"/>
  <c r="AG43" i="3" s="1"/>
  <c r="AF38" i="3"/>
  <c r="AF43" i="3" s="1"/>
  <c r="AE38" i="3"/>
  <c r="AE43" i="3" s="1"/>
  <c r="AD38" i="3"/>
  <c r="AD43" i="3" s="1"/>
  <c r="AB38" i="3"/>
  <c r="AB43" i="3" s="1"/>
  <c r="AA38" i="3"/>
  <c r="AA43" i="3" s="1"/>
  <c r="Z38" i="3"/>
  <c r="Z43" i="3" s="1"/>
  <c r="Y38" i="3"/>
  <c r="Y43" i="3" s="1"/>
  <c r="X38" i="3"/>
  <c r="X43" i="3" s="1"/>
  <c r="W38" i="3"/>
  <c r="W43" i="3" s="1"/>
  <c r="U38" i="3"/>
  <c r="U43" i="3" s="1"/>
  <c r="R38" i="3"/>
  <c r="R43" i="3" s="1"/>
  <c r="P38" i="3"/>
  <c r="P43" i="3" s="1"/>
  <c r="O38" i="3"/>
  <c r="O43" i="3" s="1"/>
  <c r="K38" i="3"/>
  <c r="K43" i="3" s="1"/>
  <c r="I38" i="3"/>
  <c r="I43" i="3" s="1"/>
  <c r="G38" i="3"/>
  <c r="BB37" i="3"/>
  <c r="BI36" i="3"/>
  <c r="BH36" i="3"/>
  <c r="BG36" i="3"/>
  <c r="BF36" i="3"/>
  <c r="BE36" i="3"/>
  <c r="BD36" i="3"/>
  <c r="T31" i="3"/>
  <c r="T36" i="3" s="1"/>
  <c r="BB36" i="3" s="1"/>
  <c r="BI29" i="3"/>
  <c r="BH29" i="3"/>
  <c r="BG29" i="3"/>
  <c r="BF29" i="3"/>
  <c r="BE29" i="3"/>
  <c r="BD29" i="3"/>
  <c r="BC29" i="3"/>
  <c r="BA29" i="3"/>
  <c r="AZ29" i="3"/>
  <c r="AY29" i="3"/>
  <c r="U29" i="3"/>
  <c r="R29" i="3"/>
  <c r="P29" i="3"/>
  <c r="M29" i="3"/>
  <c r="K29" i="3"/>
  <c r="I29" i="3"/>
  <c r="G29" i="3"/>
  <c r="E29" i="3"/>
  <c r="BB28" i="3"/>
  <c r="BB27" i="3"/>
  <c r="BB26" i="3"/>
  <c r="BB25" i="3"/>
  <c r="AX24" i="3"/>
  <c r="AX29" i="3" s="1"/>
  <c r="AW24" i="3"/>
  <c r="AW29" i="3" s="1"/>
  <c r="AV24" i="3"/>
  <c r="AV29" i="3" s="1"/>
  <c r="AU24" i="3"/>
  <c r="AU29" i="3" s="1"/>
  <c r="AT24" i="3"/>
  <c r="AT29" i="3" s="1"/>
  <c r="AS24" i="3"/>
  <c r="AS29" i="3" s="1"/>
  <c r="AR24" i="3"/>
  <c r="AR29" i="3" s="1"/>
  <c r="AQ24" i="3"/>
  <c r="AQ29" i="3" s="1"/>
  <c r="AP24" i="3"/>
  <c r="AP29" i="3" s="1"/>
  <c r="AO24" i="3"/>
  <c r="AO29" i="3" s="1"/>
  <c r="AN24" i="3"/>
  <c r="AN29" i="3" s="1"/>
  <c r="AM24" i="3"/>
  <c r="AM29" i="3" s="1"/>
  <c r="AL24" i="3"/>
  <c r="AL29" i="3" s="1"/>
  <c r="AK24" i="3"/>
  <c r="AK29" i="3" s="1"/>
  <c r="AJ24" i="3"/>
  <c r="AJ29" i="3" s="1"/>
  <c r="AI24" i="3"/>
  <c r="AI29" i="3" s="1"/>
  <c r="AH24" i="3"/>
  <c r="AH29" i="3" s="1"/>
  <c r="AG24" i="3"/>
  <c r="AG29" i="3" s="1"/>
  <c r="AF24" i="3"/>
  <c r="AF29" i="3" s="1"/>
  <c r="AE24" i="3"/>
  <c r="AE29" i="3" s="1"/>
  <c r="AD24" i="3"/>
  <c r="AD29" i="3" s="1"/>
  <c r="AC24" i="3"/>
  <c r="AC29" i="3" s="1"/>
  <c r="AB24" i="3"/>
  <c r="AB29" i="3" s="1"/>
  <c r="AA24" i="3"/>
  <c r="AA29" i="3" s="1"/>
  <c r="Z24" i="3"/>
  <c r="Z29" i="3" s="1"/>
  <c r="Y24" i="3"/>
  <c r="Y29" i="3" s="1"/>
  <c r="X24" i="3"/>
  <c r="X29" i="3" s="1"/>
  <c r="W24" i="3"/>
  <c r="W29" i="3" s="1"/>
  <c r="V24" i="3"/>
  <c r="V29" i="3" s="1"/>
  <c r="T24" i="3"/>
  <c r="T29" i="3" s="1"/>
  <c r="S24" i="3"/>
  <c r="S29" i="3" s="1"/>
  <c r="Q24" i="3"/>
  <c r="Q29" i="3" s="1"/>
  <c r="O24" i="3"/>
  <c r="O29" i="3" s="1"/>
  <c r="N24" i="3"/>
  <c r="N29" i="3" s="1"/>
  <c r="L24" i="3"/>
  <c r="L29" i="3" s="1"/>
  <c r="J24" i="3"/>
  <c r="J29" i="3" s="1"/>
  <c r="H24" i="3"/>
  <c r="H29" i="3" s="1"/>
  <c r="F24" i="3"/>
  <c r="F29" i="3" s="1"/>
  <c r="D24" i="3"/>
  <c r="BB23" i="3"/>
  <c r="AT22" i="3"/>
  <c r="AN22" i="3"/>
  <c r="AH22" i="3"/>
  <c r="AF22" i="3"/>
  <c r="Y22" i="3"/>
  <c r="U22" i="3"/>
  <c r="S22" i="3"/>
  <c r="R22" i="3"/>
  <c r="P22" i="3"/>
  <c r="N22" i="3"/>
  <c r="J22" i="3"/>
  <c r="BB21" i="3"/>
  <c r="BB20" i="3"/>
  <c r="BB19" i="3"/>
  <c r="BB18" i="3"/>
  <c r="BD18" i="3" s="1"/>
  <c r="AS17" i="3"/>
  <c r="AS22" i="3" s="1"/>
  <c r="AK17" i="3"/>
  <c r="AK22" i="3" s="1"/>
  <c r="AC17" i="3"/>
  <c r="AC22" i="3" s="1"/>
  <c r="AA17" i="3"/>
  <c r="AA22" i="3" s="1"/>
  <c r="Q17" i="3"/>
  <c r="Q22" i="3" s="1"/>
  <c r="L17" i="3"/>
  <c r="L22" i="3" s="1"/>
  <c r="H17" i="3"/>
  <c r="BB16" i="3"/>
  <c r="BG16" i="3" s="1"/>
  <c r="BI15" i="3"/>
  <c r="BH15" i="3"/>
  <c r="BG15" i="3"/>
  <c r="BF15" i="3"/>
  <c r="BE15" i="3"/>
  <c r="BD15" i="3"/>
  <c r="BC15" i="3"/>
  <c r="BA15" i="3"/>
  <c r="AY15" i="3"/>
  <c r="AW15" i="3"/>
  <c r="AV15" i="3"/>
  <c r="AT15" i="3"/>
  <c r="AR15" i="3"/>
  <c r="AP15" i="3"/>
  <c r="AN15" i="3"/>
  <c r="AL15" i="3"/>
  <c r="AJ15" i="3"/>
  <c r="AH15" i="3"/>
  <c r="AD15" i="3"/>
  <c r="AB15" i="3"/>
  <c r="Z15" i="3"/>
  <c r="W15" i="3"/>
  <c r="U15" i="3"/>
  <c r="R15" i="3"/>
  <c r="Q15" i="3"/>
  <c r="P15" i="3"/>
  <c r="N15" i="3"/>
  <c r="M15" i="3"/>
  <c r="L15" i="3"/>
  <c r="K15" i="3"/>
  <c r="J15" i="3"/>
  <c r="I15" i="3"/>
  <c r="G15" i="3"/>
  <c r="E15" i="3"/>
  <c r="BB14" i="3"/>
  <c r="BB13" i="3"/>
  <c r="BB12" i="3"/>
  <c r="BB11" i="3"/>
  <c r="AX10" i="3"/>
  <c r="AX15" i="3" s="1"/>
  <c r="AU10" i="3"/>
  <c r="AU15" i="3" s="1"/>
  <c r="AS10" i="3"/>
  <c r="AS15" i="3" s="1"/>
  <c r="AQ10" i="3"/>
  <c r="AQ15" i="3" s="1"/>
  <c r="AO10" i="3"/>
  <c r="AO15" i="3" s="1"/>
  <c r="AM10" i="3"/>
  <c r="AM15" i="3" s="1"/>
  <c r="AK10" i="3"/>
  <c r="AK15" i="3" s="1"/>
  <c r="AI10" i="3"/>
  <c r="AI15" i="3" s="1"/>
  <c r="AF10" i="3"/>
  <c r="AF15" i="3" s="1"/>
  <c r="AE10" i="3"/>
  <c r="AE15" i="3" s="1"/>
  <c r="AC10" i="3"/>
  <c r="AC15" i="3" s="1"/>
  <c r="AA10" i="3"/>
  <c r="AA15" i="3" s="1"/>
  <c r="Y10" i="3"/>
  <c r="Y15" i="3" s="1"/>
  <c r="V10" i="3"/>
  <c r="V15" i="3" s="1"/>
  <c r="T10" i="3"/>
  <c r="T15" i="3" s="1"/>
  <c r="S10" i="3"/>
  <c r="S15" i="3" s="1"/>
  <c r="D10" i="3"/>
  <c r="BB9" i="3"/>
  <c r="BA8" i="3"/>
  <c r="AZ8" i="3"/>
  <c r="AY8" i="3"/>
  <c r="AW8" i="3"/>
  <c r="AN8" i="3"/>
  <c r="AN66" i="3" s="1"/>
  <c r="AN71" i="3" s="1"/>
  <c r="BB7" i="3"/>
  <c r="BB6" i="3"/>
  <c r="BB5" i="3"/>
  <c r="BB4" i="3"/>
  <c r="BD4" i="3" s="1"/>
  <c r="AX3" i="3"/>
  <c r="AX8" i="3" s="1"/>
  <c r="AV3" i="3"/>
  <c r="AV8" i="3" s="1"/>
  <c r="AU3" i="3"/>
  <c r="AU8" i="3" s="1"/>
  <c r="AT3" i="3"/>
  <c r="AT8" i="3" s="1"/>
  <c r="AT66" i="3" s="1"/>
  <c r="AT71" i="3" s="1"/>
  <c r="AS3" i="3"/>
  <c r="AS8" i="3" s="1"/>
  <c r="AS66" i="3" s="1"/>
  <c r="AS71" i="3" s="1"/>
  <c r="AR3" i="3"/>
  <c r="AR8" i="3" s="1"/>
  <c r="AR66" i="3" s="1"/>
  <c r="AR71" i="3" s="1"/>
  <c r="AQ3" i="3"/>
  <c r="AQ8" i="3" s="1"/>
  <c r="AQ66" i="3" s="1"/>
  <c r="AQ71" i="3" s="1"/>
  <c r="AP3" i="3"/>
  <c r="AP8" i="3" s="1"/>
  <c r="AP66" i="3" s="1"/>
  <c r="AP71" i="3" s="1"/>
  <c r="AO3" i="3"/>
  <c r="AO8" i="3" s="1"/>
  <c r="AO66" i="3" s="1"/>
  <c r="AO71" i="3" s="1"/>
  <c r="AM3" i="3"/>
  <c r="AM8" i="3" s="1"/>
  <c r="AL3" i="3"/>
  <c r="AL8" i="3" s="1"/>
  <c r="AL66" i="3" s="1"/>
  <c r="AL71" i="3" s="1"/>
  <c r="AK3" i="3"/>
  <c r="AK8" i="3" s="1"/>
  <c r="AK66" i="3" s="1"/>
  <c r="AK71" i="3" s="1"/>
  <c r="AJ3" i="3"/>
  <c r="AJ8" i="3" s="1"/>
  <c r="AJ66" i="3" s="1"/>
  <c r="AJ71" i="3" s="1"/>
  <c r="AI3" i="3"/>
  <c r="AI8" i="3" s="1"/>
  <c r="AI66" i="3" s="1"/>
  <c r="AI71" i="3" s="1"/>
  <c r="AH3" i="3"/>
  <c r="AH8" i="3" s="1"/>
  <c r="AH66" i="3" s="1"/>
  <c r="AH71" i="3" s="1"/>
  <c r="AG3" i="3"/>
  <c r="AG8" i="3" s="1"/>
  <c r="AG66" i="3" s="1"/>
  <c r="AG71" i="3" s="1"/>
  <c r="AF3" i="3"/>
  <c r="AF8" i="3" s="1"/>
  <c r="AF66" i="3" s="1"/>
  <c r="AF71" i="3" s="1"/>
  <c r="AE3" i="3"/>
  <c r="AE8" i="3" s="1"/>
  <c r="AE66" i="3" s="1"/>
  <c r="AE71" i="3" s="1"/>
  <c r="AD3" i="3"/>
  <c r="AD8" i="3" s="1"/>
  <c r="AD66" i="3" s="1"/>
  <c r="AD71" i="3" s="1"/>
  <c r="AC3" i="3"/>
  <c r="AC8" i="3" s="1"/>
  <c r="AC66" i="3" s="1"/>
  <c r="AC71" i="3" s="1"/>
  <c r="AB3" i="3"/>
  <c r="AB8" i="3" s="1"/>
  <c r="AB66" i="3" s="1"/>
  <c r="AB71" i="3" s="1"/>
  <c r="AA3" i="3"/>
  <c r="AA8" i="3" s="1"/>
  <c r="AA66" i="3" s="1"/>
  <c r="AA71" i="3" s="1"/>
  <c r="Z3" i="3"/>
  <c r="Z8" i="3" s="1"/>
  <c r="Z66" i="3" s="1"/>
  <c r="Z71" i="3" s="1"/>
  <c r="Y3" i="3"/>
  <c r="Y8" i="3" s="1"/>
  <c r="Y66" i="3" s="1"/>
  <c r="Y71" i="3" s="1"/>
  <c r="X3" i="3"/>
  <c r="X8" i="3" s="1"/>
  <c r="X66" i="3" s="1"/>
  <c r="X71" i="3" s="1"/>
  <c r="W3" i="3"/>
  <c r="W8" i="3" s="1"/>
  <c r="W66" i="3" s="1"/>
  <c r="W71" i="3" s="1"/>
  <c r="V3" i="3"/>
  <c r="V8" i="3" s="1"/>
  <c r="V66" i="3" s="1"/>
  <c r="V71" i="3" s="1"/>
  <c r="U3" i="3"/>
  <c r="U8" i="3" s="1"/>
  <c r="U66" i="3" s="1"/>
  <c r="U71" i="3" s="1"/>
  <c r="T3" i="3"/>
  <c r="T8" i="3" s="1"/>
  <c r="T66" i="3" s="1"/>
  <c r="T71" i="3" s="1"/>
  <c r="S3" i="3"/>
  <c r="S8" i="3" s="1"/>
  <c r="S66" i="3" s="1"/>
  <c r="S71" i="3" s="1"/>
  <c r="R3" i="3"/>
  <c r="R8" i="3" s="1"/>
  <c r="R66" i="3" s="1"/>
  <c r="R71" i="3" s="1"/>
  <c r="Q3" i="3"/>
  <c r="Q8" i="3" s="1"/>
  <c r="Q66" i="3" s="1"/>
  <c r="Q71" i="3" s="1"/>
  <c r="P3" i="3"/>
  <c r="P8" i="3" s="1"/>
  <c r="P66" i="3" s="1"/>
  <c r="P71" i="3" s="1"/>
  <c r="O3" i="3"/>
  <c r="O8" i="3" s="1"/>
  <c r="O66" i="3" s="1"/>
  <c r="O71" i="3" s="1"/>
  <c r="N3" i="3"/>
  <c r="N8" i="3" s="1"/>
  <c r="N66" i="3" s="1"/>
  <c r="N71" i="3" s="1"/>
  <c r="M3" i="3"/>
  <c r="M8" i="3" s="1"/>
  <c r="M66" i="3" s="1"/>
  <c r="M71" i="3" s="1"/>
  <c r="L3" i="3"/>
  <c r="L8" i="3" s="1"/>
  <c r="L66" i="3" s="1"/>
  <c r="L71" i="3" s="1"/>
  <c r="K3" i="3"/>
  <c r="K8" i="3" s="1"/>
  <c r="K66" i="3" s="1"/>
  <c r="K71" i="3" s="1"/>
  <c r="J3" i="3"/>
  <c r="J8" i="3" s="1"/>
  <c r="J66" i="3" s="1"/>
  <c r="J71" i="3" s="1"/>
  <c r="I3" i="3"/>
  <c r="I8" i="3" s="1"/>
  <c r="I66" i="3" s="1"/>
  <c r="I71" i="3" s="1"/>
  <c r="H3" i="3"/>
  <c r="H8" i="3" s="1"/>
  <c r="G3" i="3"/>
  <c r="G8" i="3" s="1"/>
  <c r="F3" i="3"/>
  <c r="F8" i="3" s="1"/>
  <c r="E3" i="3"/>
  <c r="E8" i="3" s="1"/>
  <c r="D3" i="3"/>
  <c r="BB2" i="3"/>
  <c r="W70" i="2"/>
  <c r="BG2" i="3" l="1"/>
  <c r="D8" i="3"/>
  <c r="BB3" i="3"/>
  <c r="BD8" i="3"/>
  <c r="BI4" i="3"/>
  <c r="BF5" i="3"/>
  <c r="BF8" i="3" s="1"/>
  <c r="BE5" i="3"/>
  <c r="D15" i="3"/>
  <c r="BB15" i="3" s="1"/>
  <c r="BB10" i="3"/>
  <c r="BG22" i="3"/>
  <c r="BI16" i="3"/>
  <c r="H22" i="3"/>
  <c r="BB17" i="3"/>
  <c r="BD22" i="3"/>
  <c r="BI18" i="3"/>
  <c r="BF19" i="3"/>
  <c r="BF22" i="3" s="1"/>
  <c r="BE19" i="3"/>
  <c r="D29" i="3"/>
  <c r="BB29" i="3" s="1"/>
  <c r="BB24" i="3"/>
  <c r="G43" i="3"/>
  <c r="G66" i="3" s="1"/>
  <c r="G71" i="3" s="1"/>
  <c r="BB38" i="3"/>
  <c r="AM66" i="3"/>
  <c r="BB43" i="3"/>
  <c r="F57" i="3"/>
  <c r="F66" i="3" s="1"/>
  <c r="F71" i="3" s="1"/>
  <c r="BB52" i="3"/>
  <c r="BB57" i="3"/>
  <c r="BI58" i="3"/>
  <c r="E64" i="3"/>
  <c r="E66" i="3" s="1"/>
  <c r="E71" i="3" s="1"/>
  <c r="BB59" i="3"/>
  <c r="BI60" i="3"/>
  <c r="BF61" i="3"/>
  <c r="BE61" i="3"/>
  <c r="F70" i="2"/>
  <c r="BI61" i="3" l="1"/>
  <c r="BH59" i="3"/>
  <c r="BC59" i="3"/>
  <c r="BE22" i="3"/>
  <c r="BI19" i="3"/>
  <c r="BH17" i="3"/>
  <c r="BH22" i="3" s="1"/>
  <c r="BC17" i="3"/>
  <c r="BB22" i="3"/>
  <c r="H66" i="3"/>
  <c r="H71" i="3" s="1"/>
  <c r="BE8" i="3"/>
  <c r="BI5" i="3"/>
  <c r="BH3" i="3"/>
  <c r="BH8" i="3" s="1"/>
  <c r="BC3" i="3"/>
  <c r="BB8" i="3"/>
  <c r="D66" i="3"/>
  <c r="D71" i="3" s="1"/>
  <c r="BG8" i="3"/>
  <c r="BI2" i="3"/>
  <c r="AW70" i="2"/>
  <c r="AV70" i="2"/>
  <c r="AU70" i="2"/>
  <c r="AT70" i="2"/>
  <c r="AR70" i="2"/>
  <c r="AL70" i="2"/>
  <c r="AK70" i="2"/>
  <c r="AJ70" i="2"/>
  <c r="AI70" i="2"/>
  <c r="AH70" i="2"/>
  <c r="AF70" i="2"/>
  <c r="AE70" i="2"/>
  <c r="AD70" i="2"/>
  <c r="AC70" i="2"/>
  <c r="AB70" i="2"/>
  <c r="AA70" i="2"/>
  <c r="Z70" i="2"/>
  <c r="X70" i="2"/>
  <c r="V70" i="2"/>
  <c r="T70" i="2"/>
  <c r="S70" i="2"/>
  <c r="Q70" i="2"/>
  <c r="P70" i="2"/>
  <c r="O70" i="2"/>
  <c r="L70" i="2"/>
  <c r="K70" i="2"/>
  <c r="J70" i="2"/>
  <c r="H70" i="2"/>
  <c r="D70" i="2"/>
  <c r="BB70" i="2" s="1"/>
  <c r="BD70" i="2" s="1"/>
  <c r="AZ64" i="2"/>
  <c r="AW64" i="2"/>
  <c r="AU64" i="2"/>
  <c r="AS64" i="2"/>
  <c r="AQ64" i="2"/>
  <c r="AP64" i="2"/>
  <c r="AO64" i="2"/>
  <c r="AL64" i="2"/>
  <c r="AK64" i="2"/>
  <c r="AI64" i="2"/>
  <c r="AE64" i="2"/>
  <c r="AC64" i="2"/>
  <c r="AB64" i="2"/>
  <c r="AA64" i="2"/>
  <c r="Y64" i="2"/>
  <c r="V64" i="2"/>
  <c r="T64" i="2"/>
  <c r="S64" i="2"/>
  <c r="R64" i="2"/>
  <c r="Q64" i="2"/>
  <c r="N64" i="2"/>
  <c r="L64" i="2"/>
  <c r="F64" i="2"/>
  <c r="D64" i="2"/>
  <c r="BB63" i="2"/>
  <c r="BB62" i="2"/>
  <c r="BB61" i="2"/>
  <c r="BF61" i="2" s="1"/>
  <c r="BF64" i="2" s="1"/>
  <c r="BB60" i="2"/>
  <c r="BD60" i="2" s="1"/>
  <c r="AJ59" i="2"/>
  <c r="AJ64" i="2" s="1"/>
  <c r="AH59" i="2"/>
  <c r="AH64" i="2" s="1"/>
  <c r="AG59" i="2"/>
  <c r="AG64" i="2" s="1"/>
  <c r="AD59" i="2"/>
  <c r="AD64" i="2" s="1"/>
  <c r="Z59" i="2"/>
  <c r="Z64" i="2" s="1"/>
  <c r="X59" i="2"/>
  <c r="X64" i="2" s="1"/>
  <c r="W59" i="2"/>
  <c r="W64" i="2" s="1"/>
  <c r="U59" i="2"/>
  <c r="U64" i="2" s="1"/>
  <c r="P59" i="2"/>
  <c r="P64" i="2" s="1"/>
  <c r="O59" i="2"/>
  <c r="O64" i="2" s="1"/>
  <c r="M59" i="2"/>
  <c r="M64" i="2" s="1"/>
  <c r="K59" i="2"/>
  <c r="K64" i="2" s="1"/>
  <c r="H59" i="2"/>
  <c r="H64" i="2" s="1"/>
  <c r="G59" i="2"/>
  <c r="G64" i="2" s="1"/>
  <c r="E59" i="2"/>
  <c r="E64" i="2" s="1"/>
  <c r="BB58" i="2"/>
  <c r="BG58" i="2" s="1"/>
  <c r="BG64" i="2" s="1"/>
  <c r="BI57" i="2"/>
  <c r="BH57" i="2"/>
  <c r="BG57" i="2"/>
  <c r="BF57" i="2"/>
  <c r="BE57" i="2"/>
  <c r="BD57" i="2"/>
  <c r="BC57" i="2"/>
  <c r="BA57" i="2"/>
  <c r="AZ57" i="2"/>
  <c r="AW57" i="2"/>
  <c r="AU57" i="2"/>
  <c r="AR57" i="2"/>
  <c r="AQ57" i="2"/>
  <c r="AP57" i="2"/>
  <c r="AO57" i="2"/>
  <c r="AL57" i="2"/>
  <c r="AJ57" i="2"/>
  <c r="AH57" i="2"/>
  <c r="AF57" i="2"/>
  <c r="AB57" i="2"/>
  <c r="AA57" i="2"/>
  <c r="Z57" i="2"/>
  <c r="X57" i="2"/>
  <c r="U57" i="2"/>
  <c r="P57" i="2"/>
  <c r="K57" i="2"/>
  <c r="J57" i="2"/>
  <c r="I57" i="2"/>
  <c r="E57" i="2"/>
  <c r="BB56" i="2"/>
  <c r="BB55" i="2"/>
  <c r="BB54" i="2"/>
  <c r="BB53" i="2"/>
  <c r="AX52" i="2"/>
  <c r="AX57" i="2" s="1"/>
  <c r="AS52" i="2"/>
  <c r="AS57" i="2" s="1"/>
  <c r="Y52" i="2"/>
  <c r="Y57" i="2" s="1"/>
  <c r="T52" i="2"/>
  <c r="T57" i="2" s="1"/>
  <c r="S52" i="2"/>
  <c r="S57" i="2" s="1"/>
  <c r="Q52" i="2"/>
  <c r="Q57" i="2" s="1"/>
  <c r="L52" i="2"/>
  <c r="L57" i="2" s="1"/>
  <c r="H52" i="2"/>
  <c r="H57" i="2" s="1"/>
  <c r="F52" i="2"/>
  <c r="BB51" i="2"/>
  <c r="BI50" i="2"/>
  <c r="BH50" i="2"/>
  <c r="BG50" i="2"/>
  <c r="BF50" i="2"/>
  <c r="BE50" i="2"/>
  <c r="BD50" i="2"/>
  <c r="BC50" i="2"/>
  <c r="U50" i="2"/>
  <c r="BB50" i="2" s="1"/>
  <c r="BB44" i="2"/>
  <c r="BB49" i="2" s="1"/>
  <c r="BI43" i="2"/>
  <c r="BH43" i="2"/>
  <c r="BG43" i="2"/>
  <c r="BF43" i="2"/>
  <c r="BE43" i="2"/>
  <c r="BD43" i="2"/>
  <c r="BC43" i="2"/>
  <c r="BA43" i="2"/>
  <c r="AZ43" i="2"/>
  <c r="AY43" i="2"/>
  <c r="AX43" i="2"/>
  <c r="AW43" i="2"/>
  <c r="AV43" i="2"/>
  <c r="AU43" i="2"/>
  <c r="AT43" i="2"/>
  <c r="AS43" i="2"/>
  <c r="AQ43" i="2"/>
  <c r="AO43" i="2"/>
  <c r="AK43" i="2"/>
  <c r="AI43" i="2"/>
  <c r="AC43" i="2"/>
  <c r="V43" i="2"/>
  <c r="T43" i="2"/>
  <c r="S43" i="2"/>
  <c r="Q43" i="2"/>
  <c r="N43" i="2"/>
  <c r="M43" i="2"/>
  <c r="L43" i="2"/>
  <c r="J43" i="2"/>
  <c r="H43" i="2"/>
  <c r="F43" i="2"/>
  <c r="E43" i="2"/>
  <c r="D43" i="2"/>
  <c r="BB42" i="2"/>
  <c r="BB41" i="2"/>
  <c r="BB40" i="2"/>
  <c r="BB39" i="2"/>
  <c r="AR38" i="2"/>
  <c r="AR43" i="2" s="1"/>
  <c r="AP38" i="2"/>
  <c r="AP43" i="2" s="1"/>
  <c r="AN38" i="2"/>
  <c r="AN43" i="2" s="1"/>
  <c r="AM38" i="2"/>
  <c r="AM43" i="2" s="1"/>
  <c r="AL38" i="2"/>
  <c r="AL43" i="2" s="1"/>
  <c r="AJ38" i="2"/>
  <c r="AJ43" i="2" s="1"/>
  <c r="AH38" i="2"/>
  <c r="AH43" i="2" s="1"/>
  <c r="AG38" i="2"/>
  <c r="AG43" i="2" s="1"/>
  <c r="AF38" i="2"/>
  <c r="AF43" i="2" s="1"/>
  <c r="AE38" i="2"/>
  <c r="AE43" i="2" s="1"/>
  <c r="AD38" i="2"/>
  <c r="AD43" i="2" s="1"/>
  <c r="AB38" i="2"/>
  <c r="AB43" i="2" s="1"/>
  <c r="AA38" i="2"/>
  <c r="AA43" i="2" s="1"/>
  <c r="Z38" i="2"/>
  <c r="Z43" i="2" s="1"/>
  <c r="Y38" i="2"/>
  <c r="Y43" i="2" s="1"/>
  <c r="X38" i="2"/>
  <c r="X43" i="2" s="1"/>
  <c r="W38" i="2"/>
  <c r="W43" i="2" s="1"/>
  <c r="U38" i="2"/>
  <c r="U43" i="2" s="1"/>
  <c r="R38" i="2"/>
  <c r="R43" i="2" s="1"/>
  <c r="P38" i="2"/>
  <c r="P43" i="2" s="1"/>
  <c r="O38" i="2"/>
  <c r="O43" i="2" s="1"/>
  <c r="K38" i="2"/>
  <c r="K43" i="2" s="1"/>
  <c r="I38" i="2"/>
  <c r="I43" i="2" s="1"/>
  <c r="G38" i="2"/>
  <c r="G43" i="2" s="1"/>
  <c r="BB37" i="2"/>
  <c r="BI36" i="2"/>
  <c r="BH36" i="2"/>
  <c r="BG36" i="2"/>
  <c r="BF36" i="2"/>
  <c r="BE36" i="2"/>
  <c r="BD36" i="2"/>
  <c r="T31" i="2"/>
  <c r="T36" i="2" s="1"/>
  <c r="BB36" i="2" s="1"/>
  <c r="BI29" i="2"/>
  <c r="BH29" i="2"/>
  <c r="BG29" i="2"/>
  <c r="BF29" i="2"/>
  <c r="BE29" i="2"/>
  <c r="BD29" i="2"/>
  <c r="BC29" i="2"/>
  <c r="BA29" i="2"/>
  <c r="AZ29" i="2"/>
  <c r="AY29" i="2"/>
  <c r="U29" i="2"/>
  <c r="R29" i="2"/>
  <c r="P29" i="2"/>
  <c r="M29" i="2"/>
  <c r="K29" i="2"/>
  <c r="I29" i="2"/>
  <c r="G29" i="2"/>
  <c r="E29" i="2"/>
  <c r="BB28" i="2"/>
  <c r="BB27" i="2"/>
  <c r="BB26" i="2"/>
  <c r="BB25" i="2"/>
  <c r="AX24" i="2"/>
  <c r="AX29" i="2" s="1"/>
  <c r="AW24" i="2"/>
  <c r="AW29" i="2" s="1"/>
  <c r="AV24" i="2"/>
  <c r="AV29" i="2" s="1"/>
  <c r="AU24" i="2"/>
  <c r="AU29" i="2" s="1"/>
  <c r="AT24" i="2"/>
  <c r="AT29" i="2" s="1"/>
  <c r="AS24" i="2"/>
  <c r="AS29" i="2" s="1"/>
  <c r="AR24" i="2"/>
  <c r="AR29" i="2" s="1"/>
  <c r="AQ24" i="2"/>
  <c r="AQ29" i="2" s="1"/>
  <c r="AP24" i="2"/>
  <c r="AP29" i="2" s="1"/>
  <c r="AO24" i="2"/>
  <c r="AO29" i="2" s="1"/>
  <c r="AN24" i="2"/>
  <c r="AN29" i="2" s="1"/>
  <c r="AM24" i="2"/>
  <c r="AM29" i="2" s="1"/>
  <c r="AL24" i="2"/>
  <c r="AL29" i="2" s="1"/>
  <c r="AK24" i="2"/>
  <c r="AK29" i="2" s="1"/>
  <c r="AJ24" i="2"/>
  <c r="AJ29" i="2" s="1"/>
  <c r="AI24" i="2"/>
  <c r="AI29" i="2" s="1"/>
  <c r="AH24" i="2"/>
  <c r="AH29" i="2" s="1"/>
  <c r="AG24" i="2"/>
  <c r="AG29" i="2" s="1"/>
  <c r="AF24" i="2"/>
  <c r="AF29" i="2" s="1"/>
  <c r="AE24" i="2"/>
  <c r="AE29" i="2" s="1"/>
  <c r="AD24" i="2"/>
  <c r="AD29" i="2" s="1"/>
  <c r="AC24" i="2"/>
  <c r="AC29" i="2" s="1"/>
  <c r="AB24" i="2"/>
  <c r="AB29" i="2" s="1"/>
  <c r="AA24" i="2"/>
  <c r="AA29" i="2" s="1"/>
  <c r="Z24" i="2"/>
  <c r="Z29" i="2" s="1"/>
  <c r="Y24" i="2"/>
  <c r="Y29" i="2" s="1"/>
  <c r="X24" i="2"/>
  <c r="X29" i="2" s="1"/>
  <c r="W24" i="2"/>
  <c r="W29" i="2" s="1"/>
  <c r="V24" i="2"/>
  <c r="V29" i="2" s="1"/>
  <c r="T24" i="2"/>
  <c r="T29" i="2" s="1"/>
  <c r="S24" i="2"/>
  <c r="S29" i="2" s="1"/>
  <c r="Q24" i="2"/>
  <c r="Q29" i="2" s="1"/>
  <c r="O24" i="2"/>
  <c r="O29" i="2" s="1"/>
  <c r="N24" i="2"/>
  <c r="N29" i="2" s="1"/>
  <c r="L24" i="2"/>
  <c r="L29" i="2" s="1"/>
  <c r="J24" i="2"/>
  <c r="J29" i="2" s="1"/>
  <c r="H24" i="2"/>
  <c r="H29" i="2" s="1"/>
  <c r="F24" i="2"/>
  <c r="F29" i="2" s="1"/>
  <c r="D24" i="2"/>
  <c r="D29" i="2" s="1"/>
  <c r="BB29" i="2" s="1"/>
  <c r="BB23" i="2"/>
  <c r="AT22" i="2"/>
  <c r="AN22" i="2"/>
  <c r="AH22" i="2"/>
  <c r="AF22" i="2"/>
  <c r="Y22" i="2"/>
  <c r="U22" i="2"/>
  <c r="S22" i="2"/>
  <c r="R22" i="2"/>
  <c r="P22" i="2"/>
  <c r="N22" i="2"/>
  <c r="J22" i="2"/>
  <c r="BB21" i="2"/>
  <c r="BB20" i="2"/>
  <c r="BB19" i="2"/>
  <c r="BF19" i="2" s="1"/>
  <c r="BF22" i="2" s="1"/>
  <c r="BB18" i="2"/>
  <c r="BD18" i="2" s="1"/>
  <c r="BD22" i="2" s="1"/>
  <c r="AS17" i="2"/>
  <c r="AS22" i="2" s="1"/>
  <c r="AR59" i="2"/>
  <c r="AR64" i="2" s="1"/>
  <c r="AK17" i="2"/>
  <c r="AK22" i="2" s="1"/>
  <c r="AC17" i="2"/>
  <c r="AC22" i="2" s="1"/>
  <c r="AA17" i="2"/>
  <c r="AA22" i="2" s="1"/>
  <c r="Q17" i="2"/>
  <c r="Q22" i="2" s="1"/>
  <c r="L17" i="2"/>
  <c r="L22" i="2" s="1"/>
  <c r="H17" i="2"/>
  <c r="H22" i="2" s="1"/>
  <c r="BB22" i="2" s="1"/>
  <c r="BB16" i="2"/>
  <c r="BG16" i="2" s="1"/>
  <c r="BI15" i="2"/>
  <c r="BH15" i="2"/>
  <c r="BG15" i="2"/>
  <c r="BF15" i="2"/>
  <c r="BE15" i="2"/>
  <c r="BD15" i="2"/>
  <c r="BC15" i="2"/>
  <c r="BA15" i="2"/>
  <c r="AY15" i="2"/>
  <c r="AW15" i="2"/>
  <c r="AV15" i="2"/>
  <c r="AT15" i="2"/>
  <c r="AR15" i="2"/>
  <c r="AP15" i="2"/>
  <c r="AN15" i="2"/>
  <c r="AL15" i="2"/>
  <c r="AJ15" i="2"/>
  <c r="AH15" i="2"/>
  <c r="AD15" i="2"/>
  <c r="AB15" i="2"/>
  <c r="Z15" i="2"/>
  <c r="W15" i="2"/>
  <c r="U15" i="2"/>
  <c r="R15" i="2"/>
  <c r="Q15" i="2"/>
  <c r="P15" i="2"/>
  <c r="N15" i="2"/>
  <c r="M15" i="2"/>
  <c r="L15" i="2"/>
  <c r="K15" i="2"/>
  <c r="J15" i="2"/>
  <c r="I15" i="2"/>
  <c r="G15" i="2"/>
  <c r="E15" i="2"/>
  <c r="BB14" i="2"/>
  <c r="BB13" i="2"/>
  <c r="BB12" i="2"/>
  <c r="BB11" i="2"/>
  <c r="AX10" i="2"/>
  <c r="AX15" i="2" s="1"/>
  <c r="AU10" i="2"/>
  <c r="AU15" i="2" s="1"/>
  <c r="AS10" i="2"/>
  <c r="AS15" i="2" s="1"/>
  <c r="AQ10" i="2"/>
  <c r="AQ15" i="2" s="1"/>
  <c r="AO10" i="2"/>
  <c r="AO15" i="2" s="1"/>
  <c r="AM10" i="2"/>
  <c r="AM15" i="2" s="1"/>
  <c r="AK10" i="2"/>
  <c r="AK15" i="2" s="1"/>
  <c r="AI10" i="2"/>
  <c r="AI15" i="2" s="1"/>
  <c r="AF10" i="2"/>
  <c r="AF15" i="2" s="1"/>
  <c r="AE10" i="2"/>
  <c r="AE15" i="2" s="1"/>
  <c r="AC10" i="2"/>
  <c r="AC15" i="2" s="1"/>
  <c r="AA10" i="2"/>
  <c r="AA15" i="2" s="1"/>
  <c r="Y10" i="2"/>
  <c r="Y15" i="2" s="1"/>
  <c r="V10" i="2"/>
  <c r="V15" i="2" s="1"/>
  <c r="T10" i="2"/>
  <c r="T15" i="2" s="1"/>
  <c r="S10" i="2"/>
  <c r="S15" i="2" s="1"/>
  <c r="D10" i="2"/>
  <c r="D15" i="2" s="1"/>
  <c r="BB15" i="2" s="1"/>
  <c r="BB9" i="2"/>
  <c r="BA8" i="2"/>
  <c r="BA66" i="2" s="1"/>
  <c r="BA71" i="2" s="1"/>
  <c r="AZ8" i="2"/>
  <c r="AZ66" i="2" s="1"/>
  <c r="AZ71" i="2" s="1"/>
  <c r="AY8" i="2"/>
  <c r="AY66" i="2" s="1"/>
  <c r="AY71" i="2" s="1"/>
  <c r="AW8" i="2"/>
  <c r="AN8" i="2"/>
  <c r="AN66" i="2" s="1"/>
  <c r="AN71" i="2" s="1"/>
  <c r="BB7" i="2"/>
  <c r="BB6" i="2"/>
  <c r="BB5" i="2"/>
  <c r="BB4" i="2"/>
  <c r="BD4" i="2" s="1"/>
  <c r="AX3" i="2"/>
  <c r="AX8" i="2" s="1"/>
  <c r="AX66" i="2" s="1"/>
  <c r="AX71" i="2" s="1"/>
  <c r="AV3" i="2"/>
  <c r="AV8" i="2" s="1"/>
  <c r="AU3" i="2"/>
  <c r="AU8" i="2" s="1"/>
  <c r="AU66" i="2" s="1"/>
  <c r="AU71" i="2" s="1"/>
  <c r="AT3" i="2"/>
  <c r="AT8" i="2" s="1"/>
  <c r="AT66" i="2" s="1"/>
  <c r="AT71" i="2" s="1"/>
  <c r="AS3" i="2"/>
  <c r="AS8" i="2" s="1"/>
  <c r="AR3" i="2"/>
  <c r="AR8" i="2" s="1"/>
  <c r="AQ3" i="2"/>
  <c r="AQ8" i="2" s="1"/>
  <c r="AQ66" i="2" s="1"/>
  <c r="AQ71" i="2" s="1"/>
  <c r="AP3" i="2"/>
  <c r="AP8" i="2" s="1"/>
  <c r="AP66" i="2" s="1"/>
  <c r="AP71" i="2" s="1"/>
  <c r="AO3" i="2"/>
  <c r="AO8" i="2" s="1"/>
  <c r="AM3" i="2"/>
  <c r="AM8" i="2" s="1"/>
  <c r="AL3" i="2"/>
  <c r="AL8" i="2" s="1"/>
  <c r="AL66" i="2" s="1"/>
  <c r="AL71" i="2" s="1"/>
  <c r="AK3" i="2"/>
  <c r="AK8" i="2" s="1"/>
  <c r="AJ3" i="2"/>
  <c r="AJ8" i="2" s="1"/>
  <c r="AI3" i="2"/>
  <c r="AI8" i="2" s="1"/>
  <c r="AH3" i="2"/>
  <c r="AH8" i="2" s="1"/>
  <c r="AH66" i="2" s="1"/>
  <c r="AH71" i="2" s="1"/>
  <c r="AG3" i="2"/>
  <c r="AG8" i="2" s="1"/>
  <c r="AF3" i="2"/>
  <c r="AF8" i="2" s="1"/>
  <c r="AE3" i="2"/>
  <c r="AE8" i="2" s="1"/>
  <c r="AD3" i="2"/>
  <c r="AD8" i="2" s="1"/>
  <c r="AD66" i="2" s="1"/>
  <c r="AD71" i="2" s="1"/>
  <c r="AC3" i="2"/>
  <c r="AC8" i="2" s="1"/>
  <c r="AB3" i="2"/>
  <c r="AB8" i="2" s="1"/>
  <c r="AA3" i="2"/>
  <c r="AA8" i="2" s="1"/>
  <c r="Z3" i="2"/>
  <c r="Z8" i="2" s="1"/>
  <c r="Z66" i="2" s="1"/>
  <c r="Z71" i="2" s="1"/>
  <c r="Y3" i="2"/>
  <c r="Y8" i="2" s="1"/>
  <c r="X3" i="2"/>
  <c r="X8" i="2" s="1"/>
  <c r="W3" i="2"/>
  <c r="W8" i="2" s="1"/>
  <c r="V3" i="2"/>
  <c r="V8" i="2" s="1"/>
  <c r="V66" i="2" s="1"/>
  <c r="V71" i="2" s="1"/>
  <c r="U3" i="2"/>
  <c r="U8" i="2" s="1"/>
  <c r="U66" i="2" s="1"/>
  <c r="U71" i="2" s="1"/>
  <c r="T3" i="2"/>
  <c r="T8" i="2" s="1"/>
  <c r="S3" i="2"/>
  <c r="S8" i="2" s="1"/>
  <c r="R3" i="2"/>
  <c r="R8" i="2" s="1"/>
  <c r="R66" i="2" s="1"/>
  <c r="R71" i="2" s="1"/>
  <c r="Q3" i="2"/>
  <c r="Q8" i="2" s="1"/>
  <c r="P3" i="2"/>
  <c r="P8" i="2" s="1"/>
  <c r="O3" i="2"/>
  <c r="O8" i="2" s="1"/>
  <c r="N3" i="2"/>
  <c r="N8" i="2" s="1"/>
  <c r="N66" i="2" s="1"/>
  <c r="N71" i="2" s="1"/>
  <c r="M3" i="2"/>
  <c r="M8" i="2" s="1"/>
  <c r="M66" i="2" s="1"/>
  <c r="M71" i="2" s="1"/>
  <c r="L3" i="2"/>
  <c r="L8" i="2" s="1"/>
  <c r="K3" i="2"/>
  <c r="K8" i="2" s="1"/>
  <c r="K66" i="2" s="1"/>
  <c r="K71" i="2" s="1"/>
  <c r="J3" i="2"/>
  <c r="J8" i="2" s="1"/>
  <c r="J66" i="2" s="1"/>
  <c r="J71" i="2" s="1"/>
  <c r="I3" i="2"/>
  <c r="I8" i="2" s="1"/>
  <c r="I66" i="2" s="1"/>
  <c r="I71" i="2" s="1"/>
  <c r="H3" i="2"/>
  <c r="H8" i="2" s="1"/>
  <c r="H66" i="2" s="1"/>
  <c r="H71" i="2" s="1"/>
  <c r="G3" i="2"/>
  <c r="G8" i="2" s="1"/>
  <c r="G66" i="2" s="1"/>
  <c r="G71" i="2" s="1"/>
  <c r="F3" i="2"/>
  <c r="E3" i="2"/>
  <c r="D3" i="2"/>
  <c r="D8" i="2" s="1"/>
  <c r="D66" i="2" s="1"/>
  <c r="D71" i="2" s="1"/>
  <c r="BB2" i="2"/>
  <c r="BG2" i="2" s="1"/>
  <c r="BC8" i="3" l="1"/>
  <c r="BI3" i="3"/>
  <c r="BI8" i="3" s="1"/>
  <c r="BC22" i="3"/>
  <c r="BI17" i="3"/>
  <c r="BI22" i="3" s="1"/>
  <c r="BI59" i="3"/>
  <c r="BB3" i="2"/>
  <c r="F8" i="2"/>
  <c r="BF5" i="2"/>
  <c r="BF8" i="2" s="1"/>
  <c r="BF66" i="2" s="1"/>
  <c r="BF71" i="2" s="1"/>
  <c r="BE5" i="2"/>
  <c r="BE8" i="2" s="1"/>
  <c r="BB52" i="2"/>
  <c r="F57" i="2"/>
  <c r="BI18" i="2"/>
  <c r="BC3" i="2"/>
  <c r="BH3" i="2"/>
  <c r="BH8" i="2" s="1"/>
  <c r="BD8" i="2"/>
  <c r="BI4" i="2"/>
  <c r="BG8" i="2"/>
  <c r="BI2" i="2"/>
  <c r="BB8" i="2"/>
  <c r="O66" i="2"/>
  <c r="O71" i="2" s="1"/>
  <c r="S66" i="2"/>
  <c r="S71" i="2" s="1"/>
  <c r="W66" i="2"/>
  <c r="W71" i="2" s="1"/>
  <c r="AA66" i="2"/>
  <c r="AA71" i="2" s="1"/>
  <c r="AE66" i="2"/>
  <c r="AE71" i="2" s="1"/>
  <c r="AI66" i="2"/>
  <c r="AI71" i="2" s="1"/>
  <c r="AR66" i="2"/>
  <c r="AR71" i="2" s="1"/>
  <c r="AV66" i="2"/>
  <c r="AV71" i="2" s="1"/>
  <c r="BI5" i="2"/>
  <c r="E8" i="2"/>
  <c r="E66" i="2" s="1"/>
  <c r="E71" i="2" s="1"/>
  <c r="AM66" i="2"/>
  <c r="BB43" i="2"/>
  <c r="BD64" i="2"/>
  <c r="BI60" i="2"/>
  <c r="L66" i="2"/>
  <c r="L71" i="2" s="1"/>
  <c r="P66" i="2"/>
  <c r="P71" i="2" s="1"/>
  <c r="T66" i="2"/>
  <c r="T71" i="2" s="1"/>
  <c r="X66" i="2"/>
  <c r="X71" i="2" s="1"/>
  <c r="AB66" i="2"/>
  <c r="AB71" i="2" s="1"/>
  <c r="AF66" i="2"/>
  <c r="AF71" i="2" s="1"/>
  <c r="AJ66" i="2"/>
  <c r="AJ71" i="2" s="1"/>
  <c r="AO66" i="2"/>
  <c r="AO71" i="2" s="1"/>
  <c r="AS66" i="2"/>
  <c r="AS71" i="2" s="1"/>
  <c r="BB64" i="2"/>
  <c r="Q66" i="2"/>
  <c r="Q71" i="2" s="1"/>
  <c r="Y66" i="2"/>
  <c r="Y71" i="2" s="1"/>
  <c r="AC66" i="2"/>
  <c r="AC71" i="2" s="1"/>
  <c r="AG66" i="2"/>
  <c r="AG71" i="2" s="1"/>
  <c r="AK66" i="2"/>
  <c r="AK71" i="2" s="1"/>
  <c r="AW66" i="2"/>
  <c r="AW71" i="2" s="1"/>
  <c r="BG22" i="2"/>
  <c r="BI16" i="2"/>
  <c r="BB57" i="2"/>
  <c r="BI58" i="2"/>
  <c r="BB59" i="2"/>
  <c r="BE61" i="2"/>
  <c r="BB10" i="2"/>
  <c r="BB17" i="2"/>
  <c r="BE19" i="2"/>
  <c r="BB24" i="2"/>
  <c r="BB38" i="2"/>
  <c r="F66" i="2" l="1"/>
  <c r="F71" i="2" s="1"/>
  <c r="BB71" i="2"/>
  <c r="BI61" i="2"/>
  <c r="BE64" i="2"/>
  <c r="BB66" i="2"/>
  <c r="BE22" i="2"/>
  <c r="BI19" i="2"/>
  <c r="BH59" i="2"/>
  <c r="BH64" i="2" s="1"/>
  <c r="BC59" i="2"/>
  <c r="BD66" i="2"/>
  <c r="BD71" i="2" s="1"/>
  <c r="BC17" i="2"/>
  <c r="BH17" i="2"/>
  <c r="BH22" i="2" s="1"/>
  <c r="BH66" i="2"/>
  <c r="BH71" i="2" s="1"/>
  <c r="BG66" i="2"/>
  <c r="BG71" i="2" s="1"/>
  <c r="BC8" i="2"/>
  <c r="BI3" i="2"/>
  <c r="BI8" i="2" s="1"/>
  <c r="BE66" i="2" l="1"/>
  <c r="BE71" i="2" s="1"/>
  <c r="BC64" i="2"/>
  <c r="BI59" i="2"/>
  <c r="BI64" i="2" s="1"/>
  <c r="BC22" i="2"/>
  <c r="BC66" i="2" s="1"/>
  <c r="BC71" i="2" s="1"/>
  <c r="BI17" i="2"/>
  <c r="BI22" i="2" s="1"/>
  <c r="BI66" i="2" l="1"/>
  <c r="BI71" i="2" s="1"/>
</calcChain>
</file>

<file path=xl/sharedStrings.xml><?xml version="1.0" encoding="utf-8"?>
<sst xmlns="http://schemas.openxmlformats.org/spreadsheetml/2006/main" count="494" uniqueCount="66">
  <si>
    <t>SN</t>
  </si>
  <si>
    <t>HIGHER INSTITUTION CODE</t>
  </si>
  <si>
    <t>FUND TYPE</t>
  </si>
  <si>
    <t>13/12/2022</t>
  </si>
  <si>
    <t>14/12/2022</t>
  </si>
  <si>
    <t>15/12/2022</t>
  </si>
  <si>
    <t xml:space="preserve"> 15/12/2022</t>
  </si>
  <si>
    <t>16/12/2022</t>
  </si>
  <si>
    <t>19/12/2022</t>
  </si>
  <si>
    <t>20/12/2022</t>
  </si>
  <si>
    <t>21/12/2022</t>
  </si>
  <si>
    <t>22/12/2022</t>
  </si>
  <si>
    <t>23/12/2022</t>
  </si>
  <si>
    <t>26/12/2022</t>
  </si>
  <si>
    <t>27/12/2022</t>
  </si>
  <si>
    <t>28/12/2022</t>
  </si>
  <si>
    <t>29/12/2022</t>
  </si>
  <si>
    <t>30/12/2022</t>
  </si>
  <si>
    <t>31/12/2022</t>
  </si>
  <si>
    <t>Total March Reported Collections</t>
  </si>
  <si>
    <t>IDS Revenue</t>
  </si>
  <si>
    <t>IDS Portal Access</t>
  </si>
  <si>
    <t>IDS TR Fees</t>
  </si>
  <si>
    <t>UP  TR Fees</t>
  </si>
  <si>
    <t>School</t>
  </si>
  <si>
    <t>Government</t>
  </si>
  <si>
    <t>Total</t>
  </si>
  <si>
    <t>Ali Umaru Shinkafi Polytechnic</t>
  </si>
  <si>
    <t>Portal Fee</t>
  </si>
  <si>
    <t>TPF</t>
  </si>
  <si>
    <t>Accreditation</t>
  </si>
  <si>
    <t>VAT</t>
  </si>
  <si>
    <t>Shehu Shagari College of Education</t>
  </si>
  <si>
    <t>College of Basic and Remedial Studies</t>
  </si>
  <si>
    <t>Sokoto State University</t>
  </si>
  <si>
    <t>Sultan Abdulrahaman College of Health Technology Gwadabawa</t>
  </si>
  <si>
    <t>College of Nursing Sokoto</t>
  </si>
  <si>
    <t>College of Agric Wurno</t>
  </si>
  <si>
    <t>College of Nursing Science Tambuwal</t>
  </si>
  <si>
    <t>College of Islamic &amp; Legal Studies</t>
  </si>
  <si>
    <t>Grand Total</t>
  </si>
  <si>
    <t>Sokoto Etax</t>
  </si>
  <si>
    <t>``</t>
  </si>
  <si>
    <t>22/2/2023</t>
  </si>
  <si>
    <t>23/2/2023</t>
  </si>
  <si>
    <t>24/2/2023</t>
  </si>
  <si>
    <t>25/2/2023</t>
  </si>
  <si>
    <t>27/2/2023</t>
  </si>
  <si>
    <t>28/2/2023</t>
  </si>
  <si>
    <t>31/3/2023</t>
  </si>
  <si>
    <t>15/5/2023</t>
  </si>
  <si>
    <t xml:space="preserve"> 15/5/2023</t>
  </si>
  <si>
    <t>16/5/2023</t>
  </si>
  <si>
    <t>17/5/2023</t>
  </si>
  <si>
    <t>29/4/2023</t>
  </si>
  <si>
    <t>18/5/2023</t>
  </si>
  <si>
    <t>19/5/2023</t>
  </si>
  <si>
    <t>22/5/2023</t>
  </si>
  <si>
    <t>23/5/2023</t>
  </si>
  <si>
    <t>24/5/2023</t>
  </si>
  <si>
    <t xml:space="preserve"> </t>
  </si>
  <si>
    <t>25/5/2023</t>
  </si>
  <si>
    <t>26/5/2023</t>
  </si>
  <si>
    <t>29/5/2023</t>
  </si>
  <si>
    <t>30$31/5/2023</t>
  </si>
  <si>
    <t>30&amp;31/5/2023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</si>
</sst>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186">
    <xf numFmtId="0" fontId="0" fillId="0" borderId="0" xfId="0"/>
    <xf numFmtId="43" fontId="2" fillId="2" borderId="0" xfId="1" applyFont="1" applyFill="1"/>
    <xf numFmtId="43" fontId="2" fillId="3" borderId="0" xfId="1" applyFont="1" applyFill="1"/>
    <xf numFmtId="164" fontId="2" fillId="2" borderId="0" xfId="2" applyFont="1" applyFill="1"/>
    <xf numFmtId="43" fontId="3" fillId="2" borderId="0" xfId="1" applyFont="1" applyFill="1"/>
    <xf numFmtId="164" fontId="5" fillId="2" borderId="0" xfId="3" applyFont="1" applyFill="1"/>
    <xf numFmtId="164" fontId="2" fillId="2" borderId="0" xfId="4" applyFont="1" applyFill="1"/>
    <xf numFmtId="164" fontId="2" fillId="2" borderId="0" xfId="0" applyNumberFormat="1" applyFont="1" applyFill="1"/>
    <xf numFmtId="43" fontId="5" fillId="2" borderId="0" xfId="1" applyFont="1" applyFill="1"/>
    <xf numFmtId="164" fontId="2" fillId="2" borderId="0" xfId="3" applyFont="1" applyFill="1"/>
    <xf numFmtId="0" fontId="3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horizontal="center" wrapText="1"/>
    </xf>
    <xf numFmtId="14" fontId="3" fillId="3" borderId="2" xfId="1" applyNumberFormat="1" applyFont="1" applyFill="1" applyBorder="1" applyAlignment="1">
      <alignment horizontal="center" wrapText="1"/>
    </xf>
    <xf numFmtId="14" fontId="3" fillId="4" borderId="2" xfId="1" applyNumberFormat="1" applyFont="1" applyFill="1" applyBorder="1" applyAlignment="1">
      <alignment horizontal="center" wrapText="1"/>
    </xf>
    <xf numFmtId="14" fontId="3" fillId="5" borderId="2" xfId="1" applyNumberFormat="1" applyFont="1" applyFill="1" applyBorder="1" applyAlignment="1">
      <alignment horizontal="center" wrapText="1"/>
    </xf>
    <xf numFmtId="43" fontId="3" fillId="4" borderId="2" xfId="1" applyFont="1" applyFill="1" applyBorder="1" applyAlignment="1">
      <alignment horizontal="center" wrapText="1"/>
    </xf>
    <xf numFmtId="43" fontId="3" fillId="3" borderId="2" xfId="1" applyFont="1" applyFill="1" applyBorder="1" applyAlignment="1">
      <alignment horizontal="center" wrapText="1"/>
    </xf>
    <xf numFmtId="43" fontId="3" fillId="5" borderId="2" xfId="1" applyFont="1" applyFill="1" applyBorder="1" applyAlignment="1">
      <alignment horizontal="center" wrapText="1"/>
    </xf>
    <xf numFmtId="14" fontId="3" fillId="3" borderId="3" xfId="1" applyNumberFormat="1" applyFont="1" applyFill="1" applyBorder="1" applyAlignment="1">
      <alignment horizontal="center" wrapText="1"/>
    </xf>
    <xf numFmtId="14" fontId="3" fillId="5" borderId="3" xfId="1" applyNumberFormat="1" applyFont="1" applyFill="1" applyBorder="1" applyAlignment="1">
      <alignment horizontal="center" wrapText="1"/>
    </xf>
    <xf numFmtId="43" fontId="3" fillId="3" borderId="3" xfId="1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7" fillId="0" borderId="1" xfId="0" applyFont="1" applyBorder="1"/>
    <xf numFmtId="43" fontId="2" fillId="0" borderId="0" xfId="1" applyFont="1"/>
    <xf numFmtId="0" fontId="2" fillId="0" borderId="0" xfId="0" applyFont="1"/>
    <xf numFmtId="43" fontId="2" fillId="6" borderId="1" xfId="1" applyFont="1" applyFill="1" applyBorder="1"/>
    <xf numFmtId="43" fontId="0" fillId="0" borderId="1" xfId="1" applyFont="1" applyFill="1" applyBorder="1"/>
    <xf numFmtId="43" fontId="2" fillId="0" borderId="1" xfId="1" applyFont="1" applyFill="1" applyBorder="1"/>
    <xf numFmtId="43" fontId="2" fillId="0" borderId="4" xfId="1" applyFont="1" applyFill="1" applyBorder="1"/>
    <xf numFmtId="43" fontId="2" fillId="0" borderId="5" xfId="1" applyFont="1" applyFill="1" applyBorder="1"/>
    <xf numFmtId="43" fontId="2" fillId="7" borderId="1" xfId="1" applyFont="1" applyFill="1" applyBorder="1"/>
    <xf numFmtId="43" fontId="2" fillId="0" borderId="0" xfId="1" applyFont="1" applyFill="1" applyBorder="1"/>
    <xf numFmtId="43" fontId="2" fillId="0" borderId="0" xfId="1" applyFont="1" applyFill="1"/>
    <xf numFmtId="43" fontId="2" fillId="0" borderId="1" xfId="1" applyFont="1" applyBorder="1"/>
    <xf numFmtId="43" fontId="0" fillId="0" borderId="1" xfId="0" applyNumberFormat="1" applyBorder="1"/>
    <xf numFmtId="0" fontId="0" fillId="0" borderId="1" xfId="0" applyBorder="1"/>
    <xf numFmtId="43" fontId="2" fillId="0" borderId="3" xfId="1" applyFont="1" applyFill="1" applyBorder="1"/>
    <xf numFmtId="0" fontId="2" fillId="0" borderId="2" xfId="0" applyFont="1" applyBorder="1" applyAlignment="1">
      <alignment horizontal="left"/>
    </xf>
    <xf numFmtId="0" fontId="7" fillId="0" borderId="2" xfId="0" applyFont="1" applyBorder="1"/>
    <xf numFmtId="43" fontId="2" fillId="0" borderId="6" xfId="1" applyFont="1" applyFill="1" applyBorder="1"/>
    <xf numFmtId="43" fontId="2" fillId="0" borderId="7" xfId="1" applyFont="1" applyFill="1" applyBorder="1"/>
    <xf numFmtId="43" fontId="2" fillId="0" borderId="2" xfId="1" applyFont="1" applyFill="1" applyBorder="1"/>
    <xf numFmtId="43" fontId="2" fillId="7" borderId="2" xfId="1" applyFont="1" applyFill="1" applyBorder="1"/>
    <xf numFmtId="43" fontId="2" fillId="0" borderId="2" xfId="1" applyFont="1" applyBorder="1"/>
    <xf numFmtId="43" fontId="0" fillId="0" borderId="2" xfId="1" applyFont="1" applyFill="1" applyBorder="1"/>
    <xf numFmtId="43" fontId="2" fillId="6" borderId="2" xfId="1" applyFont="1" applyFill="1" applyBorder="1"/>
    <xf numFmtId="0" fontId="0" fillId="0" borderId="2" xfId="0" applyBorder="1"/>
    <xf numFmtId="43" fontId="0" fillId="0" borderId="2" xfId="0" applyNumberFormat="1" applyBorder="1"/>
    <xf numFmtId="0" fontId="7" fillId="0" borderId="8" xfId="0" applyFont="1" applyBorder="1"/>
    <xf numFmtId="43" fontId="2" fillId="0" borderId="8" xfId="1" applyFont="1" applyFill="1" applyBorder="1"/>
    <xf numFmtId="164" fontId="0" fillId="0" borderId="0" xfId="0" applyNumberFormat="1"/>
    <xf numFmtId="43" fontId="2" fillId="7" borderId="0" xfId="1" applyFont="1" applyFill="1" applyBorder="1"/>
    <xf numFmtId="43" fontId="2" fillId="0" borderId="8" xfId="1" applyFont="1" applyBorder="1"/>
    <xf numFmtId="43" fontId="0" fillId="0" borderId="8" xfId="1" applyFont="1" applyFill="1" applyBorder="1"/>
    <xf numFmtId="43" fontId="2" fillId="6" borderId="8" xfId="1" applyFont="1" applyFill="1" applyBorder="1"/>
    <xf numFmtId="0" fontId="0" fillId="0" borderId="8" xfId="0" applyBorder="1"/>
    <xf numFmtId="43" fontId="0" fillId="0" borderId="8" xfId="0" applyNumberFormat="1" applyBorder="1"/>
    <xf numFmtId="0" fontId="2" fillId="3" borderId="9" xfId="0" applyFont="1" applyFill="1" applyBorder="1" applyAlignment="1">
      <alignment horizontal="left"/>
    </xf>
    <xf numFmtId="0" fontId="7" fillId="3" borderId="10" xfId="0" applyFont="1" applyFill="1" applyBorder="1"/>
    <xf numFmtId="43" fontId="2" fillId="3" borderId="11" xfId="1" applyFont="1" applyFill="1" applyBorder="1"/>
    <xf numFmtId="43" fontId="2" fillId="3" borderId="12" xfId="1" applyFont="1" applyFill="1" applyBorder="1"/>
    <xf numFmtId="0" fontId="2" fillId="0" borderId="13" xfId="0" applyFont="1" applyBorder="1" applyAlignment="1">
      <alignment horizontal="left"/>
    </xf>
    <xf numFmtId="0" fontId="7" fillId="0" borderId="13" xfId="0" applyFont="1" applyBorder="1"/>
    <xf numFmtId="43" fontId="2" fillId="0" borderId="13" xfId="1" applyFont="1" applyFill="1" applyBorder="1"/>
    <xf numFmtId="43" fontId="2" fillId="6" borderId="13" xfId="1" applyFont="1" applyFill="1" applyBorder="1"/>
    <xf numFmtId="43" fontId="0" fillId="0" borderId="13" xfId="1" applyFont="1" applyFill="1" applyBorder="1"/>
    <xf numFmtId="43" fontId="2" fillId="8" borderId="1" xfId="1" applyFont="1" applyFill="1" applyBorder="1"/>
    <xf numFmtId="0" fontId="2" fillId="0" borderId="14" xfId="0" applyFont="1" applyBorder="1" applyAlignment="1">
      <alignment horizontal="left"/>
    </xf>
    <xf numFmtId="0" fontId="7" fillId="0" borderId="15" xfId="0" applyFont="1" applyBorder="1"/>
    <xf numFmtId="43" fontId="2" fillId="0" borderId="16" xfId="1" applyFont="1" applyFill="1" applyBorder="1"/>
    <xf numFmtId="43" fontId="2" fillId="8" borderId="16" xfId="1" applyFont="1" applyFill="1" applyBorder="1"/>
    <xf numFmtId="43" fontId="2" fillId="0" borderId="16" xfId="1" applyFont="1" applyBorder="1"/>
    <xf numFmtId="43" fontId="0" fillId="0" borderId="0" xfId="1" applyFont="1" applyFill="1" applyBorder="1"/>
    <xf numFmtId="43" fontId="2" fillId="6" borderId="0" xfId="1" applyFont="1" applyFill="1"/>
    <xf numFmtId="43" fontId="0" fillId="0" borderId="0" xfId="0" applyNumberFormat="1"/>
    <xf numFmtId="43" fontId="2" fillId="8" borderId="0" xfId="1" applyFont="1" applyFill="1" applyBorder="1"/>
    <xf numFmtId="0" fontId="7" fillId="0" borderId="0" xfId="0" applyFont="1"/>
    <xf numFmtId="0" fontId="2" fillId="3" borderId="0" xfId="0" applyFont="1" applyFill="1"/>
    <xf numFmtId="0" fontId="2" fillId="3" borderId="17" xfId="0" applyFont="1" applyFill="1" applyBorder="1" applyAlignment="1">
      <alignment horizontal="left"/>
    </xf>
    <xf numFmtId="0" fontId="7" fillId="3" borderId="18" xfId="0" applyFont="1" applyFill="1" applyBorder="1"/>
    <xf numFmtId="43" fontId="2" fillId="3" borderId="19" xfId="1" applyFont="1" applyFill="1" applyBorder="1"/>
    <xf numFmtId="43" fontId="2" fillId="3" borderId="20" xfId="1" applyFont="1" applyFill="1" applyBorder="1"/>
    <xf numFmtId="43" fontId="2" fillId="8" borderId="2" xfId="1" applyFont="1" applyFill="1" applyBorder="1"/>
    <xf numFmtId="43" fontId="2" fillId="0" borderId="21" xfId="1" applyFont="1" applyFill="1" applyBorder="1"/>
    <xf numFmtId="43" fontId="2" fillId="8" borderId="21" xfId="1" applyFont="1" applyFill="1" applyBorder="1"/>
    <xf numFmtId="43" fontId="2" fillId="0" borderId="21" xfId="1" applyFont="1" applyBorder="1"/>
    <xf numFmtId="43" fontId="2" fillId="6" borderId="0" xfId="1" applyFont="1" applyFill="1" applyBorder="1"/>
    <xf numFmtId="0" fontId="2" fillId="9" borderId="0" xfId="0" applyFont="1" applyFill="1"/>
    <xf numFmtId="0" fontId="2" fillId="9" borderId="22" xfId="0" applyFont="1" applyFill="1" applyBorder="1" applyAlignment="1">
      <alignment horizontal="left"/>
    </xf>
    <xf numFmtId="0" fontId="7" fillId="9" borderId="15" xfId="0" applyFont="1" applyFill="1" applyBorder="1"/>
    <xf numFmtId="43" fontId="2" fillId="9" borderId="23" xfId="1" applyFont="1" applyFill="1" applyBorder="1"/>
    <xf numFmtId="43" fontId="2" fillId="9" borderId="24" xfId="1" applyFont="1" applyFill="1" applyBorder="1"/>
    <xf numFmtId="43" fontId="2" fillId="9" borderId="0" xfId="1" applyFont="1" applyFill="1"/>
    <xf numFmtId="43" fontId="2" fillId="9" borderId="25" xfId="1" applyFont="1" applyFill="1" applyBorder="1"/>
    <xf numFmtId="43" fontId="2" fillId="9" borderId="26" xfId="1" applyFont="1" applyFill="1" applyBorder="1"/>
    <xf numFmtId="43" fontId="2" fillId="9" borderId="27" xfId="1" applyFont="1" applyFill="1" applyBorder="1"/>
    <xf numFmtId="43" fontId="0" fillId="9" borderId="25" xfId="1" applyFont="1" applyFill="1" applyBorder="1"/>
    <xf numFmtId="43" fontId="2" fillId="3" borderId="25" xfId="1" applyFont="1" applyFill="1" applyBorder="1"/>
    <xf numFmtId="0" fontId="2" fillId="0" borderId="20" xfId="0" applyFont="1" applyBorder="1" applyAlignment="1">
      <alignment horizontal="left"/>
    </xf>
    <xf numFmtId="43" fontId="5" fillId="0" borderId="1" xfId="1" applyFont="1" applyBorder="1"/>
    <xf numFmtId="43" fontId="2" fillId="7" borderId="21" xfId="1" applyFont="1" applyFill="1" applyBorder="1"/>
    <xf numFmtId="0" fontId="2" fillId="9" borderId="22" xfId="0" applyFont="1" applyFill="1" applyBorder="1" applyAlignment="1">
      <alignment horizontal="left" wrapText="1"/>
    </xf>
    <xf numFmtId="43" fontId="2" fillId="9" borderId="21" xfId="1" applyFont="1" applyFill="1" applyBorder="1"/>
    <xf numFmtId="43" fontId="2" fillId="10" borderId="21" xfId="1" applyFont="1" applyFill="1" applyBorder="1"/>
    <xf numFmtId="43" fontId="2" fillId="3" borderId="28" xfId="1" applyFont="1" applyFill="1" applyBorder="1"/>
    <xf numFmtId="43" fontId="2" fillId="9" borderId="0" xfId="1" applyFont="1" applyFill="1" applyBorder="1"/>
    <xf numFmtId="0" fontId="2" fillId="0" borderId="20" xfId="0" applyFont="1" applyBorder="1" applyAlignment="1">
      <alignment horizontal="left" wrapText="1"/>
    </xf>
    <xf numFmtId="0" fontId="2" fillId="6" borderId="0" xfId="0" applyFont="1" applyFill="1"/>
    <xf numFmtId="0" fontId="2" fillId="6" borderId="0" xfId="0" applyFont="1" applyFill="1" applyAlignment="1">
      <alignment horizontal="left" wrapText="1"/>
    </xf>
    <xf numFmtId="0" fontId="7" fillId="6" borderId="0" xfId="0" applyFont="1" applyFill="1"/>
    <xf numFmtId="43" fontId="2" fillId="6" borderId="15" xfId="1" applyFont="1" applyFill="1" applyBorder="1"/>
    <xf numFmtId="43" fontId="2" fillId="6" borderId="14" xfId="1" applyFont="1" applyFill="1" applyBorder="1"/>
    <xf numFmtId="43" fontId="2" fillId="6" borderId="28" xfId="1" applyFont="1" applyFill="1" applyBorder="1"/>
    <xf numFmtId="43" fontId="2" fillId="2" borderId="1" xfId="1" applyFont="1" applyFill="1" applyBorder="1"/>
    <xf numFmtId="43" fontId="2" fillId="2" borderId="0" xfId="1" applyFont="1" applyFill="1" applyBorder="1"/>
    <xf numFmtId="0" fontId="2" fillId="9" borderId="0" xfId="0" applyFont="1" applyFill="1" applyAlignment="1">
      <alignment horizontal="left" wrapText="1"/>
    </xf>
    <xf numFmtId="0" fontId="7" fillId="9" borderId="0" xfId="0" applyFont="1" applyFill="1"/>
    <xf numFmtId="43" fontId="2" fillId="3" borderId="0" xfId="1" applyFont="1" applyFill="1" applyBorder="1"/>
    <xf numFmtId="43" fontId="1" fillId="0" borderId="1" xfId="1" applyFont="1" applyFill="1" applyBorder="1"/>
    <xf numFmtId="43" fontId="1" fillId="0" borderId="0" xfId="1" applyFont="1"/>
    <xf numFmtId="43" fontId="1" fillId="8" borderId="1" xfId="1" applyFont="1" applyFill="1" applyBorder="1"/>
    <xf numFmtId="43" fontId="1" fillId="0" borderId="1" xfId="1" applyFont="1" applyBorder="1"/>
    <xf numFmtId="43" fontId="1" fillId="6" borderId="13" xfId="1" applyFont="1" applyFill="1" applyBorder="1"/>
    <xf numFmtId="0" fontId="2" fillId="0" borderId="25" xfId="0" applyFont="1" applyBorder="1" applyAlignment="1">
      <alignment horizontal="left" wrapText="1"/>
    </xf>
    <xf numFmtId="43" fontId="2" fillId="9" borderId="15" xfId="1" applyFont="1" applyFill="1" applyBorder="1"/>
    <xf numFmtId="43" fontId="2" fillId="9" borderId="14" xfId="1" applyFont="1" applyFill="1" applyBorder="1"/>
    <xf numFmtId="43" fontId="0" fillId="9" borderId="0" xfId="1" applyFont="1" applyFill="1" applyBorder="1"/>
    <xf numFmtId="43" fontId="2" fillId="3" borderId="29" xfId="1" applyFont="1" applyFill="1" applyBorder="1"/>
    <xf numFmtId="0" fontId="2" fillId="0" borderId="30" xfId="0" applyFont="1" applyBorder="1" applyAlignment="1">
      <alignment horizontal="left" wrapText="1"/>
    </xf>
    <xf numFmtId="43" fontId="2" fillId="0" borderId="22" xfId="1" applyFont="1" applyFill="1" applyBorder="1"/>
    <xf numFmtId="43" fontId="2" fillId="8" borderId="22" xfId="1" applyFont="1" applyFill="1" applyBorder="1"/>
    <xf numFmtId="43" fontId="2" fillId="9" borderId="16" xfId="1" applyFont="1" applyFill="1" applyBorder="1"/>
    <xf numFmtId="0" fontId="2" fillId="9" borderId="26" xfId="0" applyFont="1" applyFill="1" applyBorder="1"/>
    <xf numFmtId="0" fontId="0" fillId="9" borderId="26" xfId="0" applyFill="1" applyBorder="1"/>
    <xf numFmtId="43" fontId="0" fillId="9" borderId="27" xfId="1" applyFont="1" applyFill="1" applyBorder="1"/>
    <xf numFmtId="43" fontId="2" fillId="3" borderId="31" xfId="1" applyFont="1" applyFill="1" applyBorder="1"/>
    <xf numFmtId="0" fontId="2" fillId="0" borderId="0" xfId="0" applyFont="1" applyAlignment="1">
      <alignment horizontal="left" wrapText="1"/>
    </xf>
    <xf numFmtId="43" fontId="0" fillId="0" borderId="0" xfId="1" applyFont="1" applyFill="1"/>
    <xf numFmtId="0" fontId="3" fillId="2" borderId="0" xfId="0" applyFont="1" applyFill="1"/>
    <xf numFmtId="0" fontId="3" fillId="2" borderId="0" xfId="0" applyFont="1" applyFill="1" applyAlignment="1">
      <alignment horizontal="left" wrapText="1"/>
    </xf>
    <xf numFmtId="0" fontId="8" fillId="2" borderId="0" xfId="0" applyFont="1" applyFill="1"/>
    <xf numFmtId="43" fontId="3" fillId="3" borderId="26" xfId="1" applyFont="1" applyFill="1" applyBorder="1"/>
    <xf numFmtId="43" fontId="3" fillId="10" borderId="26" xfId="1" applyFont="1" applyFill="1" applyBorder="1"/>
    <xf numFmtId="43" fontId="3" fillId="3" borderId="25" xfId="1" applyFont="1" applyFill="1" applyBorder="1"/>
    <xf numFmtId="43" fontId="3" fillId="3" borderId="27" xfId="1" applyFont="1" applyFill="1" applyBorder="1"/>
    <xf numFmtId="43" fontId="3" fillId="3" borderId="28" xfId="1" applyFont="1" applyFill="1" applyBorder="1"/>
    <xf numFmtId="0" fontId="2" fillId="11" borderId="0" xfId="0" applyFont="1" applyFill="1"/>
    <xf numFmtId="43" fontId="2" fillId="11" borderId="0" xfId="1" applyFont="1" applyFill="1"/>
    <xf numFmtId="43" fontId="2" fillId="11" borderId="0" xfId="1" applyFont="1" applyFill="1" applyBorder="1"/>
    <xf numFmtId="43" fontId="0" fillId="11" borderId="0" xfId="1" applyFont="1" applyFill="1"/>
    <xf numFmtId="0" fontId="0" fillId="11" borderId="0" xfId="0" applyFill="1"/>
    <xf numFmtId="1" fontId="3" fillId="2" borderId="0" xfId="1" applyNumberFormat="1" applyFont="1" applyFill="1" applyAlignment="1">
      <alignment horizontal="left"/>
    </xf>
    <xf numFmtId="43" fontId="2" fillId="2" borderId="0" xfId="0" applyNumberFormat="1" applyFont="1" applyFill="1"/>
    <xf numFmtId="0" fontId="3" fillId="11" borderId="0" xfId="0" applyFont="1" applyFill="1"/>
    <xf numFmtId="0" fontId="8" fillId="11" borderId="0" xfId="0" applyFont="1" applyFill="1"/>
    <xf numFmtId="43" fontId="2" fillId="3" borderId="0" xfId="0" applyNumberFormat="1" applyFont="1" applyFill="1"/>
    <xf numFmtId="43" fontId="0" fillId="3" borderId="0" xfId="0" applyNumberFormat="1" applyFill="1"/>
    <xf numFmtId="43" fontId="2" fillId="12" borderId="28" xfId="1" applyFont="1" applyFill="1" applyBorder="1"/>
    <xf numFmtId="43" fontId="2" fillId="3" borderId="24" xfId="1" applyFont="1" applyFill="1" applyBorder="1"/>
    <xf numFmtId="0" fontId="0" fillId="3" borderId="0" xfId="0" applyFill="1"/>
    <xf numFmtId="43" fontId="2" fillId="0" borderId="25" xfId="1" applyFont="1" applyFill="1" applyBorder="1"/>
    <xf numFmtId="43" fontId="2" fillId="12" borderId="29" xfId="1" applyFont="1" applyFill="1" applyBorder="1"/>
    <xf numFmtId="1" fontId="3" fillId="2" borderId="32" xfId="1" applyNumberFormat="1" applyFont="1" applyFill="1" applyBorder="1" applyAlignment="1">
      <alignment horizontal="left"/>
    </xf>
    <xf numFmtId="43" fontId="3" fillId="2" borderId="32" xfId="1" applyFont="1" applyFill="1" applyBorder="1"/>
    <xf numFmtId="43" fontId="2" fillId="2" borderId="32" xfId="0" applyNumberFormat="1" applyFont="1" applyFill="1" applyBorder="1"/>
    <xf numFmtId="0" fontId="0" fillId="2" borderId="32" xfId="0" applyFill="1" applyBorder="1"/>
    <xf numFmtId="43" fontId="3" fillId="3" borderId="33" xfId="1" applyFont="1" applyFill="1" applyBorder="1"/>
    <xf numFmtId="43" fontId="0" fillId="11" borderId="0" xfId="1" applyFont="1" applyFill="1" applyBorder="1"/>
    <xf numFmtId="0" fontId="2" fillId="2" borderId="1" xfId="0" applyFont="1" applyFill="1" applyBorder="1"/>
    <xf numFmtId="164" fontId="2" fillId="2" borderId="1" xfId="2" applyFont="1" applyFill="1" applyBorder="1"/>
    <xf numFmtId="0" fontId="0" fillId="2" borderId="1" xfId="0" applyFill="1" applyBorder="1"/>
    <xf numFmtId="43" fontId="3" fillId="2" borderId="1" xfId="1" applyFont="1" applyFill="1" applyBorder="1"/>
    <xf numFmtId="164" fontId="2" fillId="2" borderId="1" xfId="4" applyFont="1" applyFill="1" applyBorder="1"/>
    <xf numFmtId="164" fontId="2" fillId="2" borderId="1" xfId="0" applyNumberFormat="1" applyFont="1" applyFill="1" applyBorder="1"/>
    <xf numFmtId="43" fontId="5" fillId="2" borderId="1" xfId="5" applyNumberFormat="1" applyFont="1" applyFill="1" applyBorder="1"/>
    <xf numFmtId="43" fontId="2" fillId="2" borderId="1" xfId="6" applyFont="1" applyFill="1" applyBorder="1"/>
    <xf numFmtId="164" fontId="5" fillId="2" borderId="1" xfId="3" applyFont="1" applyFill="1" applyBorder="1"/>
    <xf numFmtId="43" fontId="5" fillId="2" borderId="1" xfId="1" applyFont="1" applyFill="1" applyBorder="1"/>
    <xf numFmtId="164" fontId="2" fillId="2" borderId="1" xfId="3" applyFont="1" applyFill="1" applyBorder="1"/>
    <xf numFmtId="43" fontId="2" fillId="13" borderId="11" xfId="1" applyFont="1" applyFill="1" applyBorder="1"/>
    <xf numFmtId="43" fontId="3" fillId="13" borderId="33" xfId="1" applyFont="1" applyFill="1" applyBorder="1"/>
    <xf numFmtId="0" fontId="2" fillId="2" borderId="1" xfId="0" quotePrefix="1" applyFont="1" applyFill="1" applyBorder="1"/>
    <xf numFmtId="0" fontId="7" fillId="0" borderId="4" xfId="0" applyFont="1" applyBorder="1"/>
    <xf numFmtId="0" fontId="7" fillId="0" borderId="6" xfId="0" applyFont="1" applyBorder="1"/>
    <xf numFmtId="0" fontId="2" fillId="0" borderId="0" xfId="0" applyFont="1" applyAlignment="1">
      <alignment horizontal="center" vertical="center"/>
    </xf>
  </cellXfs>
  <cellStyles count="7">
    <cellStyle name="Comma" xfId="1" builtinId="3"/>
    <cellStyle name="Comma 2" xfId="2" xr:uid="{40C1B1F5-3B3A-4D2A-AA94-C28404E017C0}"/>
    <cellStyle name="Comma 3" xfId="4" xr:uid="{F377E112-2AFB-4536-B485-083418311A51}"/>
    <cellStyle name="Comma 4" xfId="3" xr:uid="{3820CA49-067D-4A6A-9B16-2B2FDA00ACB9}"/>
    <cellStyle name="Comma 5" xfId="6" xr:uid="{B4E1F95B-0AA3-49FF-85C7-42115EB197BB}"/>
    <cellStyle name="Normal" xfId="0" builtinId="0"/>
    <cellStyle name="Normal 2" xfId="5" xr:uid="{DD0C8F22-620A-48FB-8ADC-4270288208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77935-1670-4942-A36A-255D233BE1CF}">
  <dimension ref="A1:BI72"/>
  <sheetViews>
    <sheetView zoomScale="93" zoomScaleNormal="93" workbookViewId="0">
      <pane xSplit="6" ySplit="6" topLeftCell="BA55" activePane="bottomRight" state="frozen"/>
      <selection pane="topRight" activeCell="G1" sqref="G1"/>
      <selection pane="bottomLeft" activeCell="A7" sqref="A7"/>
      <selection pane="bottomRight" sqref="A1:BI71"/>
    </sheetView>
  </sheetViews>
  <sheetFormatPr defaultRowHeight="15" x14ac:dyDescent="0.25"/>
  <cols>
    <col min="1" max="1" width="4.85546875" customWidth="1"/>
    <col min="2" max="2" width="32.42578125" bestFit="1" customWidth="1"/>
    <col min="3" max="3" width="13.140625" bestFit="1" customWidth="1"/>
    <col min="4" max="4" width="12.7109375" bestFit="1" customWidth="1"/>
    <col min="5" max="5" width="10.140625" bestFit="1" customWidth="1"/>
    <col min="6" max="6" width="12.7109375" bestFit="1" customWidth="1"/>
    <col min="7" max="7" width="11.140625" bestFit="1" customWidth="1"/>
    <col min="8" max="8" width="12.7109375" bestFit="1" customWidth="1"/>
    <col min="9" max="9" width="11.140625" bestFit="1" customWidth="1"/>
    <col min="10" max="10" width="12.7109375" bestFit="1" customWidth="1"/>
    <col min="11" max="11" width="11.140625" bestFit="1" customWidth="1"/>
    <col min="12" max="12" width="12.7109375" bestFit="1" customWidth="1"/>
    <col min="13" max="13" width="11.140625" bestFit="1" customWidth="1"/>
    <col min="14" max="15" width="12.7109375" bestFit="1" customWidth="1"/>
    <col min="16" max="16" width="11.140625" bestFit="1" customWidth="1"/>
    <col min="17" max="17" width="12.7109375" bestFit="1" customWidth="1"/>
    <col min="18" max="18" width="11.140625" bestFit="1" customWidth="1"/>
    <col min="19" max="38" width="12.7109375" bestFit="1" customWidth="1"/>
    <col min="39" max="39" width="11.42578125" bestFit="1" customWidth="1"/>
    <col min="40" max="40" width="12.7109375" bestFit="1" customWidth="1"/>
    <col min="41" max="43" width="11.140625" bestFit="1" customWidth="1"/>
    <col min="44" max="45" width="12.7109375" bestFit="1" customWidth="1"/>
    <col min="46" max="46" width="11.140625" bestFit="1" customWidth="1"/>
    <col min="47" max="47" width="12.7109375" bestFit="1" customWidth="1"/>
    <col min="48" max="48" width="11.140625" bestFit="1" customWidth="1"/>
    <col min="49" max="50" width="12.7109375" bestFit="1" customWidth="1"/>
    <col min="54" max="55" width="13.85546875" bestFit="1" customWidth="1"/>
    <col min="56" max="56" width="12.42578125" customWidth="1"/>
    <col min="57" max="57" width="11.5703125" bestFit="1" customWidth="1"/>
    <col min="58" max="58" width="12" customWidth="1"/>
    <col min="59" max="59" width="14.85546875" customWidth="1"/>
    <col min="60" max="60" width="11.7109375" customWidth="1"/>
    <col min="61" max="61" width="14.42578125" customWidth="1"/>
  </cols>
  <sheetData>
    <row r="1" spans="1:61" ht="39" x14ac:dyDescent="0.25">
      <c r="A1" s="10" t="s">
        <v>0</v>
      </c>
      <c r="B1" s="11" t="s">
        <v>1</v>
      </c>
      <c r="C1" s="11" t="s">
        <v>2</v>
      </c>
      <c r="D1" s="12">
        <v>44573</v>
      </c>
      <c r="E1" s="12">
        <v>44573</v>
      </c>
      <c r="F1" s="13">
        <v>44604</v>
      </c>
      <c r="G1" s="12">
        <v>44604</v>
      </c>
      <c r="H1" s="14">
        <v>44693</v>
      </c>
      <c r="I1" s="12">
        <v>44693</v>
      </c>
      <c r="J1" s="14">
        <v>44724</v>
      </c>
      <c r="K1" s="12">
        <v>44724</v>
      </c>
      <c r="L1" s="14">
        <v>44754</v>
      </c>
      <c r="M1" s="12">
        <v>44754</v>
      </c>
      <c r="N1" s="14">
        <v>44785</v>
      </c>
      <c r="O1" s="12">
        <v>44785</v>
      </c>
      <c r="P1" s="14">
        <v>44816</v>
      </c>
      <c r="Q1" s="12">
        <v>44816</v>
      </c>
      <c r="R1" s="14">
        <v>44907</v>
      </c>
      <c r="S1" s="12">
        <v>44907</v>
      </c>
      <c r="T1" s="14" t="s">
        <v>3</v>
      </c>
      <c r="U1" s="12" t="s">
        <v>3</v>
      </c>
      <c r="V1" s="14" t="s">
        <v>4</v>
      </c>
      <c r="W1" s="12" t="s">
        <v>4</v>
      </c>
      <c r="X1" s="13" t="s">
        <v>5</v>
      </c>
      <c r="Y1" s="15" t="s">
        <v>6</v>
      </c>
      <c r="Z1" s="16" t="s">
        <v>7</v>
      </c>
      <c r="AA1" s="17" t="s">
        <v>7</v>
      </c>
      <c r="AB1" s="16" t="s">
        <v>8</v>
      </c>
      <c r="AC1" s="12" t="s">
        <v>8</v>
      </c>
      <c r="AD1" s="16" t="s">
        <v>9</v>
      </c>
      <c r="AE1" s="17" t="s">
        <v>9</v>
      </c>
      <c r="AF1" s="16" t="s">
        <v>10</v>
      </c>
      <c r="AG1" s="17" t="s">
        <v>10</v>
      </c>
      <c r="AH1" s="16" t="s">
        <v>11</v>
      </c>
      <c r="AI1" s="14" t="s">
        <v>11</v>
      </c>
      <c r="AJ1" s="16" t="s">
        <v>12</v>
      </c>
      <c r="AK1" s="17" t="s">
        <v>12</v>
      </c>
      <c r="AL1" s="16" t="s">
        <v>13</v>
      </c>
      <c r="AM1" s="16" t="s">
        <v>13</v>
      </c>
      <c r="AN1" s="17" t="s">
        <v>14</v>
      </c>
      <c r="AO1" s="16" t="s">
        <v>14</v>
      </c>
      <c r="AP1" s="14" t="s">
        <v>15</v>
      </c>
      <c r="AQ1" s="12" t="s">
        <v>15</v>
      </c>
      <c r="AR1" s="17" t="s">
        <v>16</v>
      </c>
      <c r="AS1" s="12" t="s">
        <v>16</v>
      </c>
      <c r="AT1" s="17" t="s">
        <v>17</v>
      </c>
      <c r="AU1" s="16" t="s">
        <v>17</v>
      </c>
      <c r="AV1" s="16" t="s">
        <v>18</v>
      </c>
      <c r="AW1" s="17" t="s">
        <v>18</v>
      </c>
      <c r="AX1" s="12" t="s">
        <v>18</v>
      </c>
      <c r="AY1" s="17"/>
      <c r="AZ1" s="18"/>
      <c r="BA1" s="19"/>
      <c r="BB1" s="20" t="s">
        <v>19</v>
      </c>
      <c r="BC1" s="18" t="s">
        <v>20</v>
      </c>
      <c r="BD1" s="18" t="s">
        <v>21</v>
      </c>
      <c r="BE1" s="18" t="s">
        <v>22</v>
      </c>
      <c r="BF1" s="18" t="s">
        <v>23</v>
      </c>
      <c r="BG1" s="18" t="s">
        <v>24</v>
      </c>
      <c r="BH1" s="18" t="s">
        <v>25</v>
      </c>
      <c r="BI1" s="18" t="s">
        <v>26</v>
      </c>
    </row>
    <row r="2" spans="1:61" ht="15.75" x14ac:dyDescent="0.25">
      <c r="A2" s="185">
        <v>1</v>
      </c>
      <c r="B2" s="22" t="s">
        <v>27</v>
      </c>
      <c r="C2" s="23" t="s">
        <v>24</v>
      </c>
      <c r="D2" s="24">
        <v>23520</v>
      </c>
      <c r="E2" s="24">
        <v>4800</v>
      </c>
      <c r="F2" s="24">
        <v>134120</v>
      </c>
      <c r="G2" s="24">
        <v>62960</v>
      </c>
      <c r="H2" s="24">
        <v>187360</v>
      </c>
      <c r="I2" s="24">
        <v>108040</v>
      </c>
      <c r="J2" s="24">
        <v>99040</v>
      </c>
      <c r="K2" s="24">
        <v>198560</v>
      </c>
      <c r="L2">
        <v>147920</v>
      </c>
      <c r="M2">
        <v>80200</v>
      </c>
      <c r="N2" s="25">
        <v>62000</v>
      </c>
      <c r="O2">
        <v>32640</v>
      </c>
      <c r="P2">
        <v>123360</v>
      </c>
      <c r="Q2">
        <v>138600</v>
      </c>
      <c r="R2">
        <v>63080</v>
      </c>
      <c r="S2">
        <v>226720</v>
      </c>
      <c r="T2">
        <v>138120</v>
      </c>
      <c r="U2">
        <v>67600</v>
      </c>
      <c r="V2">
        <v>93280</v>
      </c>
      <c r="W2">
        <v>33360</v>
      </c>
      <c r="X2">
        <v>90840</v>
      </c>
      <c r="Y2">
        <v>84640</v>
      </c>
      <c r="Z2">
        <v>11480</v>
      </c>
      <c r="AA2">
        <v>72280</v>
      </c>
      <c r="AB2">
        <v>57200</v>
      </c>
      <c r="AC2">
        <v>94072.6</v>
      </c>
      <c r="AD2">
        <v>47200</v>
      </c>
      <c r="AE2">
        <v>103160</v>
      </c>
      <c r="AF2">
        <v>105960</v>
      </c>
      <c r="AG2">
        <v>20560</v>
      </c>
      <c r="AH2">
        <v>28840</v>
      </c>
      <c r="AI2">
        <v>152960</v>
      </c>
      <c r="AJ2">
        <v>61120</v>
      </c>
      <c r="AK2">
        <v>82520</v>
      </c>
      <c r="AL2">
        <v>32720</v>
      </c>
      <c r="AM2">
        <v>80800</v>
      </c>
      <c r="AN2" s="24"/>
      <c r="AO2">
        <v>16920</v>
      </c>
      <c r="AP2">
        <v>3480</v>
      </c>
      <c r="AQ2">
        <v>1880</v>
      </c>
      <c r="AR2">
        <v>70720</v>
      </c>
      <c r="AS2">
        <v>73880</v>
      </c>
      <c r="AT2">
        <v>45680</v>
      </c>
      <c r="AU2">
        <v>38320</v>
      </c>
      <c r="AV2">
        <v>10680</v>
      </c>
      <c r="AW2" s="24"/>
      <c r="AX2">
        <v>119080</v>
      </c>
      <c r="AY2" s="24"/>
      <c r="AZ2" s="24"/>
      <c r="BA2" s="24"/>
      <c r="BB2" s="26">
        <f t="shared" ref="BB2:BB7" si="0">SUM(D2:BA2)</f>
        <v>3532272.6</v>
      </c>
      <c r="BC2" s="27">
        <v>0</v>
      </c>
      <c r="BD2" s="27">
        <v>0</v>
      </c>
      <c r="BE2" s="27">
        <v>0</v>
      </c>
      <c r="BF2" s="27">
        <v>0</v>
      </c>
      <c r="BG2" s="27">
        <f>BB2</f>
        <v>3532272.6</v>
      </c>
      <c r="BH2" s="27">
        <v>0</v>
      </c>
      <c r="BI2" s="28">
        <f>SUM(BC2:BH2)</f>
        <v>3532272.6</v>
      </c>
    </row>
    <row r="3" spans="1:61" ht="15.75" x14ac:dyDescent="0.25">
      <c r="A3" s="185"/>
      <c r="B3" s="22" t="s">
        <v>27</v>
      </c>
      <c r="C3" s="23" t="s">
        <v>25</v>
      </c>
      <c r="D3" s="29">
        <f>5174.4+705.6</f>
        <v>5880</v>
      </c>
      <c r="E3" s="28">
        <f>1056+144</f>
        <v>1200</v>
      </c>
      <c r="F3" s="28">
        <f>29506.4+4023.6</f>
        <v>33530</v>
      </c>
      <c r="G3" s="30">
        <f>13851.2+1888.8</f>
        <v>15740</v>
      </c>
      <c r="H3" s="28">
        <f>41219.2+5620.8</f>
        <v>46840</v>
      </c>
      <c r="I3" s="28">
        <f>23768.8+3241.2</f>
        <v>27010</v>
      </c>
      <c r="J3" s="28">
        <f>21788.8+2971.2</f>
        <v>24760</v>
      </c>
      <c r="K3" s="28">
        <f>43683.2+5956.8</f>
        <v>49640</v>
      </c>
      <c r="L3" s="28">
        <f>32542.4+4437.6</f>
        <v>36980</v>
      </c>
      <c r="M3" s="28">
        <f>17644+2406</f>
        <v>20050</v>
      </c>
      <c r="N3" s="28">
        <f>13640+1860</f>
        <v>15500</v>
      </c>
      <c r="O3" s="28">
        <f>7180.8+979.2</f>
        <v>8160</v>
      </c>
      <c r="P3" s="28">
        <f>27139.2+3700.8</f>
        <v>30840</v>
      </c>
      <c r="Q3" s="28">
        <f>30492+4158</f>
        <v>34650</v>
      </c>
      <c r="R3" s="28">
        <f>13877.6+1892.4</f>
        <v>15770</v>
      </c>
      <c r="S3" s="28">
        <f>49878.4+6801.6</f>
        <v>56680</v>
      </c>
      <c r="T3" s="31">
        <f>30386.4+4143.6</f>
        <v>34530</v>
      </c>
      <c r="U3" s="32">
        <f>14872+2028</f>
        <v>16900</v>
      </c>
      <c r="V3" s="32">
        <f>20521.6+2798.4</f>
        <v>23320</v>
      </c>
      <c r="W3" s="32">
        <f>7339.2+1000.8</f>
        <v>8340</v>
      </c>
      <c r="X3" s="28">
        <f>19984.8+2725.2</f>
        <v>22710</v>
      </c>
      <c r="Y3" s="28">
        <f>18620.8+2539.2</f>
        <v>21160</v>
      </c>
      <c r="Z3">
        <f>2525.6+344.4</f>
        <v>2870</v>
      </c>
      <c r="AA3" s="28">
        <f>15901.6+2168.4</f>
        <v>18070</v>
      </c>
      <c r="AB3" s="28">
        <f>12584+1716</f>
        <v>14300</v>
      </c>
      <c r="AC3" s="28">
        <f>20695.972+2822.178</f>
        <v>23518.15</v>
      </c>
      <c r="AD3" s="33">
        <f>10384+1416</f>
        <v>11800</v>
      </c>
      <c r="AE3" s="28">
        <f>22695.2+3094.8</f>
        <v>25790</v>
      </c>
      <c r="AF3" s="28">
        <f>23311.2+3178.8</f>
        <v>26490</v>
      </c>
      <c r="AG3" s="28">
        <f>4523.2+616.8</f>
        <v>5140</v>
      </c>
      <c r="AH3" s="28">
        <f>6344.8+865.2</f>
        <v>7210</v>
      </c>
      <c r="AI3" s="28">
        <f>33651.2+4588.8</f>
        <v>38240</v>
      </c>
      <c r="AJ3" s="28">
        <f>13446.4+1833.6</f>
        <v>15280</v>
      </c>
      <c r="AK3" s="28">
        <f>18154.4+2475.6</f>
        <v>20630</v>
      </c>
      <c r="AL3" s="28">
        <f>7198.4+981.6</f>
        <v>8180</v>
      </c>
      <c r="AM3" s="28">
        <f>17776+2424</f>
        <v>20200</v>
      </c>
      <c r="AN3" s="28"/>
      <c r="AO3" s="28">
        <f>3722.4+507.6</f>
        <v>4230</v>
      </c>
      <c r="AP3" s="28">
        <f>765.6+104.4</f>
        <v>870</v>
      </c>
      <c r="AQ3" s="24">
        <f>413.6+56.4</f>
        <v>470</v>
      </c>
      <c r="AR3" s="28">
        <f>15558.4+2121.6</f>
        <v>17680</v>
      </c>
      <c r="AS3" s="28">
        <f>16253.6+2216.4</f>
        <v>18470</v>
      </c>
      <c r="AT3" s="28">
        <f>10049.6+1370.4</f>
        <v>11420</v>
      </c>
      <c r="AU3" s="34">
        <f>8430.4+1149.6</f>
        <v>9580</v>
      </c>
      <c r="AV3" s="34">
        <f>2349.6+320.4</f>
        <v>2670</v>
      </c>
      <c r="AW3" s="34"/>
      <c r="AX3" s="28">
        <f>26197.6+3572.4</f>
        <v>29770</v>
      </c>
      <c r="AY3" s="28"/>
      <c r="AZ3" s="27"/>
      <c r="BA3" s="27"/>
      <c r="BB3" s="26">
        <f t="shared" si="0"/>
        <v>883068.15</v>
      </c>
      <c r="BC3" s="35">
        <f>BB3*0.12</f>
        <v>105968.178</v>
      </c>
      <c r="BD3" s="36"/>
      <c r="BE3" s="36"/>
      <c r="BF3" s="36"/>
      <c r="BG3" s="36"/>
      <c r="BH3" s="35">
        <f>0.88*BB3</f>
        <v>777099.97200000007</v>
      </c>
      <c r="BI3" s="28">
        <f>SUM(BC3:BH3)</f>
        <v>883068.15</v>
      </c>
    </row>
    <row r="4" spans="1:61" ht="15.75" x14ac:dyDescent="0.25">
      <c r="A4" s="185"/>
      <c r="B4" s="22" t="s">
        <v>27</v>
      </c>
      <c r="C4" s="23" t="s">
        <v>28</v>
      </c>
      <c r="D4" s="29">
        <v>1000</v>
      </c>
      <c r="E4" s="28">
        <v>0</v>
      </c>
      <c r="F4" s="28">
        <v>5000</v>
      </c>
      <c r="G4" s="30">
        <v>3000</v>
      </c>
      <c r="H4" s="28">
        <v>8000</v>
      </c>
      <c r="I4" s="28">
        <v>6000</v>
      </c>
      <c r="J4" s="28">
        <v>4000</v>
      </c>
      <c r="K4" s="28">
        <v>9000</v>
      </c>
      <c r="L4" s="28">
        <v>15000</v>
      </c>
      <c r="M4" s="28">
        <v>4000</v>
      </c>
      <c r="N4" s="28">
        <v>14000</v>
      </c>
      <c r="O4" s="28">
        <v>2000</v>
      </c>
      <c r="P4" s="28">
        <v>9000</v>
      </c>
      <c r="Q4" s="28">
        <v>26000</v>
      </c>
      <c r="R4" s="28">
        <v>4000</v>
      </c>
      <c r="S4" s="24">
        <v>39000</v>
      </c>
      <c r="T4" s="31">
        <v>44000</v>
      </c>
      <c r="U4" s="32">
        <v>13000</v>
      </c>
      <c r="V4" s="32">
        <v>36000</v>
      </c>
      <c r="W4" s="32">
        <v>3000</v>
      </c>
      <c r="X4" s="28">
        <v>9000</v>
      </c>
      <c r="Y4" s="28">
        <v>28000</v>
      </c>
      <c r="Z4" s="28">
        <v>1000</v>
      </c>
      <c r="AA4" s="28">
        <v>21000</v>
      </c>
      <c r="AB4" s="28">
        <v>7000</v>
      </c>
      <c r="AC4" s="28">
        <v>33000</v>
      </c>
      <c r="AD4" s="37">
        <v>10000</v>
      </c>
      <c r="AE4" s="37">
        <v>37000</v>
      </c>
      <c r="AF4" s="28">
        <v>27000</v>
      </c>
      <c r="AG4" s="28">
        <v>3000</v>
      </c>
      <c r="AH4" s="28">
        <v>3000</v>
      </c>
      <c r="AI4" s="28">
        <v>37000</v>
      </c>
      <c r="AJ4" s="28">
        <v>4000</v>
      </c>
      <c r="AK4" s="28">
        <v>29000</v>
      </c>
      <c r="AL4" s="28">
        <v>4000</v>
      </c>
      <c r="AM4" s="28">
        <v>30000</v>
      </c>
      <c r="AN4" s="28"/>
      <c r="AO4" s="28">
        <v>9000</v>
      </c>
      <c r="AP4" s="28">
        <v>1000</v>
      </c>
      <c r="AQ4" s="28">
        <v>1000</v>
      </c>
      <c r="AR4" s="28">
        <v>7000</v>
      </c>
      <c r="AS4" s="28">
        <v>21000</v>
      </c>
      <c r="AT4" s="28">
        <v>6000</v>
      </c>
      <c r="AU4" s="28">
        <v>14000</v>
      </c>
      <c r="AV4" s="28">
        <v>1000</v>
      </c>
      <c r="AW4" s="28"/>
      <c r="AX4" s="28">
        <v>13000</v>
      </c>
      <c r="AY4" s="28"/>
      <c r="AZ4" s="27"/>
      <c r="BA4" s="27"/>
      <c r="BB4" s="26">
        <f t="shared" si="0"/>
        <v>601000</v>
      </c>
      <c r="BC4" s="36"/>
      <c r="BD4" s="35">
        <f>BB4</f>
        <v>601000</v>
      </c>
      <c r="BE4" s="36"/>
      <c r="BF4" s="36"/>
      <c r="BG4" s="36"/>
      <c r="BH4" s="36"/>
      <c r="BI4" s="28">
        <f>SUM(BC4:BH4)</f>
        <v>601000</v>
      </c>
    </row>
    <row r="5" spans="1:61" ht="15.75" x14ac:dyDescent="0.25">
      <c r="A5" s="185"/>
      <c r="B5" s="38" t="s">
        <v>27</v>
      </c>
      <c r="C5" s="39" t="s">
        <v>29</v>
      </c>
      <c r="D5" s="40">
        <v>2318.75</v>
      </c>
      <c r="E5" s="28">
        <v>662.5</v>
      </c>
      <c r="F5" s="28">
        <v>6293.75</v>
      </c>
      <c r="G5" s="41">
        <v>3312.5</v>
      </c>
      <c r="H5" s="42">
        <v>4637.5</v>
      </c>
      <c r="I5" s="42">
        <v>2981.25</v>
      </c>
      <c r="J5" s="42">
        <v>6293.75</v>
      </c>
      <c r="K5" s="42">
        <v>9606.25</v>
      </c>
      <c r="L5" s="42">
        <v>11593.75</v>
      </c>
      <c r="M5" s="42">
        <v>2981.25</v>
      </c>
      <c r="N5" s="42">
        <v>4637.5</v>
      </c>
      <c r="O5" s="42">
        <v>1656.25</v>
      </c>
      <c r="P5" s="42">
        <v>6293.75</v>
      </c>
      <c r="Q5" s="42">
        <v>14575</v>
      </c>
      <c r="R5" s="42">
        <v>5631.25</v>
      </c>
      <c r="S5" s="42">
        <v>20206.25</v>
      </c>
      <c r="T5" s="43">
        <v>21531.25</v>
      </c>
      <c r="U5" s="32">
        <v>8281.25</v>
      </c>
      <c r="V5" s="32">
        <v>14575</v>
      </c>
      <c r="W5" s="32">
        <v>6293.75</v>
      </c>
      <c r="X5" s="42">
        <v>5962.5</v>
      </c>
      <c r="Y5" s="42">
        <v>14243.75</v>
      </c>
      <c r="Z5" s="42">
        <v>2318.75</v>
      </c>
      <c r="AA5" s="42">
        <v>12587.5</v>
      </c>
      <c r="AB5" s="42">
        <v>4968.75</v>
      </c>
      <c r="AC5" s="42">
        <v>12256.25</v>
      </c>
      <c r="AD5" s="33">
        <v>6956.25</v>
      </c>
      <c r="AE5" s="28">
        <v>17556.25</v>
      </c>
      <c r="AF5" s="42">
        <v>17556.25</v>
      </c>
      <c r="AG5" s="42">
        <v>4306.25</v>
      </c>
      <c r="AH5" s="42">
        <v>4306.25</v>
      </c>
      <c r="AI5" s="42">
        <v>18218.75</v>
      </c>
      <c r="AJ5" s="42">
        <v>9275</v>
      </c>
      <c r="AK5" s="42">
        <v>13250</v>
      </c>
      <c r="AL5" s="37">
        <v>4637.5</v>
      </c>
      <c r="AM5" s="37">
        <v>12918.75</v>
      </c>
      <c r="AN5" s="42"/>
      <c r="AO5" s="42">
        <v>2981.25</v>
      </c>
      <c r="AP5" s="42">
        <v>662.5</v>
      </c>
      <c r="AQ5" s="42">
        <v>331.25</v>
      </c>
      <c r="AR5" s="42">
        <v>6293.75</v>
      </c>
      <c r="AS5" s="42">
        <v>11593.75</v>
      </c>
      <c r="AT5" s="42">
        <v>6293.75</v>
      </c>
      <c r="AU5" s="44">
        <v>6625</v>
      </c>
      <c r="AV5" s="44">
        <v>1656.25</v>
      </c>
      <c r="AW5" s="44"/>
      <c r="AX5" s="42">
        <v>5962.5</v>
      </c>
      <c r="AY5" s="42"/>
      <c r="AZ5" s="45"/>
      <c r="BA5" s="45"/>
      <c r="BB5" s="46">
        <f t="shared" si="0"/>
        <v>358081.25</v>
      </c>
      <c r="BC5" s="47"/>
      <c r="BD5" s="47"/>
      <c r="BE5" s="48">
        <f>100/350*BB5</f>
        <v>102308.92857142857</v>
      </c>
      <c r="BF5" s="48">
        <f>250/350*BB5</f>
        <v>255772.32142857142</v>
      </c>
      <c r="BG5" s="48"/>
      <c r="BH5" s="47"/>
      <c r="BI5" s="42">
        <f>SUM(BC5:BH5)</f>
        <v>358081.25</v>
      </c>
    </row>
    <row r="6" spans="1:61" ht="15.75" x14ac:dyDescent="0.25">
      <c r="A6" s="185"/>
      <c r="B6" s="38" t="s">
        <v>27</v>
      </c>
      <c r="C6" s="49" t="s">
        <v>30</v>
      </c>
      <c r="D6" s="50">
        <v>2000</v>
      </c>
      <c r="E6" s="28">
        <v>0</v>
      </c>
      <c r="F6" s="28">
        <v>10000</v>
      </c>
      <c r="G6" s="50">
        <v>6000</v>
      </c>
      <c r="H6" s="50">
        <v>16000</v>
      </c>
      <c r="I6" s="50">
        <v>12000</v>
      </c>
      <c r="J6" s="50">
        <v>8000</v>
      </c>
      <c r="K6" s="50">
        <v>18000</v>
      </c>
      <c r="L6" s="50">
        <v>10000</v>
      </c>
      <c r="M6" s="50">
        <v>8000</v>
      </c>
      <c r="N6" s="51">
        <v>4000</v>
      </c>
      <c r="O6" s="50">
        <v>4000</v>
      </c>
      <c r="P6" s="50">
        <v>14000</v>
      </c>
      <c r="Q6" s="50">
        <v>6000</v>
      </c>
      <c r="R6" s="50">
        <v>2000</v>
      </c>
      <c r="S6" s="50">
        <v>10000</v>
      </c>
      <c r="T6" s="52">
        <v>2000</v>
      </c>
      <c r="U6" s="32">
        <v>2000</v>
      </c>
      <c r="V6" s="32">
        <v>0</v>
      </c>
      <c r="W6" s="32">
        <v>0</v>
      </c>
      <c r="X6" s="32">
        <v>4000</v>
      </c>
      <c r="Y6" s="32">
        <v>0</v>
      </c>
      <c r="Z6" s="50">
        <v>0</v>
      </c>
      <c r="AA6" s="50">
        <v>0</v>
      </c>
      <c r="AB6" s="50">
        <v>2000</v>
      </c>
      <c r="AC6" s="50">
        <v>2000</v>
      </c>
      <c r="AD6" s="33">
        <v>0</v>
      </c>
      <c r="AE6" s="50">
        <v>0</v>
      </c>
      <c r="AF6" s="50">
        <v>0</v>
      </c>
      <c r="AG6" s="50">
        <v>0</v>
      </c>
      <c r="AH6" s="50">
        <v>0</v>
      </c>
      <c r="AI6" s="50">
        <v>2000</v>
      </c>
      <c r="AJ6" s="24">
        <v>0</v>
      </c>
      <c r="AK6" s="50">
        <v>0</v>
      </c>
      <c r="AL6" s="42">
        <v>0</v>
      </c>
      <c r="AM6" s="50">
        <v>0</v>
      </c>
      <c r="AN6" s="50"/>
      <c r="AO6" s="50">
        <v>0</v>
      </c>
      <c r="AP6" s="50">
        <v>0</v>
      </c>
      <c r="AQ6" s="50">
        <v>0</v>
      </c>
      <c r="AR6" s="50">
        <v>2000</v>
      </c>
      <c r="AS6" s="50">
        <v>0</v>
      </c>
      <c r="AT6" s="50">
        <v>0</v>
      </c>
      <c r="AU6" s="53">
        <v>0</v>
      </c>
      <c r="AV6" s="53">
        <v>0</v>
      </c>
      <c r="AW6" s="53"/>
      <c r="AX6" s="50">
        <v>8000</v>
      </c>
      <c r="AY6" s="24"/>
      <c r="AZ6" s="54"/>
      <c r="BA6" s="54"/>
      <c r="BB6" s="55">
        <f t="shared" si="0"/>
        <v>154000</v>
      </c>
      <c r="BC6" s="56"/>
      <c r="BD6" s="56"/>
      <c r="BE6" s="57"/>
      <c r="BF6" s="57"/>
      <c r="BG6" s="57"/>
      <c r="BH6" s="56"/>
      <c r="BI6" s="50"/>
    </row>
    <row r="7" spans="1:61" ht="15.75" x14ac:dyDescent="0.25">
      <c r="A7" s="185"/>
      <c r="B7" s="38" t="s">
        <v>27</v>
      </c>
      <c r="C7" s="49" t="s">
        <v>31</v>
      </c>
      <c r="D7" s="50">
        <v>131.25</v>
      </c>
      <c r="E7" s="41">
        <v>37.5</v>
      </c>
      <c r="F7" s="41">
        <v>356.25</v>
      </c>
      <c r="G7" s="50">
        <v>187.5</v>
      </c>
      <c r="H7" s="50">
        <v>262.5</v>
      </c>
      <c r="I7" s="50">
        <v>168.75</v>
      </c>
      <c r="J7" s="50">
        <v>356.25</v>
      </c>
      <c r="K7" s="50">
        <v>543.75</v>
      </c>
      <c r="L7" s="50">
        <v>656.25</v>
      </c>
      <c r="M7" s="50">
        <v>168.75</v>
      </c>
      <c r="N7" s="32">
        <v>262.5</v>
      </c>
      <c r="O7" s="50">
        <v>93.75</v>
      </c>
      <c r="P7" s="32">
        <v>356.25</v>
      </c>
      <c r="Q7" s="50">
        <v>825</v>
      </c>
      <c r="R7" s="50">
        <v>318.75</v>
      </c>
      <c r="S7" s="25">
        <v>1143.75</v>
      </c>
      <c r="T7" s="52">
        <v>1218.75</v>
      </c>
      <c r="U7" s="32">
        <v>468.75</v>
      </c>
      <c r="V7" s="32">
        <v>825</v>
      </c>
      <c r="W7" s="32">
        <v>356.25</v>
      </c>
      <c r="X7" s="32">
        <v>337.5</v>
      </c>
      <c r="Y7" s="32">
        <v>806.25</v>
      </c>
      <c r="Z7" s="25">
        <v>131.25</v>
      </c>
      <c r="AA7" s="25">
        <v>712.5</v>
      </c>
      <c r="AB7" s="32">
        <v>281.25</v>
      </c>
      <c r="AC7" s="50">
        <v>693.75</v>
      </c>
      <c r="AD7" s="33">
        <v>393.75</v>
      </c>
      <c r="AE7" s="50">
        <v>993.75</v>
      </c>
      <c r="AF7" s="50">
        <v>993.75</v>
      </c>
      <c r="AG7" s="50">
        <v>243.75</v>
      </c>
      <c r="AH7" s="50">
        <v>243.75</v>
      </c>
      <c r="AI7" s="50">
        <v>1031.25</v>
      </c>
      <c r="AJ7" s="24">
        <v>525</v>
      </c>
      <c r="AK7" s="50">
        <v>750</v>
      </c>
      <c r="AL7" s="50">
        <v>262.5</v>
      </c>
      <c r="AM7" s="50">
        <v>731.25</v>
      </c>
      <c r="AN7" s="50"/>
      <c r="AO7" s="50">
        <v>168.75</v>
      </c>
      <c r="AP7" s="50">
        <v>37.5</v>
      </c>
      <c r="AQ7" s="50">
        <v>18.75</v>
      </c>
      <c r="AR7" s="50">
        <v>356.25</v>
      </c>
      <c r="AS7" s="50">
        <v>656.25</v>
      </c>
      <c r="AT7" s="50">
        <v>356.25</v>
      </c>
      <c r="AU7" s="53">
        <v>375</v>
      </c>
      <c r="AV7" s="53">
        <v>93.75</v>
      </c>
      <c r="AW7" s="24"/>
      <c r="AX7" s="24">
        <v>337.5</v>
      </c>
      <c r="AY7" s="24"/>
      <c r="AZ7" s="54"/>
      <c r="BA7" s="54"/>
      <c r="BB7" s="55">
        <f t="shared" si="0"/>
        <v>20268.75</v>
      </c>
      <c r="BC7" s="56"/>
      <c r="BD7" s="56"/>
      <c r="BE7" s="57"/>
      <c r="BF7" s="57"/>
      <c r="BG7" s="57"/>
      <c r="BH7" s="56"/>
      <c r="BI7" s="50"/>
    </row>
    <row r="8" spans="1:61" ht="16.5" thickBot="1" x14ac:dyDescent="0.3">
      <c r="A8" s="185"/>
      <c r="B8" s="58" t="s">
        <v>26</v>
      </c>
      <c r="C8" s="59"/>
      <c r="D8" s="60">
        <f>SUM(D2:D7)</f>
        <v>34850</v>
      </c>
      <c r="E8" s="60">
        <f>SUM(E2:E7)</f>
        <v>6700</v>
      </c>
      <c r="F8" s="60">
        <f>SUM(F2:F7)</f>
        <v>189300</v>
      </c>
      <c r="G8" s="60">
        <f t="shared" ref="G8:BA8" si="1">SUM(G2:G7)</f>
        <v>91200</v>
      </c>
      <c r="H8" s="60">
        <f t="shared" si="1"/>
        <v>263100</v>
      </c>
      <c r="I8" s="60">
        <f t="shared" si="1"/>
        <v>156200</v>
      </c>
      <c r="J8" s="60">
        <f t="shared" si="1"/>
        <v>142450</v>
      </c>
      <c r="K8" s="60">
        <f t="shared" si="1"/>
        <v>285350</v>
      </c>
      <c r="L8" s="60">
        <f t="shared" si="1"/>
        <v>222150</v>
      </c>
      <c r="M8" s="60">
        <f t="shared" si="1"/>
        <v>115400</v>
      </c>
      <c r="N8" s="60">
        <f t="shared" si="1"/>
        <v>100400</v>
      </c>
      <c r="O8" s="60">
        <f t="shared" si="1"/>
        <v>48550</v>
      </c>
      <c r="P8" s="60">
        <f t="shared" si="1"/>
        <v>183850</v>
      </c>
      <c r="Q8" s="60">
        <f t="shared" si="1"/>
        <v>220650</v>
      </c>
      <c r="R8" s="60">
        <f t="shared" si="1"/>
        <v>90800</v>
      </c>
      <c r="S8" s="60">
        <f t="shared" si="1"/>
        <v>353750</v>
      </c>
      <c r="T8" s="60">
        <f t="shared" si="1"/>
        <v>241400</v>
      </c>
      <c r="U8" s="60">
        <f t="shared" si="1"/>
        <v>108250</v>
      </c>
      <c r="V8" s="60">
        <f t="shared" si="1"/>
        <v>168000</v>
      </c>
      <c r="W8" s="60">
        <f>SUM(W2:W7)</f>
        <v>51350</v>
      </c>
      <c r="X8" s="60">
        <f t="shared" si="1"/>
        <v>132850</v>
      </c>
      <c r="Y8" s="60">
        <f t="shared" si="1"/>
        <v>148850</v>
      </c>
      <c r="Z8" s="60">
        <f>SUM(Z2:Z7)</f>
        <v>17800</v>
      </c>
      <c r="AA8" s="60">
        <f t="shared" si="1"/>
        <v>124650</v>
      </c>
      <c r="AB8" s="60">
        <f t="shared" si="1"/>
        <v>85750</v>
      </c>
      <c r="AC8" s="60">
        <f t="shared" si="1"/>
        <v>165540.75</v>
      </c>
      <c r="AD8" s="60">
        <f t="shared" si="1"/>
        <v>76350</v>
      </c>
      <c r="AE8" s="60">
        <f t="shared" si="1"/>
        <v>184500</v>
      </c>
      <c r="AF8" s="60">
        <f t="shared" si="1"/>
        <v>178000</v>
      </c>
      <c r="AG8" s="60">
        <f t="shared" si="1"/>
        <v>33250</v>
      </c>
      <c r="AH8" s="60">
        <f t="shared" si="1"/>
        <v>43600</v>
      </c>
      <c r="AI8" s="60">
        <f t="shared" si="1"/>
        <v>249450</v>
      </c>
      <c r="AJ8" s="60">
        <f t="shared" si="1"/>
        <v>90200</v>
      </c>
      <c r="AK8" s="60">
        <f t="shared" si="1"/>
        <v>146150</v>
      </c>
      <c r="AL8" s="60">
        <f>SUM(AL2:AL7)</f>
        <v>49800</v>
      </c>
      <c r="AM8" s="60">
        <f>SUM(AM2:AM7)</f>
        <v>144650</v>
      </c>
      <c r="AN8" s="60">
        <f t="shared" si="1"/>
        <v>0</v>
      </c>
      <c r="AO8" s="60">
        <f t="shared" si="1"/>
        <v>33300</v>
      </c>
      <c r="AP8" s="60">
        <f t="shared" si="1"/>
        <v>6050</v>
      </c>
      <c r="AQ8" s="60">
        <f t="shared" si="1"/>
        <v>3700</v>
      </c>
      <c r="AR8" s="60">
        <f t="shared" si="1"/>
        <v>104050</v>
      </c>
      <c r="AS8" s="60">
        <f t="shared" si="1"/>
        <v>125600</v>
      </c>
      <c r="AT8" s="60">
        <f t="shared" si="1"/>
        <v>69750</v>
      </c>
      <c r="AU8" s="60">
        <f t="shared" si="1"/>
        <v>68900</v>
      </c>
      <c r="AV8" s="60">
        <f t="shared" si="1"/>
        <v>16100</v>
      </c>
      <c r="AW8" s="60">
        <f t="shared" si="1"/>
        <v>0</v>
      </c>
      <c r="AX8" s="60">
        <f t="shared" si="1"/>
        <v>176150</v>
      </c>
      <c r="AY8" s="60">
        <f t="shared" si="1"/>
        <v>0</v>
      </c>
      <c r="AZ8" s="60">
        <f t="shared" si="1"/>
        <v>0</v>
      </c>
      <c r="BA8" s="60">
        <f t="shared" si="1"/>
        <v>0</v>
      </c>
      <c r="BB8" s="60">
        <f>SUM(BB2:BB7)</f>
        <v>5548690.75</v>
      </c>
      <c r="BC8" s="61">
        <f t="shared" ref="BC8:BI8" si="2">SUM(BC2:BC5)</f>
        <v>105968.178</v>
      </c>
      <c r="BD8" s="61">
        <f t="shared" si="2"/>
        <v>601000</v>
      </c>
      <c r="BE8" s="61">
        <f t="shared" si="2"/>
        <v>102308.92857142857</v>
      </c>
      <c r="BF8" s="61">
        <f t="shared" si="2"/>
        <v>255772.32142857142</v>
      </c>
      <c r="BG8" s="61">
        <f t="shared" si="2"/>
        <v>3532272.6</v>
      </c>
      <c r="BH8" s="61">
        <f t="shared" si="2"/>
        <v>777099.97200000007</v>
      </c>
      <c r="BI8" s="61">
        <f t="shared" si="2"/>
        <v>5374422</v>
      </c>
    </row>
    <row r="9" spans="1:61" ht="15.75" x14ac:dyDescent="0.25">
      <c r="A9" s="185">
        <v>2</v>
      </c>
      <c r="B9" s="62" t="s">
        <v>32</v>
      </c>
      <c r="C9" s="63" t="s">
        <v>24</v>
      </c>
      <c r="D9" s="24">
        <v>346440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>
        <v>1648200</v>
      </c>
      <c r="T9">
        <v>299400</v>
      </c>
      <c r="U9" s="24"/>
      <c r="V9">
        <v>559600</v>
      </c>
      <c r="W9" s="24"/>
      <c r="Y9">
        <v>435680</v>
      </c>
      <c r="Z9" s="24"/>
      <c r="AA9">
        <v>314400</v>
      </c>
      <c r="AB9" s="24"/>
      <c r="AC9">
        <v>561280</v>
      </c>
      <c r="AD9" s="24"/>
      <c r="AE9">
        <v>200160</v>
      </c>
      <c r="AF9">
        <v>744280</v>
      </c>
      <c r="AG9" s="24"/>
      <c r="AI9">
        <v>329200</v>
      </c>
      <c r="AJ9" s="24"/>
      <c r="AK9">
        <v>451200</v>
      </c>
      <c r="AL9" s="24"/>
      <c r="AM9">
        <v>423880</v>
      </c>
      <c r="AO9">
        <v>38800</v>
      </c>
      <c r="AP9" s="24"/>
      <c r="AQ9">
        <v>38400</v>
      </c>
      <c r="AR9" s="24"/>
      <c r="AS9">
        <v>264400</v>
      </c>
      <c r="AT9" s="24"/>
      <c r="AU9">
        <v>175440</v>
      </c>
      <c r="AV9" s="24"/>
      <c r="AW9" s="24"/>
      <c r="AX9">
        <v>488600</v>
      </c>
      <c r="AY9" s="24"/>
      <c r="AZ9" s="64"/>
      <c r="BA9" s="24"/>
      <c r="BB9" s="65">
        <f t="shared" ref="BB9:BB15" si="3">SUM(D9:BA9)</f>
        <v>7319360</v>
      </c>
      <c r="BC9" s="66"/>
      <c r="BD9" s="66"/>
      <c r="BE9" s="66"/>
      <c r="BF9" s="66"/>
      <c r="BG9" s="66"/>
      <c r="BH9" s="66"/>
      <c r="BI9" s="64"/>
    </row>
    <row r="10" spans="1:61" ht="15.75" x14ac:dyDescent="0.25">
      <c r="A10" s="185"/>
      <c r="B10" s="22" t="s">
        <v>32</v>
      </c>
      <c r="C10" s="23" t="s">
        <v>25</v>
      </c>
      <c r="D10" s="28">
        <f>76216.8+10393.2</f>
        <v>86610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>
        <f>362604+49446</f>
        <v>412050</v>
      </c>
      <c r="T10" s="67">
        <f>65868+8982</f>
        <v>74850</v>
      </c>
      <c r="U10" s="28"/>
      <c r="V10" s="28">
        <f>123112+16788</f>
        <v>139900</v>
      </c>
      <c r="W10" s="28"/>
      <c r="X10" s="28"/>
      <c r="Y10" s="28">
        <f>95849.6+13070.4</f>
        <v>108920</v>
      </c>
      <c r="Z10" s="28"/>
      <c r="AA10" s="28">
        <f>69168+9432</f>
        <v>78600</v>
      </c>
      <c r="AB10" s="28"/>
      <c r="AC10" s="64">
        <f>123481.6+16838.4</f>
        <v>140320</v>
      </c>
      <c r="AD10" s="28"/>
      <c r="AE10" s="28">
        <f>44035.2+6004.8</f>
        <v>50040</v>
      </c>
      <c r="AF10" s="28">
        <f>163741.6+22328.4</f>
        <v>186070</v>
      </c>
      <c r="AG10" s="28"/>
      <c r="AI10" s="28">
        <f>72424+9876</f>
        <v>82300</v>
      </c>
      <c r="AJ10" s="28"/>
      <c r="AK10" s="28">
        <f>99264+13536</f>
        <v>112800</v>
      </c>
      <c r="AL10" s="28"/>
      <c r="AM10" s="28">
        <f>93253.6+12716.4</f>
        <v>105970</v>
      </c>
      <c r="AN10" s="28"/>
      <c r="AO10" s="28">
        <f>8536+1164</f>
        <v>9700</v>
      </c>
      <c r="AP10" s="28"/>
      <c r="AQ10" s="28">
        <f>8448+1152</f>
        <v>9600</v>
      </c>
      <c r="AR10" s="28"/>
      <c r="AS10" s="28">
        <f>58168+7932</f>
        <v>66100</v>
      </c>
      <c r="AT10" s="28"/>
      <c r="AU10" s="34">
        <f>38596.8+5263.2</f>
        <v>43860</v>
      </c>
      <c r="AV10" s="34"/>
      <c r="AW10" s="34"/>
      <c r="AX10" s="34">
        <f>107492+14658</f>
        <v>122150</v>
      </c>
      <c r="AY10" s="28"/>
      <c r="AZ10" s="27"/>
      <c r="BA10" s="27"/>
      <c r="BB10" s="26">
        <f t="shared" si="3"/>
        <v>1829840</v>
      </c>
      <c r="BC10" s="35"/>
      <c r="BD10" s="36"/>
      <c r="BE10" s="36"/>
      <c r="BF10" s="36"/>
      <c r="BG10" s="36"/>
      <c r="BH10" s="35"/>
      <c r="BI10" s="28"/>
    </row>
    <row r="11" spans="1:61" ht="15.75" x14ac:dyDescent="0.25">
      <c r="A11" s="185"/>
      <c r="B11" s="22" t="s">
        <v>32</v>
      </c>
      <c r="C11" s="23" t="s">
        <v>28</v>
      </c>
      <c r="D11" s="28">
        <v>23000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>
        <v>110000</v>
      </c>
      <c r="T11" s="67">
        <v>30000</v>
      </c>
      <c r="U11" s="28"/>
      <c r="V11" s="28">
        <v>34000</v>
      </c>
      <c r="W11" s="28"/>
      <c r="X11" s="28"/>
      <c r="Y11" s="28">
        <v>35000</v>
      </c>
      <c r="Z11" s="28"/>
      <c r="AA11" s="28">
        <v>40000</v>
      </c>
      <c r="AB11" s="28"/>
      <c r="AC11" s="28">
        <v>102000</v>
      </c>
      <c r="AD11" s="28"/>
      <c r="AE11" s="28">
        <v>14000</v>
      </c>
      <c r="AF11" s="28">
        <v>54000</v>
      </c>
      <c r="AG11" s="28"/>
      <c r="AI11" s="28">
        <v>15000</v>
      </c>
      <c r="AJ11" s="28"/>
      <c r="AK11" s="28">
        <v>36000</v>
      </c>
      <c r="AL11" s="28"/>
      <c r="AM11" s="28">
        <v>32000</v>
      </c>
      <c r="AN11" s="28"/>
      <c r="AO11" s="28">
        <v>3000</v>
      </c>
      <c r="AP11" s="28"/>
      <c r="AQ11" s="28">
        <v>1000</v>
      </c>
      <c r="AR11" s="28"/>
      <c r="AS11" s="28">
        <v>14000</v>
      </c>
      <c r="AT11" s="28"/>
      <c r="AU11" s="34">
        <v>9000</v>
      </c>
      <c r="AV11" s="34"/>
      <c r="AW11" s="34"/>
      <c r="AX11" s="34">
        <v>31000</v>
      </c>
      <c r="AY11" s="28"/>
      <c r="AZ11" s="27"/>
      <c r="BA11" s="27"/>
      <c r="BB11" s="26">
        <f t="shared" si="3"/>
        <v>583000</v>
      </c>
      <c r="BC11" s="36"/>
      <c r="BD11" s="35"/>
      <c r="BE11" s="36"/>
      <c r="BF11" s="36"/>
      <c r="BG11" s="36"/>
      <c r="BH11" s="36"/>
      <c r="BI11" s="28"/>
    </row>
    <row r="12" spans="1:61" ht="16.5" thickBot="1" x14ac:dyDescent="0.3">
      <c r="A12" s="185"/>
      <c r="B12" s="68" t="s">
        <v>32</v>
      </c>
      <c r="C12" s="69" t="s">
        <v>29</v>
      </c>
      <c r="D12" s="70">
        <v>9606.25</v>
      </c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>
        <v>36437.5</v>
      </c>
      <c r="T12" s="71">
        <v>13250</v>
      </c>
      <c r="U12" s="70"/>
      <c r="V12" s="70">
        <v>15237.5</v>
      </c>
      <c r="W12" s="70"/>
      <c r="X12" s="70"/>
      <c r="Y12" s="70">
        <v>13250</v>
      </c>
      <c r="Z12" s="70"/>
      <c r="AA12" s="70">
        <v>14906.25</v>
      </c>
      <c r="AB12" s="70"/>
      <c r="AC12" s="70">
        <v>36437.5</v>
      </c>
      <c r="AD12" s="70"/>
      <c r="AE12" s="70">
        <v>5631.25</v>
      </c>
      <c r="AF12" s="70">
        <v>25837.5</v>
      </c>
      <c r="AG12" s="70"/>
      <c r="AI12" s="70">
        <v>14575</v>
      </c>
      <c r="AJ12" s="70"/>
      <c r="AK12" s="70">
        <v>19875</v>
      </c>
      <c r="AL12" s="70"/>
      <c r="AM12" s="70">
        <v>23187.5</v>
      </c>
      <c r="AN12" s="70"/>
      <c r="AO12" s="70">
        <v>4968.75</v>
      </c>
      <c r="AP12" s="70"/>
      <c r="AQ12" s="70">
        <v>3643.75</v>
      </c>
      <c r="AR12" s="70"/>
      <c r="AS12" s="70">
        <v>12918.75</v>
      </c>
      <c r="AT12" s="70"/>
      <c r="AU12" s="72">
        <v>6956.25</v>
      </c>
      <c r="AV12" s="72"/>
      <c r="AW12" s="72"/>
      <c r="AX12" s="72">
        <v>19212.5</v>
      </c>
      <c r="AY12" s="70"/>
      <c r="AZ12" s="73"/>
      <c r="BA12" s="73"/>
      <c r="BB12" s="74">
        <f t="shared" si="3"/>
        <v>275931.25</v>
      </c>
      <c r="BE12" s="75"/>
      <c r="BF12" s="75"/>
      <c r="BG12" s="75"/>
      <c r="BI12" s="33"/>
    </row>
    <row r="13" spans="1:61" ht="15.75" x14ac:dyDescent="0.25">
      <c r="A13" s="21"/>
      <c r="B13" s="68" t="s">
        <v>32</v>
      </c>
      <c r="C13" s="49" t="s">
        <v>30</v>
      </c>
      <c r="D13" s="32">
        <v>32000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>
        <v>220000</v>
      </c>
      <c r="T13" s="76">
        <v>24000</v>
      </c>
      <c r="U13" s="32"/>
      <c r="V13" s="32">
        <v>64000</v>
      </c>
      <c r="W13" s="32"/>
      <c r="X13" s="32"/>
      <c r="Y13" s="32">
        <v>30000</v>
      </c>
      <c r="AA13" s="32">
        <v>22000</v>
      </c>
      <c r="AC13" s="32">
        <v>38000</v>
      </c>
      <c r="AE13" s="32">
        <v>28000</v>
      </c>
      <c r="AF13" s="32">
        <v>96000</v>
      </c>
      <c r="AG13" s="32"/>
      <c r="AI13" s="32">
        <v>22000</v>
      </c>
      <c r="AJ13" s="32"/>
      <c r="AK13" s="32">
        <v>48000</v>
      </c>
      <c r="AL13" s="32"/>
      <c r="AM13" s="32">
        <v>46000</v>
      </c>
      <c r="AN13" s="32"/>
      <c r="AO13" s="32">
        <v>0</v>
      </c>
      <c r="AP13" s="32"/>
      <c r="AQ13" s="32">
        <v>2000</v>
      </c>
      <c r="AR13" s="32"/>
      <c r="AS13" s="32">
        <v>28000</v>
      </c>
      <c r="AT13" s="32"/>
      <c r="AU13" s="24">
        <v>16000</v>
      </c>
      <c r="AV13" s="24"/>
      <c r="AW13" s="24"/>
      <c r="AX13" s="24">
        <v>60000</v>
      </c>
      <c r="AY13" s="32"/>
      <c r="AZ13" s="73"/>
      <c r="BA13" s="73"/>
      <c r="BB13" s="74">
        <f t="shared" si="3"/>
        <v>776000</v>
      </c>
      <c r="BE13" s="75"/>
      <c r="BF13" s="75"/>
      <c r="BG13" s="75"/>
      <c r="BI13" s="33"/>
    </row>
    <row r="14" spans="1:61" ht="16.5" thickBot="1" x14ac:dyDescent="0.3">
      <c r="A14" s="21"/>
      <c r="B14" s="68" t="s">
        <v>32</v>
      </c>
      <c r="C14" s="77" t="s">
        <v>31</v>
      </c>
      <c r="D14" s="32">
        <v>543.75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S14" s="32">
        <v>2062.5</v>
      </c>
      <c r="T14" s="76">
        <v>750</v>
      </c>
      <c r="U14" s="32"/>
      <c r="V14" s="32">
        <v>862.5</v>
      </c>
      <c r="W14" s="32"/>
      <c r="X14" s="32"/>
      <c r="Y14" s="32">
        <v>750</v>
      </c>
      <c r="Z14" s="32"/>
      <c r="AA14" s="32">
        <v>843.75</v>
      </c>
      <c r="AC14" s="32">
        <v>2062.5</v>
      </c>
      <c r="AD14" s="32"/>
      <c r="AE14" s="32">
        <v>318.75</v>
      </c>
      <c r="AF14" s="32">
        <v>1462.5</v>
      </c>
      <c r="AG14" s="32"/>
      <c r="AI14" s="32">
        <v>825</v>
      </c>
      <c r="AJ14" s="32"/>
      <c r="AK14" s="32">
        <v>1125</v>
      </c>
      <c r="AL14" s="32"/>
      <c r="AM14" s="32">
        <v>1312.5</v>
      </c>
      <c r="AN14" s="32"/>
      <c r="AO14" s="32">
        <v>281.25</v>
      </c>
      <c r="AP14" s="32"/>
      <c r="AQ14" s="32">
        <v>206.25</v>
      </c>
      <c r="AR14" s="32"/>
      <c r="AS14" s="32">
        <v>731.25</v>
      </c>
      <c r="AT14" s="32"/>
      <c r="AU14" s="24">
        <v>393.75</v>
      </c>
      <c r="AV14" s="32"/>
      <c r="AW14" s="24"/>
      <c r="AX14" s="24">
        <v>1087.5</v>
      </c>
      <c r="AY14" s="32"/>
      <c r="AZ14" s="73"/>
      <c r="BA14" s="73"/>
      <c r="BB14" s="74">
        <f t="shared" si="3"/>
        <v>15618.75</v>
      </c>
      <c r="BE14" s="75"/>
      <c r="BF14" s="75"/>
      <c r="BG14" s="75"/>
      <c r="BI14" s="33"/>
    </row>
    <row r="15" spans="1:61" ht="15.75" x14ac:dyDescent="0.25">
      <c r="A15" s="78"/>
      <c r="B15" s="79" t="s">
        <v>26</v>
      </c>
      <c r="C15" s="80"/>
      <c r="D15" s="81">
        <f>SUM(D9:D14)</f>
        <v>498200</v>
      </c>
      <c r="E15" s="81">
        <f>SUM(E9:E14)</f>
        <v>0</v>
      </c>
      <c r="F15" s="81"/>
      <c r="G15" s="81">
        <f>SUM(G9:G14)</f>
        <v>0</v>
      </c>
      <c r="H15" s="81"/>
      <c r="I15" s="81">
        <f t="shared" ref="I15:N15" si="4">SUM(I9:I14)</f>
        <v>0</v>
      </c>
      <c r="J15" s="81">
        <f t="shared" si="4"/>
        <v>0</v>
      </c>
      <c r="K15" s="81">
        <f t="shared" si="4"/>
        <v>0</v>
      </c>
      <c r="L15" s="81">
        <f t="shared" si="4"/>
        <v>0</v>
      </c>
      <c r="M15" s="81">
        <f t="shared" si="4"/>
        <v>0</v>
      </c>
      <c r="N15" s="81">
        <f t="shared" si="4"/>
        <v>0</v>
      </c>
      <c r="O15" s="81"/>
      <c r="P15" s="81">
        <f>SUM(P9:P14)</f>
        <v>0</v>
      </c>
      <c r="Q15" s="81">
        <f>SUM(Q9:Q13)</f>
        <v>0</v>
      </c>
      <c r="R15" s="81">
        <f>SUM(R9:R14)</f>
        <v>0</v>
      </c>
      <c r="S15" s="81">
        <f>SUM(S9:S14)</f>
        <v>2428750</v>
      </c>
      <c r="T15" s="81">
        <f t="shared" ref="T15:AA15" si="5">SUM(T9:T14)</f>
        <v>442250</v>
      </c>
      <c r="U15" s="81">
        <f t="shared" si="5"/>
        <v>0</v>
      </c>
      <c r="V15" s="81">
        <f t="shared" si="5"/>
        <v>813600</v>
      </c>
      <c r="W15" s="81">
        <f t="shared" si="5"/>
        <v>0</v>
      </c>
      <c r="X15" s="81"/>
      <c r="Y15" s="81">
        <f t="shared" si="5"/>
        <v>623600</v>
      </c>
      <c r="Z15" s="81">
        <f t="shared" si="5"/>
        <v>0</v>
      </c>
      <c r="AA15" s="81">
        <f t="shared" si="5"/>
        <v>470750</v>
      </c>
      <c r="AB15" s="81">
        <f>SUM(AB9:AB14)</f>
        <v>0</v>
      </c>
      <c r="AC15" s="81">
        <f>SUM(AC9:AC14)</f>
        <v>880100</v>
      </c>
      <c r="AD15" s="81">
        <f>SUM(AD9:AD14)</f>
        <v>0</v>
      </c>
      <c r="AE15" s="81">
        <f>SUM(AE9:AE14)</f>
        <v>298150</v>
      </c>
      <c r="AF15" s="81">
        <f>SUM(AF9:AF14)</f>
        <v>1107650</v>
      </c>
      <c r="AG15" s="81"/>
      <c r="AH15" s="81">
        <f t="shared" ref="AH15:AO15" si="6">SUM(AH9:AH14)</f>
        <v>0</v>
      </c>
      <c r="AI15" s="81">
        <f t="shared" si="6"/>
        <v>463900</v>
      </c>
      <c r="AJ15" s="81">
        <f t="shared" si="6"/>
        <v>0</v>
      </c>
      <c r="AK15" s="81">
        <f t="shared" si="6"/>
        <v>669000</v>
      </c>
      <c r="AL15" s="81">
        <f t="shared" si="6"/>
        <v>0</v>
      </c>
      <c r="AM15" s="81">
        <f t="shared" si="6"/>
        <v>632350</v>
      </c>
      <c r="AN15" s="81">
        <f t="shared" si="6"/>
        <v>0</v>
      </c>
      <c r="AO15" s="81">
        <f t="shared" si="6"/>
        <v>56750</v>
      </c>
      <c r="AP15" s="81">
        <f>SUM(AP9:AP13)</f>
        <v>0</v>
      </c>
      <c r="AQ15" s="81">
        <f t="shared" ref="AQ15:AV15" si="7">SUM(AQ9:AQ14)</f>
        <v>54850</v>
      </c>
      <c r="AR15" s="81">
        <f t="shared" si="7"/>
        <v>0</v>
      </c>
      <c r="AS15" s="81">
        <f t="shared" si="7"/>
        <v>386150</v>
      </c>
      <c r="AT15" s="2">
        <f t="shared" si="7"/>
        <v>0</v>
      </c>
      <c r="AU15" s="81">
        <f t="shared" si="7"/>
        <v>251650</v>
      </c>
      <c r="AV15" s="81">
        <f t="shared" si="7"/>
        <v>0</v>
      </c>
      <c r="AW15" s="81">
        <f>SUM(AW9:AW13)</f>
        <v>0</v>
      </c>
      <c r="AX15" s="81">
        <f>SUM(AX9:AX14)</f>
        <v>722050</v>
      </c>
      <c r="AY15" s="81">
        <f>SUM(AY9:AY13)</f>
        <v>0</v>
      </c>
      <c r="AZ15" s="81"/>
      <c r="BA15" s="81">
        <f>SUM(BA9:BA13)</f>
        <v>0</v>
      </c>
      <c r="BB15" s="81">
        <f t="shared" si="3"/>
        <v>10799750</v>
      </c>
      <c r="BC15" s="81">
        <f>SUM(BC9:BC13)</f>
        <v>0</v>
      </c>
      <c r="BD15" s="81">
        <f>SUM(BD9:BD13)</f>
        <v>0</v>
      </c>
      <c r="BE15" s="81">
        <f>SUM(BE9:BE13)</f>
        <v>0</v>
      </c>
      <c r="BF15" s="82">
        <f>SUM(BF9:BF12)</f>
        <v>0</v>
      </c>
      <c r="BG15" s="82">
        <f>SUM(BG9:BG12)</f>
        <v>0</v>
      </c>
      <c r="BH15" s="82">
        <f>SUM(BH9:BH12)</f>
        <v>0</v>
      </c>
      <c r="BI15" s="82">
        <f>SUM(BI9:BI12)</f>
        <v>0</v>
      </c>
    </row>
    <row r="16" spans="1:61" ht="15.75" x14ac:dyDescent="0.25">
      <c r="A16" s="185">
        <v>3</v>
      </c>
      <c r="B16" s="22" t="s">
        <v>33</v>
      </c>
      <c r="C16" s="23" t="s">
        <v>24</v>
      </c>
      <c r="D16" s="28"/>
      <c r="E16" s="28"/>
      <c r="F16" s="28"/>
      <c r="G16" s="28"/>
      <c r="H16" s="24">
        <v>2000</v>
      </c>
      <c r="I16" s="28"/>
      <c r="J16" s="24"/>
      <c r="K16" s="28"/>
      <c r="L16">
        <v>2000</v>
      </c>
      <c r="M16" s="24"/>
      <c r="N16" s="24"/>
      <c r="O16" s="24"/>
      <c r="P16" s="24"/>
      <c r="Q16">
        <v>39600</v>
      </c>
      <c r="R16" s="24"/>
      <c r="S16" s="24"/>
      <c r="T16" s="67"/>
      <c r="U16" s="24"/>
      <c r="V16" s="28"/>
      <c r="W16" s="24"/>
      <c r="X16" s="24"/>
      <c r="Y16" s="24"/>
      <c r="Z16" s="24"/>
      <c r="AA16">
        <v>2112</v>
      </c>
      <c r="AB16" s="28"/>
      <c r="AC16">
        <v>2120</v>
      </c>
      <c r="AD16" s="28"/>
      <c r="AE16" s="28"/>
      <c r="AF16" s="24"/>
      <c r="AG16" s="24"/>
      <c r="AH16" s="24"/>
      <c r="AI16" s="24"/>
      <c r="AJ16" s="24"/>
      <c r="AK16">
        <v>2112</v>
      </c>
      <c r="AL16" s="28"/>
      <c r="AM16" s="32"/>
      <c r="AN16" s="24"/>
      <c r="AO16" s="24"/>
      <c r="AP16" s="28"/>
      <c r="AQ16" s="24"/>
      <c r="AS16">
        <v>2112</v>
      </c>
      <c r="AT16" s="24"/>
      <c r="AU16" s="24"/>
      <c r="AV16" s="34"/>
      <c r="AW16" s="34"/>
      <c r="AX16" s="34"/>
      <c r="AY16" s="28"/>
      <c r="AZ16" s="28"/>
      <c r="BA16" s="28"/>
      <c r="BB16" s="65">
        <f t="shared" ref="BB16:BB21" si="8">SUM(H16:BA16)</f>
        <v>52056</v>
      </c>
      <c r="BC16" s="27">
        <v>0</v>
      </c>
      <c r="BD16" s="27">
        <v>0</v>
      </c>
      <c r="BE16" s="27">
        <v>0</v>
      </c>
      <c r="BF16" s="27">
        <v>0</v>
      </c>
      <c r="BG16" s="27">
        <f>BB16</f>
        <v>52056</v>
      </c>
      <c r="BH16" s="27">
        <v>0</v>
      </c>
      <c r="BI16" s="28">
        <f>SUM(BC16:BH16)</f>
        <v>52056</v>
      </c>
    </row>
    <row r="17" spans="1:61" ht="15.75" x14ac:dyDescent="0.25">
      <c r="A17" s="185"/>
      <c r="B17" s="22" t="s">
        <v>33</v>
      </c>
      <c r="C17" s="23" t="s">
        <v>25</v>
      </c>
      <c r="D17" s="28"/>
      <c r="E17" s="28"/>
      <c r="F17" s="28"/>
      <c r="G17" s="28"/>
      <c r="H17" s="28">
        <f>440+60</f>
        <v>500</v>
      </c>
      <c r="I17" s="28"/>
      <c r="J17" s="28"/>
      <c r="K17" s="28"/>
      <c r="L17" s="28">
        <f>440+60</f>
        <v>500</v>
      </c>
      <c r="M17" s="28"/>
      <c r="N17" s="28"/>
      <c r="O17" s="28"/>
      <c r="P17" s="28"/>
      <c r="Q17" s="28">
        <f>8712+1188</f>
        <v>9900</v>
      </c>
      <c r="R17" s="28"/>
      <c r="S17" s="28"/>
      <c r="T17" s="67"/>
      <c r="U17" s="28"/>
      <c r="V17" s="28"/>
      <c r="W17" s="28"/>
      <c r="X17" s="28"/>
      <c r="Y17" s="28"/>
      <c r="Z17" s="28"/>
      <c r="AA17" s="28">
        <f>464.64+63.36</f>
        <v>528</v>
      </c>
      <c r="AB17" s="28"/>
      <c r="AC17" s="28">
        <f>466.4+63.6</f>
        <v>530</v>
      </c>
      <c r="AD17" s="28"/>
      <c r="AE17" s="28"/>
      <c r="AF17" s="28"/>
      <c r="AG17" s="28"/>
      <c r="AH17" s="28"/>
      <c r="AI17" s="28"/>
      <c r="AJ17" s="28"/>
      <c r="AK17" s="28">
        <f>464.64+63.36</f>
        <v>528</v>
      </c>
      <c r="AL17" s="28"/>
      <c r="AM17" s="28"/>
      <c r="AN17" s="28"/>
      <c r="AO17" s="28"/>
      <c r="AP17" s="28"/>
      <c r="AQ17" s="28"/>
      <c r="AS17" s="28">
        <f>464.64+63.36</f>
        <v>528</v>
      </c>
      <c r="AT17" s="24"/>
      <c r="AU17" s="34"/>
      <c r="AV17" s="34"/>
      <c r="AW17" s="34"/>
      <c r="AX17" s="34"/>
      <c r="AY17" s="28"/>
      <c r="AZ17" s="27"/>
      <c r="BA17" s="27"/>
      <c r="BB17" s="26">
        <f t="shared" si="8"/>
        <v>13014</v>
      </c>
      <c r="BC17" s="35">
        <f>BB17*0.12</f>
        <v>1561.6799999999998</v>
      </c>
      <c r="BD17" s="36"/>
      <c r="BE17" s="36"/>
      <c r="BF17" s="36"/>
      <c r="BG17" s="36"/>
      <c r="BH17" s="35">
        <f>0.88*BB17</f>
        <v>11452.32</v>
      </c>
      <c r="BI17" s="28">
        <f>SUM(BC17:BH17)</f>
        <v>13014</v>
      </c>
    </row>
    <row r="18" spans="1:61" ht="15.75" x14ac:dyDescent="0.25">
      <c r="A18" s="185"/>
      <c r="B18" s="22" t="s">
        <v>33</v>
      </c>
      <c r="C18" s="23" t="s">
        <v>28</v>
      </c>
      <c r="D18" s="28"/>
      <c r="E18" s="28"/>
      <c r="F18" s="28"/>
      <c r="G18" s="28"/>
      <c r="H18" s="28">
        <v>1000</v>
      </c>
      <c r="I18" s="28"/>
      <c r="J18" s="28"/>
      <c r="K18" s="28"/>
      <c r="L18" s="28">
        <v>1000</v>
      </c>
      <c r="M18" s="28"/>
      <c r="N18" s="28"/>
      <c r="O18" s="28"/>
      <c r="P18" s="28"/>
      <c r="Q18" s="28">
        <v>2000</v>
      </c>
      <c r="R18" s="28"/>
      <c r="S18" s="28"/>
      <c r="T18" s="67"/>
      <c r="U18" s="28"/>
      <c r="V18" s="28"/>
      <c r="W18" s="28"/>
      <c r="X18" s="28"/>
      <c r="Y18" s="28"/>
      <c r="Z18" s="28"/>
      <c r="AA18" s="28">
        <v>1000</v>
      </c>
      <c r="AB18" s="28"/>
      <c r="AC18" s="28">
        <v>1000</v>
      </c>
      <c r="AD18" s="28"/>
      <c r="AE18" s="28"/>
      <c r="AF18" s="28"/>
      <c r="AG18" s="28"/>
      <c r="AH18" s="28"/>
      <c r="AI18" s="28"/>
      <c r="AJ18" s="28"/>
      <c r="AK18" s="28">
        <v>1000</v>
      </c>
      <c r="AL18" s="28"/>
      <c r="AM18" s="28"/>
      <c r="AN18" s="28"/>
      <c r="AO18" s="28"/>
      <c r="AP18" s="28"/>
      <c r="AQ18" s="28"/>
      <c r="AS18" s="28">
        <v>1000</v>
      </c>
      <c r="AT18" s="28"/>
      <c r="AU18" s="34"/>
      <c r="AV18" s="34"/>
      <c r="AW18" s="34"/>
      <c r="AX18" s="34"/>
      <c r="AY18" s="28"/>
      <c r="AZ18" s="27"/>
      <c r="BA18" s="27"/>
      <c r="BB18" s="26">
        <f t="shared" si="8"/>
        <v>8000</v>
      </c>
      <c r="BC18" s="36"/>
      <c r="BD18" s="35">
        <f>BB18</f>
        <v>8000</v>
      </c>
      <c r="BE18" s="36"/>
      <c r="BF18" s="36"/>
      <c r="BG18" s="36"/>
      <c r="BH18" s="36"/>
      <c r="BI18" s="28">
        <f>SUM(BC18:BH18)</f>
        <v>8000</v>
      </c>
    </row>
    <row r="19" spans="1:61" ht="15.75" x14ac:dyDescent="0.25">
      <c r="A19" s="185"/>
      <c r="B19" s="22" t="s">
        <v>33</v>
      </c>
      <c r="C19" s="23" t="s">
        <v>29</v>
      </c>
      <c r="D19" s="42"/>
      <c r="E19" s="42"/>
      <c r="F19" s="42"/>
      <c r="G19" s="42"/>
      <c r="H19" s="42">
        <v>331.25</v>
      </c>
      <c r="I19" s="42"/>
      <c r="J19" s="42"/>
      <c r="K19" s="42"/>
      <c r="L19" s="42">
        <v>331.25</v>
      </c>
      <c r="M19" s="42"/>
      <c r="N19" s="42"/>
      <c r="O19" s="42"/>
      <c r="P19" s="42"/>
      <c r="Q19" s="42">
        <v>662.5</v>
      </c>
      <c r="R19" s="42"/>
      <c r="S19" s="42"/>
      <c r="T19" s="83"/>
      <c r="U19" s="42"/>
      <c r="V19" s="42"/>
      <c r="W19" s="42"/>
      <c r="X19" s="42"/>
      <c r="Y19" s="42"/>
      <c r="Z19" s="42"/>
      <c r="AA19" s="42">
        <v>331.25</v>
      </c>
      <c r="AB19" s="42"/>
      <c r="AC19" s="42">
        <v>331.25</v>
      </c>
      <c r="AD19" s="42"/>
      <c r="AE19" s="42"/>
      <c r="AF19" s="42"/>
      <c r="AG19" s="42"/>
      <c r="AH19" s="42"/>
      <c r="AI19" s="42"/>
      <c r="AJ19" s="42"/>
      <c r="AK19" s="42">
        <v>331.25</v>
      </c>
      <c r="AL19" s="42"/>
      <c r="AM19" s="42"/>
      <c r="AN19" s="42"/>
      <c r="AO19" s="42"/>
      <c r="AP19" s="42"/>
      <c r="AQ19" s="42"/>
      <c r="AS19" s="42">
        <v>331.25</v>
      </c>
      <c r="AT19" s="28"/>
      <c r="AU19" s="44"/>
      <c r="AV19" s="44"/>
      <c r="AW19" s="44"/>
      <c r="AX19" s="44"/>
      <c r="AY19" s="42"/>
      <c r="AZ19" s="45"/>
      <c r="BA19" s="45"/>
      <c r="BB19" s="46">
        <f t="shared" si="8"/>
        <v>2650</v>
      </c>
      <c r="BC19" s="47"/>
      <c r="BD19" s="47"/>
      <c r="BE19" s="48">
        <f>100/350*BB19</f>
        <v>757.14285714285711</v>
      </c>
      <c r="BF19" s="48">
        <f>250/350*BB19</f>
        <v>1892.8571428571429</v>
      </c>
      <c r="BG19" s="48"/>
      <c r="BH19" s="47"/>
      <c r="BI19" s="42">
        <f>SUM(BC19:BH19)</f>
        <v>2650</v>
      </c>
    </row>
    <row r="20" spans="1:61" ht="15.75" x14ac:dyDescent="0.25">
      <c r="A20" s="21"/>
      <c r="B20" s="22" t="s">
        <v>33</v>
      </c>
      <c r="C20" s="49" t="s">
        <v>30</v>
      </c>
      <c r="D20" s="84"/>
      <c r="E20" s="84"/>
      <c r="F20" s="84"/>
      <c r="G20" s="84"/>
      <c r="H20" s="84">
        <v>0</v>
      </c>
      <c r="I20" s="84"/>
      <c r="J20" s="84"/>
      <c r="K20" s="84"/>
      <c r="L20" s="84">
        <v>0</v>
      </c>
      <c r="M20" s="84"/>
      <c r="N20" s="84"/>
      <c r="O20" s="84"/>
      <c r="P20" s="84"/>
      <c r="Q20" s="84">
        <v>0</v>
      </c>
      <c r="R20" s="84"/>
      <c r="S20" s="84"/>
      <c r="T20" s="85"/>
      <c r="U20" s="84"/>
      <c r="V20" s="84"/>
      <c r="W20" s="84"/>
      <c r="X20" s="84"/>
      <c r="Y20" s="84"/>
      <c r="Z20" s="84"/>
      <c r="AA20" s="84">
        <v>0</v>
      </c>
      <c r="AB20" s="84"/>
      <c r="AC20" s="84">
        <v>0</v>
      </c>
      <c r="AD20" s="84"/>
      <c r="AE20" s="84"/>
      <c r="AF20" s="84"/>
      <c r="AG20" s="84"/>
      <c r="AH20" s="84"/>
      <c r="AI20" s="84"/>
      <c r="AJ20" s="84"/>
      <c r="AK20" s="84">
        <v>0</v>
      </c>
      <c r="AL20" s="84"/>
      <c r="AM20" s="84"/>
      <c r="AN20" s="84"/>
      <c r="AO20" s="84"/>
      <c r="AP20" s="84"/>
      <c r="AQ20" s="84"/>
      <c r="AS20" s="84">
        <v>0</v>
      </c>
      <c r="AT20" s="42"/>
      <c r="AU20" s="86"/>
      <c r="AV20" s="24"/>
      <c r="AW20" s="24"/>
      <c r="AX20" s="24"/>
      <c r="AY20" s="32"/>
      <c r="AZ20" s="73"/>
      <c r="BA20" s="73"/>
      <c r="BB20" s="87">
        <f t="shared" si="8"/>
        <v>0</v>
      </c>
      <c r="BE20" s="75"/>
      <c r="BF20" s="75"/>
      <c r="BG20" s="75"/>
      <c r="BI20" s="32"/>
    </row>
    <row r="21" spans="1:61" ht="16.5" thickBot="1" x14ac:dyDescent="0.3">
      <c r="A21" s="21"/>
      <c r="B21" s="22" t="s">
        <v>33</v>
      </c>
      <c r="C21" s="77" t="s">
        <v>31</v>
      </c>
      <c r="D21" s="84"/>
      <c r="E21" s="84"/>
      <c r="F21" s="84"/>
      <c r="G21" s="84"/>
      <c r="H21" s="84">
        <v>18.75</v>
      </c>
      <c r="I21" s="84"/>
      <c r="J21" s="84"/>
      <c r="K21" s="84"/>
      <c r="L21" s="84">
        <v>18.75</v>
      </c>
      <c r="M21" s="84"/>
      <c r="N21" s="84"/>
      <c r="O21" s="84"/>
      <c r="P21" s="84"/>
      <c r="Q21" s="32">
        <v>37.5</v>
      </c>
      <c r="R21" s="84"/>
      <c r="S21" s="84"/>
      <c r="T21" s="85"/>
      <c r="U21" s="32"/>
      <c r="V21" s="84"/>
      <c r="W21" s="84"/>
      <c r="X21" s="84"/>
      <c r="Y21" s="84"/>
      <c r="Z21" s="32"/>
      <c r="AA21" s="84">
        <v>18.75</v>
      </c>
      <c r="AB21" s="84"/>
      <c r="AC21" s="84">
        <v>18.75</v>
      </c>
      <c r="AD21" s="84"/>
      <c r="AE21" s="84"/>
      <c r="AF21" s="84"/>
      <c r="AG21" s="84"/>
      <c r="AH21" s="84"/>
      <c r="AI21" s="84"/>
      <c r="AJ21" s="84"/>
      <c r="AK21" s="84">
        <v>18.75</v>
      </c>
      <c r="AL21" s="84"/>
      <c r="AM21" s="84"/>
      <c r="AN21" s="84"/>
      <c r="AO21" s="84"/>
      <c r="AP21" s="84"/>
      <c r="AQ21" s="84"/>
      <c r="AS21" s="84">
        <v>18.75</v>
      </c>
      <c r="AT21" s="32"/>
      <c r="AU21" s="24"/>
      <c r="AV21" s="24"/>
      <c r="AW21" s="24"/>
      <c r="AX21" s="24"/>
      <c r="AY21" s="32"/>
      <c r="AZ21" s="73"/>
      <c r="BA21" s="73"/>
      <c r="BB21" s="87">
        <f t="shared" si="8"/>
        <v>150</v>
      </c>
      <c r="BE21" s="75"/>
      <c r="BF21" s="75"/>
      <c r="BG21" s="75"/>
      <c r="BI21" s="32"/>
    </row>
    <row r="22" spans="1:61" ht="16.5" thickBot="1" x14ac:dyDescent="0.3">
      <c r="A22" s="88"/>
      <c r="B22" s="89" t="s">
        <v>26</v>
      </c>
      <c r="C22" s="90"/>
      <c r="D22" s="91"/>
      <c r="E22" s="92"/>
      <c r="F22" s="92"/>
      <c r="G22" s="92"/>
      <c r="H22" s="92">
        <f>SUM(H16:H21)</f>
        <v>3850</v>
      </c>
      <c r="I22" s="92"/>
      <c r="J22" s="92">
        <f>SUM(J16:J20)</f>
        <v>0</v>
      </c>
      <c r="K22" s="92"/>
      <c r="L22" s="92">
        <f>SUM(L16:L21)</f>
        <v>3850</v>
      </c>
      <c r="M22" s="92"/>
      <c r="N22" s="92">
        <f>SUM(N16:N21)</f>
        <v>0</v>
      </c>
      <c r="O22" s="92"/>
      <c r="P22" s="92">
        <f>SUM(P16:P21)</f>
        <v>0</v>
      </c>
      <c r="Q22" s="93">
        <f>SUM(Q16:Q21)</f>
        <v>52200</v>
      </c>
      <c r="R22" s="92">
        <f>SUM(R16:R21)</f>
        <v>0</v>
      </c>
      <c r="S22" s="92">
        <f>SUM(S16:S20)</f>
        <v>0</v>
      </c>
      <c r="T22" s="92"/>
      <c r="U22" s="93">
        <f>SUM(U16:U20)</f>
        <v>0</v>
      </c>
      <c r="V22" s="92"/>
      <c r="W22" s="92"/>
      <c r="X22" s="92"/>
      <c r="Y22" s="92">
        <f>SUM(Y16:Y21)</f>
        <v>0</v>
      </c>
      <c r="Z22" s="93"/>
      <c r="AA22" s="92">
        <f>SUM(AA16:AA21)</f>
        <v>3990</v>
      </c>
      <c r="AB22" s="92"/>
      <c r="AC22" s="92">
        <f>SUM(AC16:AC21)</f>
        <v>4000</v>
      </c>
      <c r="AD22" s="92"/>
      <c r="AE22" s="92"/>
      <c r="AF22" s="92">
        <f>SUM(AF16:AF20)</f>
        <v>0</v>
      </c>
      <c r="AG22" s="92"/>
      <c r="AH22" s="92">
        <f>SUM(AH16:AH20)</f>
        <v>0</v>
      </c>
      <c r="AI22" s="92"/>
      <c r="AJ22" s="92"/>
      <c r="AK22" s="92">
        <f>SUM(AK16:AK21)</f>
        <v>3990</v>
      </c>
      <c r="AL22" s="92"/>
      <c r="AM22" s="92"/>
      <c r="AN22" s="92">
        <f>SUM(AN16:AN21)</f>
        <v>0</v>
      </c>
      <c r="AO22" s="92"/>
      <c r="AP22" s="92"/>
      <c r="AQ22" s="92"/>
      <c r="AR22" s="159">
        <v>0</v>
      </c>
      <c r="AS22" s="92">
        <f>SUM(AS16:AS21)</f>
        <v>3990</v>
      </c>
      <c r="AT22" s="94">
        <f>SUM(AT16:AT21)</f>
        <v>0</v>
      </c>
      <c r="AU22" s="95"/>
      <c r="AV22" s="95"/>
      <c r="AW22" s="95"/>
      <c r="AX22" s="95"/>
      <c r="AY22" s="96"/>
      <c r="AZ22" s="97"/>
      <c r="BA22" s="97"/>
      <c r="BB22" s="98">
        <f t="shared" ref="BB22:BB29" si="9">SUM(D22:BA22)</f>
        <v>75870</v>
      </c>
      <c r="BC22" s="94">
        <f t="shared" ref="BC22:BI22" si="10">SUM(BC16:BC19)</f>
        <v>1561.6799999999998</v>
      </c>
      <c r="BD22" s="94">
        <f t="shared" si="10"/>
        <v>8000</v>
      </c>
      <c r="BE22" s="94">
        <f t="shared" si="10"/>
        <v>757.14285714285711</v>
      </c>
      <c r="BF22" s="94">
        <f t="shared" si="10"/>
        <v>1892.8571428571429</v>
      </c>
      <c r="BG22" s="94">
        <f t="shared" si="10"/>
        <v>52056</v>
      </c>
      <c r="BH22" s="94">
        <f t="shared" si="10"/>
        <v>11452.32</v>
      </c>
      <c r="BI22" s="96">
        <f t="shared" si="10"/>
        <v>75720</v>
      </c>
    </row>
    <row r="23" spans="1:61" ht="16.5" thickBot="1" x14ac:dyDescent="0.3">
      <c r="A23" s="185">
        <v>4</v>
      </c>
      <c r="B23" s="99" t="s">
        <v>34</v>
      </c>
      <c r="C23" s="23" t="s">
        <v>24</v>
      </c>
      <c r="D23" s="24">
        <v>813792</v>
      </c>
      <c r="E23" s="24"/>
      <c r="F23" s="24">
        <v>914576</v>
      </c>
      <c r="G23" s="24"/>
      <c r="H23" s="24">
        <v>2286920</v>
      </c>
      <c r="I23" s="24"/>
      <c r="J23" s="24">
        <v>1233984</v>
      </c>
      <c r="K23" s="24"/>
      <c r="L23">
        <v>966720</v>
      </c>
      <c r="M23" s="24"/>
      <c r="N23">
        <v>691440</v>
      </c>
      <c r="O23">
        <v>57408</v>
      </c>
      <c r="P23" s="24"/>
      <c r="Q23">
        <v>696096</v>
      </c>
      <c r="R23" s="24"/>
      <c r="S23">
        <v>343112</v>
      </c>
      <c r="T23">
        <v>185600</v>
      </c>
      <c r="U23" s="24"/>
      <c r="V23">
        <v>1452208</v>
      </c>
      <c r="W23">
        <v>84560</v>
      </c>
      <c r="X23">
        <v>12920</v>
      </c>
      <c r="Y23">
        <v>1356296</v>
      </c>
      <c r="Z23">
        <v>25840</v>
      </c>
      <c r="AA23">
        <v>1539712</v>
      </c>
      <c r="AB23">
        <v>97480</v>
      </c>
      <c r="AC23">
        <v>1737768</v>
      </c>
      <c r="AD23">
        <v>51680</v>
      </c>
      <c r="AE23">
        <v>2194056</v>
      </c>
      <c r="AF23">
        <v>1798256</v>
      </c>
      <c r="AG23">
        <v>38760</v>
      </c>
      <c r="AH23">
        <v>202744</v>
      </c>
      <c r="AI23">
        <v>1391848</v>
      </c>
      <c r="AJ23">
        <v>225200</v>
      </c>
      <c r="AK23">
        <v>1297320</v>
      </c>
      <c r="AL23">
        <v>213600</v>
      </c>
      <c r="AM23">
        <v>669696</v>
      </c>
      <c r="AN23">
        <v>42600</v>
      </c>
      <c r="AO23">
        <v>148552</v>
      </c>
      <c r="AP23">
        <v>79360</v>
      </c>
      <c r="AQ23">
        <v>26520</v>
      </c>
      <c r="AR23">
        <v>84280</v>
      </c>
      <c r="AS23">
        <v>1946688</v>
      </c>
      <c r="AT23">
        <v>155456</v>
      </c>
      <c r="AU23">
        <v>1241000</v>
      </c>
      <c r="AV23">
        <v>129000</v>
      </c>
      <c r="AW23">
        <v>4120</v>
      </c>
      <c r="AX23">
        <v>793824</v>
      </c>
      <c r="AY23" s="24"/>
      <c r="AZ23" s="24"/>
      <c r="BA23" s="32"/>
      <c r="BB23" s="65">
        <f t="shared" si="9"/>
        <v>27230992</v>
      </c>
      <c r="BC23" s="66"/>
      <c r="BD23" s="66"/>
      <c r="BE23" s="66"/>
      <c r="BF23" s="66"/>
      <c r="BG23" s="66"/>
      <c r="BH23" s="66"/>
      <c r="BI23" s="64"/>
    </row>
    <row r="24" spans="1:61" ht="16.5" thickBot="1" x14ac:dyDescent="0.3">
      <c r="A24" s="185"/>
      <c r="B24" s="99" t="s">
        <v>34</v>
      </c>
      <c r="C24" s="23" t="s">
        <v>25</v>
      </c>
      <c r="D24" s="28">
        <f>179034.24+24413.76</f>
        <v>203448</v>
      </c>
      <c r="E24" s="28"/>
      <c r="F24" s="28">
        <f>201206.72+27437.28</f>
        <v>228644</v>
      </c>
      <c r="G24" s="28"/>
      <c r="H24" s="28">
        <f>503122.4+68607.6</f>
        <v>571730</v>
      </c>
      <c r="I24" s="28"/>
      <c r="J24" s="28">
        <f>271476.48+37019.52</f>
        <v>308496</v>
      </c>
      <c r="K24" s="28"/>
      <c r="L24" s="28">
        <f>212678.4+29001.6</f>
        <v>241680</v>
      </c>
      <c r="M24" s="28"/>
      <c r="N24" s="28">
        <f>152116.8+20743.2</f>
        <v>172860</v>
      </c>
      <c r="O24" s="31">
        <f>12629.76+1722.24</f>
        <v>14352</v>
      </c>
      <c r="P24" s="28"/>
      <c r="Q24" s="28">
        <f>153141.12+20882.88</f>
        <v>174024</v>
      </c>
      <c r="R24" s="28"/>
      <c r="S24" s="28">
        <f>75484.64+10293.36</f>
        <v>85778</v>
      </c>
      <c r="T24" s="67">
        <f>40832+5568</f>
        <v>46400</v>
      </c>
      <c r="U24" s="28"/>
      <c r="V24" s="28">
        <f>319485.76+43566.24</f>
        <v>363052</v>
      </c>
      <c r="W24" s="28">
        <f>18603.2+2536.8</f>
        <v>21140</v>
      </c>
      <c r="X24" s="28">
        <f>2842.4+387.6</f>
        <v>3230</v>
      </c>
      <c r="Y24" s="28">
        <f>298385.12+40688.88</f>
        <v>339074</v>
      </c>
      <c r="Z24" s="28">
        <f>5684.8+775.2</f>
        <v>6460</v>
      </c>
      <c r="AA24" s="28">
        <f>338736.64+46191.36</f>
        <v>384928</v>
      </c>
      <c r="AB24" s="28">
        <f>21445.6+2924.4</f>
        <v>24370</v>
      </c>
      <c r="AC24" s="28">
        <f>382308.96+52133.04</f>
        <v>434442</v>
      </c>
      <c r="AD24" s="28">
        <f>11369.6+1550.4</f>
        <v>12920</v>
      </c>
      <c r="AE24" s="28">
        <f>482692.32+65821.68</f>
        <v>548514</v>
      </c>
      <c r="AF24" s="28">
        <f>395616.32+53947.68</f>
        <v>449564</v>
      </c>
      <c r="AG24" s="28">
        <f xml:space="preserve"> 8527.2+1162.8</f>
        <v>9690</v>
      </c>
      <c r="AH24" s="28">
        <f>44603.68+6082.32</f>
        <v>50686</v>
      </c>
      <c r="AI24" s="28">
        <f>306206.56+41755.44</f>
        <v>347962</v>
      </c>
      <c r="AJ24" s="28">
        <f>49544+6756</f>
        <v>56300</v>
      </c>
      <c r="AK24" s="28">
        <f>285410.4+38919.6</f>
        <v>324330</v>
      </c>
      <c r="AL24" s="28">
        <f>46992+6408</f>
        <v>53400</v>
      </c>
      <c r="AM24" s="28">
        <f>147333.12+20090.88</f>
        <v>167424</v>
      </c>
      <c r="AN24" s="28">
        <f>9372+1278</f>
        <v>10650</v>
      </c>
      <c r="AO24" s="28">
        <f>32681.44+4456.56</f>
        <v>37138</v>
      </c>
      <c r="AP24" s="28">
        <f>17459.2+2380.8</f>
        <v>19840</v>
      </c>
      <c r="AQ24" s="28">
        <f>5834.4+795.6</f>
        <v>6630</v>
      </c>
      <c r="AR24" s="28">
        <f>18541.6+2528.4</f>
        <v>21070</v>
      </c>
      <c r="AS24" s="28">
        <f>428271.36+58400.64</f>
        <v>486672</v>
      </c>
      <c r="AT24" s="28">
        <f>34200.32+4663.68</f>
        <v>38864</v>
      </c>
      <c r="AU24" s="34">
        <f>273020+37230</f>
        <v>310250</v>
      </c>
      <c r="AV24" s="34">
        <f>28380+3870</f>
        <v>32250</v>
      </c>
      <c r="AW24" s="34">
        <f>906.4+123.6</f>
        <v>1030</v>
      </c>
      <c r="AX24" s="34">
        <f>174641.28+23814.72</f>
        <v>198456</v>
      </c>
      <c r="AY24" s="28"/>
      <c r="AZ24" s="27"/>
      <c r="BA24" s="27"/>
      <c r="BB24" s="26">
        <f t="shared" si="9"/>
        <v>6807748</v>
      </c>
      <c r="BC24" s="35"/>
      <c r="BD24" s="36"/>
      <c r="BE24" s="36"/>
      <c r="BF24" s="36"/>
      <c r="BG24" s="36"/>
      <c r="BH24" s="35"/>
      <c r="BI24" s="28"/>
    </row>
    <row r="25" spans="1:61" ht="16.5" thickBot="1" x14ac:dyDescent="0.3">
      <c r="A25" s="185"/>
      <c r="B25" s="99" t="s">
        <v>34</v>
      </c>
      <c r="C25" s="23" t="s">
        <v>28</v>
      </c>
      <c r="D25" s="28">
        <v>53000</v>
      </c>
      <c r="E25" s="28"/>
      <c r="F25" s="28">
        <v>35000</v>
      </c>
      <c r="G25" s="28"/>
      <c r="H25" s="28">
        <v>48000</v>
      </c>
      <c r="I25" s="28"/>
      <c r="J25" s="28">
        <v>53000</v>
      </c>
      <c r="K25" s="28"/>
      <c r="L25" s="28">
        <v>35000</v>
      </c>
      <c r="M25" s="28"/>
      <c r="N25" s="24">
        <v>27000</v>
      </c>
      <c r="O25" s="31">
        <v>1000</v>
      </c>
      <c r="P25" s="28"/>
      <c r="Q25" s="28">
        <v>29000</v>
      </c>
      <c r="R25" s="28"/>
      <c r="S25" s="24">
        <v>69000</v>
      </c>
      <c r="T25" s="67">
        <v>78000</v>
      </c>
      <c r="U25" s="28"/>
      <c r="V25" s="28">
        <v>122000</v>
      </c>
      <c r="W25" s="28">
        <v>0</v>
      </c>
      <c r="X25" s="28">
        <v>0</v>
      </c>
      <c r="Y25" s="28">
        <v>97000</v>
      </c>
      <c r="Z25" s="28">
        <v>0</v>
      </c>
      <c r="AA25" s="28">
        <v>117000</v>
      </c>
      <c r="AB25" s="28">
        <v>0</v>
      </c>
      <c r="AC25" s="28">
        <v>114000</v>
      </c>
      <c r="AD25" s="28">
        <v>0</v>
      </c>
      <c r="AE25" s="100">
        <v>124000</v>
      </c>
      <c r="AF25" s="28">
        <v>127000</v>
      </c>
      <c r="AG25" s="28">
        <v>0</v>
      </c>
      <c r="AH25" s="28">
        <v>0</v>
      </c>
      <c r="AI25" s="28">
        <v>102000</v>
      </c>
      <c r="AJ25" s="28">
        <v>0</v>
      </c>
      <c r="AK25" s="28">
        <v>96000</v>
      </c>
      <c r="AL25" s="28">
        <v>0</v>
      </c>
      <c r="AM25" s="28">
        <v>61000</v>
      </c>
      <c r="AN25" s="28">
        <v>0</v>
      </c>
      <c r="AO25" s="28">
        <v>7000</v>
      </c>
      <c r="AP25" s="28">
        <v>0</v>
      </c>
      <c r="AQ25" s="28">
        <v>10000</v>
      </c>
      <c r="AR25" s="28">
        <v>0</v>
      </c>
      <c r="AS25" s="28">
        <v>128000</v>
      </c>
      <c r="AT25" s="28">
        <v>0</v>
      </c>
      <c r="AU25" s="34">
        <v>108000</v>
      </c>
      <c r="AV25" s="34">
        <v>0</v>
      </c>
      <c r="AW25" s="24">
        <v>1000</v>
      </c>
      <c r="AX25" s="34">
        <v>71000</v>
      </c>
      <c r="AY25" s="28"/>
      <c r="AZ25" s="27"/>
      <c r="BA25" s="27"/>
      <c r="BB25" s="26">
        <f t="shared" si="9"/>
        <v>1713000</v>
      </c>
      <c r="BC25" s="36"/>
      <c r="BD25" s="35"/>
      <c r="BE25" s="36"/>
      <c r="BF25" s="36"/>
      <c r="BG25" s="36"/>
      <c r="BH25" s="36"/>
      <c r="BI25" s="28"/>
    </row>
    <row r="26" spans="1:61" ht="16.5" thickBot="1" x14ac:dyDescent="0.3">
      <c r="A26" s="185"/>
      <c r="B26" s="99" t="s">
        <v>34</v>
      </c>
      <c r="C26" s="23" t="s">
        <v>29</v>
      </c>
      <c r="D26" s="28">
        <v>28487.5</v>
      </c>
      <c r="E26" s="28"/>
      <c r="F26" s="28">
        <v>23850</v>
      </c>
      <c r="G26" s="28"/>
      <c r="H26" s="28">
        <v>40412.5</v>
      </c>
      <c r="I26" s="28"/>
      <c r="J26" s="28">
        <v>26168.75</v>
      </c>
      <c r="K26" s="28"/>
      <c r="L26" s="28">
        <v>15237.5</v>
      </c>
      <c r="M26" s="28"/>
      <c r="N26" s="28">
        <v>13581.25</v>
      </c>
      <c r="O26" s="31">
        <v>331.25</v>
      </c>
      <c r="P26" s="28"/>
      <c r="Q26" s="28">
        <v>13581.25</v>
      </c>
      <c r="R26" s="28"/>
      <c r="S26" s="28">
        <v>25506.25</v>
      </c>
      <c r="T26" s="67">
        <v>29150</v>
      </c>
      <c r="U26" s="28"/>
      <c r="V26" s="28">
        <v>44056.25</v>
      </c>
      <c r="W26" s="28">
        <v>331.25</v>
      </c>
      <c r="X26" s="28">
        <v>331.25</v>
      </c>
      <c r="Y26" s="28">
        <v>36437.5</v>
      </c>
      <c r="Z26" s="28">
        <v>662.5</v>
      </c>
      <c r="AA26" s="28">
        <v>41075</v>
      </c>
      <c r="AB26" s="28">
        <v>662.5</v>
      </c>
      <c r="AC26" s="28">
        <v>42068.75</v>
      </c>
      <c r="AD26" s="28">
        <v>1325</v>
      </c>
      <c r="AE26" s="28">
        <v>44387.5</v>
      </c>
      <c r="AF26" s="28">
        <v>45712.5</v>
      </c>
      <c r="AG26" s="28">
        <v>993.75</v>
      </c>
      <c r="AH26" s="28">
        <v>2981.25</v>
      </c>
      <c r="AI26" s="28">
        <v>35775</v>
      </c>
      <c r="AJ26" s="28">
        <v>4306.25</v>
      </c>
      <c r="AK26" s="28">
        <v>35443.75</v>
      </c>
      <c r="AL26" s="28">
        <v>4306.25</v>
      </c>
      <c r="AM26" s="28">
        <v>23187.5</v>
      </c>
      <c r="AN26" s="28">
        <v>1656.25</v>
      </c>
      <c r="AO26" s="28">
        <v>2318.75</v>
      </c>
      <c r="AP26" s="28">
        <v>2650</v>
      </c>
      <c r="AQ26" s="28">
        <v>3643.75</v>
      </c>
      <c r="AR26" s="28">
        <v>2981.25</v>
      </c>
      <c r="AS26" s="28">
        <v>47368.75</v>
      </c>
      <c r="AT26" s="28">
        <v>3643.75</v>
      </c>
      <c r="AU26" s="34">
        <v>38425</v>
      </c>
      <c r="AV26" s="34">
        <v>2650</v>
      </c>
      <c r="AW26" s="28">
        <v>331.25</v>
      </c>
      <c r="AX26" s="34">
        <v>24512.5</v>
      </c>
      <c r="AY26" s="28"/>
      <c r="AZ26" s="27"/>
      <c r="BA26" s="27"/>
      <c r="BB26" s="26">
        <f t="shared" si="9"/>
        <v>710531.25</v>
      </c>
      <c r="BC26" s="36"/>
      <c r="BD26" s="36"/>
      <c r="BE26" s="35"/>
      <c r="BF26" s="35"/>
      <c r="BG26" s="35"/>
      <c r="BH26" s="36"/>
      <c r="BI26" s="28"/>
    </row>
    <row r="27" spans="1:61" ht="16.5" thickBot="1" x14ac:dyDescent="0.3">
      <c r="A27" s="21"/>
      <c r="B27" s="99" t="s">
        <v>34</v>
      </c>
      <c r="C27" s="49" t="s">
        <v>30</v>
      </c>
      <c r="D27" s="84">
        <v>0</v>
      </c>
      <c r="E27" s="84"/>
      <c r="F27" s="84">
        <v>0</v>
      </c>
      <c r="G27" s="84"/>
      <c r="H27" s="84">
        <v>0</v>
      </c>
      <c r="I27" s="84"/>
      <c r="J27" s="84">
        <v>0</v>
      </c>
      <c r="K27" s="84"/>
      <c r="L27" s="84">
        <v>0</v>
      </c>
      <c r="M27" s="84"/>
      <c r="N27" s="84">
        <v>0</v>
      </c>
      <c r="O27" s="101">
        <v>0</v>
      </c>
      <c r="P27" s="84"/>
      <c r="Q27" s="84">
        <v>0</v>
      </c>
      <c r="R27" s="84"/>
      <c r="S27" s="84">
        <v>0</v>
      </c>
      <c r="T27" s="85">
        <v>0</v>
      </c>
      <c r="U27" s="84"/>
      <c r="V27" s="84">
        <v>0</v>
      </c>
      <c r="W27" s="84">
        <v>0</v>
      </c>
      <c r="X27" s="84">
        <v>0</v>
      </c>
      <c r="Y27" s="84">
        <v>0</v>
      </c>
      <c r="Z27" s="84">
        <v>0</v>
      </c>
      <c r="AA27" s="84">
        <v>0</v>
      </c>
      <c r="AB27" s="84">
        <v>0</v>
      </c>
      <c r="AC27" s="84">
        <v>0</v>
      </c>
      <c r="AD27" s="84">
        <v>0</v>
      </c>
      <c r="AE27" s="84">
        <v>0</v>
      </c>
      <c r="AF27" s="84">
        <v>0</v>
      </c>
      <c r="AG27" s="84">
        <v>0</v>
      </c>
      <c r="AH27" s="84">
        <v>0</v>
      </c>
      <c r="AI27" s="84">
        <v>0</v>
      </c>
      <c r="AJ27" s="84">
        <v>0</v>
      </c>
      <c r="AK27" s="84">
        <v>0</v>
      </c>
      <c r="AL27" s="84">
        <v>0</v>
      </c>
      <c r="AM27" s="32">
        <v>0</v>
      </c>
      <c r="AN27" s="32">
        <v>0</v>
      </c>
      <c r="AO27" s="84">
        <v>0</v>
      </c>
      <c r="AP27" s="84">
        <v>0</v>
      </c>
      <c r="AQ27" s="84">
        <v>0</v>
      </c>
      <c r="AR27" s="84">
        <v>0</v>
      </c>
      <c r="AS27" s="84">
        <v>0</v>
      </c>
      <c r="AT27" s="32">
        <v>0</v>
      </c>
      <c r="AU27" s="24">
        <v>0</v>
      </c>
      <c r="AV27" s="32">
        <v>0</v>
      </c>
      <c r="AW27" s="24">
        <v>5000</v>
      </c>
      <c r="AX27" s="32">
        <v>0</v>
      </c>
      <c r="AY27" s="32"/>
      <c r="AZ27" s="73"/>
      <c r="BA27" s="73"/>
      <c r="BB27" s="55">
        <f t="shared" si="9"/>
        <v>5000</v>
      </c>
      <c r="BE27" s="75"/>
      <c r="BF27" s="75"/>
      <c r="BG27" s="75"/>
      <c r="BI27" s="32"/>
    </row>
    <row r="28" spans="1:61" ht="2.4500000000000002" customHeight="1" thickBot="1" x14ac:dyDescent="0.3">
      <c r="A28" s="21"/>
      <c r="B28" s="99" t="s">
        <v>34</v>
      </c>
      <c r="C28" s="77" t="s">
        <v>31</v>
      </c>
      <c r="D28" s="84">
        <v>1612.5</v>
      </c>
      <c r="E28" s="84"/>
      <c r="F28" s="84">
        <v>1350</v>
      </c>
      <c r="G28" s="84"/>
      <c r="H28" s="84">
        <v>2287.5</v>
      </c>
      <c r="I28" s="84"/>
      <c r="J28" s="84">
        <v>1481.25</v>
      </c>
      <c r="K28" s="84"/>
      <c r="L28" s="84">
        <v>862.5</v>
      </c>
      <c r="M28" s="84"/>
      <c r="N28" s="84">
        <v>768.75</v>
      </c>
      <c r="O28" s="101">
        <v>18.75</v>
      </c>
      <c r="Q28" s="84">
        <v>768.75</v>
      </c>
      <c r="S28" s="84">
        <v>1443.75</v>
      </c>
      <c r="T28" s="76">
        <v>1650</v>
      </c>
      <c r="U28" s="84"/>
      <c r="V28" s="32">
        <v>2493.75</v>
      </c>
      <c r="W28" s="84">
        <v>18.75</v>
      </c>
      <c r="X28" s="32">
        <v>18.75</v>
      </c>
      <c r="Y28" s="84">
        <v>2062.5</v>
      </c>
      <c r="Z28" s="84">
        <v>37.5</v>
      </c>
      <c r="AA28" s="84">
        <v>2325</v>
      </c>
      <c r="AB28" s="25">
        <v>37.5</v>
      </c>
      <c r="AC28" s="84">
        <v>2381.25</v>
      </c>
      <c r="AD28" s="84">
        <v>75</v>
      </c>
      <c r="AE28" s="84">
        <v>2512.5</v>
      </c>
      <c r="AF28" s="24">
        <v>2587.5</v>
      </c>
      <c r="AG28" s="84">
        <v>56.25</v>
      </c>
      <c r="AH28" s="84">
        <v>168.75</v>
      </c>
      <c r="AI28" s="84">
        <v>2025</v>
      </c>
      <c r="AJ28" s="84">
        <v>243.75</v>
      </c>
      <c r="AK28" s="84">
        <v>2006.25</v>
      </c>
      <c r="AL28" s="84">
        <v>243.75</v>
      </c>
      <c r="AM28" s="84">
        <v>1312.5</v>
      </c>
      <c r="AN28" s="84">
        <v>93.75</v>
      </c>
      <c r="AO28" s="84">
        <v>131.25</v>
      </c>
      <c r="AP28" s="84">
        <v>150</v>
      </c>
      <c r="AQ28" s="84">
        <v>206.25</v>
      </c>
      <c r="AR28" s="84">
        <v>168.75</v>
      </c>
      <c r="AS28" s="84">
        <v>2681.25</v>
      </c>
      <c r="AT28" s="32">
        <v>206.25</v>
      </c>
      <c r="AU28" s="24">
        <v>2175</v>
      </c>
      <c r="AV28" s="32">
        <v>150</v>
      </c>
      <c r="AW28" s="24">
        <v>18.75</v>
      </c>
      <c r="AX28" s="32">
        <v>1387.5</v>
      </c>
      <c r="AY28" s="32"/>
      <c r="AZ28" s="73"/>
      <c r="BA28" s="73"/>
      <c r="BB28" s="55">
        <f t="shared" si="9"/>
        <v>40218.75</v>
      </c>
      <c r="BE28" s="75"/>
      <c r="BF28" s="75"/>
      <c r="BG28" s="75"/>
      <c r="BI28" s="32"/>
    </row>
    <row r="29" spans="1:61" ht="16.5" hidden="1" thickBot="1" x14ac:dyDescent="0.3">
      <c r="A29" s="88"/>
      <c r="B29" s="102" t="s">
        <v>26</v>
      </c>
      <c r="C29" s="90"/>
      <c r="D29" s="103">
        <f>SUM(D23:D28)</f>
        <v>1100340</v>
      </c>
      <c r="E29" s="103">
        <f>SUM(E23:E28)</f>
        <v>0</v>
      </c>
      <c r="F29" s="103">
        <f>SUM(F23:F28)</f>
        <v>1203420</v>
      </c>
      <c r="G29" s="103">
        <f>SUM(G23:G28)</f>
        <v>0</v>
      </c>
      <c r="H29" s="103">
        <f>SUM(H23:H28)</f>
        <v>2949350</v>
      </c>
      <c r="I29" s="103">
        <f t="shared" ref="I29:N29" si="11">SUM(I23:I28)</f>
        <v>0</v>
      </c>
      <c r="J29" s="103">
        <f t="shared" si="11"/>
        <v>1623130</v>
      </c>
      <c r="K29" s="103">
        <f t="shared" si="11"/>
        <v>0</v>
      </c>
      <c r="L29" s="103">
        <f t="shared" si="11"/>
        <v>1259500</v>
      </c>
      <c r="M29" s="103">
        <f t="shared" si="11"/>
        <v>0</v>
      </c>
      <c r="N29" s="103">
        <f t="shared" si="11"/>
        <v>905650</v>
      </c>
      <c r="O29" s="103">
        <f t="shared" ref="O29:T29" si="12">SUM(O23:O28)</f>
        <v>73110</v>
      </c>
      <c r="P29" s="103">
        <f t="shared" si="12"/>
        <v>0</v>
      </c>
      <c r="Q29" s="103">
        <f t="shared" si="12"/>
        <v>913470</v>
      </c>
      <c r="R29" s="103">
        <f t="shared" si="12"/>
        <v>0</v>
      </c>
      <c r="S29" s="103">
        <f t="shared" si="12"/>
        <v>524840</v>
      </c>
      <c r="T29" s="103">
        <f t="shared" si="12"/>
        <v>340800</v>
      </c>
      <c r="U29" s="103">
        <f t="shared" ref="U29:BA29" si="13">SUM(U23:U27)</f>
        <v>0</v>
      </c>
      <c r="V29" s="103">
        <f t="shared" ref="V29:AV29" si="14">SUM(V23:V28)</f>
        <v>1983810</v>
      </c>
      <c r="W29" s="103">
        <f t="shared" si="14"/>
        <v>106050</v>
      </c>
      <c r="X29" s="103">
        <f t="shared" si="14"/>
        <v>16500</v>
      </c>
      <c r="Y29" s="103">
        <f t="shared" si="14"/>
        <v>1830870</v>
      </c>
      <c r="Z29" s="103">
        <f t="shared" si="14"/>
        <v>33000</v>
      </c>
      <c r="AA29" s="103">
        <f t="shared" si="14"/>
        <v>2085040</v>
      </c>
      <c r="AB29" s="103">
        <f t="shared" si="14"/>
        <v>122550</v>
      </c>
      <c r="AC29" s="103">
        <f t="shared" si="14"/>
        <v>2330660</v>
      </c>
      <c r="AD29" s="103">
        <f t="shared" si="14"/>
        <v>66000</v>
      </c>
      <c r="AE29" s="103">
        <f t="shared" si="14"/>
        <v>2913470</v>
      </c>
      <c r="AF29" s="103">
        <f t="shared" si="14"/>
        <v>2423120</v>
      </c>
      <c r="AG29" s="103">
        <f t="shared" si="14"/>
        <v>49500</v>
      </c>
      <c r="AH29" s="103">
        <f t="shared" si="14"/>
        <v>256580</v>
      </c>
      <c r="AI29" s="104">
        <f t="shared" si="14"/>
        <v>1879610</v>
      </c>
      <c r="AJ29" s="103">
        <f t="shared" si="14"/>
        <v>286050</v>
      </c>
      <c r="AK29" s="103">
        <f t="shared" si="14"/>
        <v>1755100</v>
      </c>
      <c r="AL29" s="103">
        <f t="shared" si="14"/>
        <v>271550</v>
      </c>
      <c r="AM29" s="103">
        <f t="shared" si="14"/>
        <v>922620</v>
      </c>
      <c r="AN29" s="103">
        <f t="shared" si="14"/>
        <v>55000</v>
      </c>
      <c r="AO29" s="103">
        <f t="shared" si="14"/>
        <v>195140</v>
      </c>
      <c r="AP29" s="103">
        <f t="shared" si="14"/>
        <v>102000</v>
      </c>
      <c r="AQ29" s="103">
        <f t="shared" si="14"/>
        <v>47000</v>
      </c>
      <c r="AR29" s="103">
        <f t="shared" si="14"/>
        <v>108500</v>
      </c>
      <c r="AS29" s="103">
        <f t="shared" si="14"/>
        <v>2611410</v>
      </c>
      <c r="AT29" s="103">
        <f t="shared" si="14"/>
        <v>198170</v>
      </c>
      <c r="AU29" s="103">
        <f t="shared" si="14"/>
        <v>1699850</v>
      </c>
      <c r="AV29" s="103">
        <f t="shared" si="14"/>
        <v>164050</v>
      </c>
      <c r="AW29" s="103">
        <f>SUM(AW23:AW28)</f>
        <v>11500</v>
      </c>
      <c r="AX29" s="103">
        <f>SUM(AX23:AX28)</f>
        <v>1089180</v>
      </c>
      <c r="AY29" s="103">
        <f t="shared" si="13"/>
        <v>0</v>
      </c>
      <c r="AZ29" s="103">
        <f t="shared" si="13"/>
        <v>0</v>
      </c>
      <c r="BA29" s="103">
        <f t="shared" si="13"/>
        <v>0</v>
      </c>
      <c r="BB29" s="105">
        <f t="shared" si="9"/>
        <v>36507490</v>
      </c>
      <c r="BC29" s="106">
        <f t="shared" ref="BC29:BI29" si="15">SUM(BC23:BC26)</f>
        <v>0</v>
      </c>
      <c r="BD29" s="106">
        <f t="shared" si="15"/>
        <v>0</v>
      </c>
      <c r="BE29" s="106">
        <f t="shared" si="15"/>
        <v>0</v>
      </c>
      <c r="BF29" s="106">
        <f t="shared" si="15"/>
        <v>0</v>
      </c>
      <c r="BG29" s="106">
        <f t="shared" si="15"/>
        <v>0</v>
      </c>
      <c r="BH29" s="106">
        <f t="shared" si="15"/>
        <v>0</v>
      </c>
      <c r="BI29" s="106">
        <f t="shared" si="15"/>
        <v>0</v>
      </c>
    </row>
    <row r="30" spans="1:61" ht="30.75" thickBot="1" x14ac:dyDescent="0.3">
      <c r="A30" s="185">
        <v>5</v>
      </c>
      <c r="B30" s="107" t="s">
        <v>35</v>
      </c>
      <c r="C30" s="23" t="s">
        <v>24</v>
      </c>
      <c r="D30" s="28"/>
      <c r="E30" s="32"/>
      <c r="F30" s="24"/>
      <c r="G30" s="28"/>
      <c r="H30" s="28"/>
      <c r="I30" s="28"/>
      <c r="J30" s="28"/>
      <c r="K30" s="28"/>
      <c r="L30" s="24"/>
      <c r="M30" s="28"/>
      <c r="N30" s="28"/>
      <c r="O30" s="28"/>
      <c r="P30" s="28"/>
      <c r="Q30" s="28"/>
      <c r="R30" s="28"/>
      <c r="S30" s="34"/>
      <c r="T30">
        <v>4000</v>
      </c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34"/>
      <c r="AY30" s="28"/>
      <c r="AZ30" s="27"/>
      <c r="BA30" s="73"/>
      <c r="BB30" s="65">
        <v>0</v>
      </c>
      <c r="BC30" s="27"/>
      <c r="BD30" s="27"/>
      <c r="BE30" s="27"/>
      <c r="BF30" s="27"/>
      <c r="BG30" s="27"/>
      <c r="BH30" s="27"/>
      <c r="BI30" s="28"/>
    </row>
    <row r="31" spans="1:61" ht="21" customHeight="1" thickBot="1" x14ac:dyDescent="0.3">
      <c r="A31" s="185"/>
      <c r="B31" s="107" t="s">
        <v>35</v>
      </c>
      <c r="C31" s="23" t="s">
        <v>25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>
        <f>880+120</f>
        <v>1000</v>
      </c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34"/>
      <c r="AV31" s="34"/>
      <c r="AW31" s="34"/>
      <c r="AX31" s="34"/>
      <c r="AY31" s="28"/>
      <c r="AZ31" s="27"/>
      <c r="BA31" s="27"/>
      <c r="BB31" s="26">
        <v>0</v>
      </c>
      <c r="BC31" s="35"/>
      <c r="BD31" s="36"/>
      <c r="BE31" s="36"/>
      <c r="BF31" s="36"/>
      <c r="BG31" s="36"/>
      <c r="BH31" s="35"/>
      <c r="BI31" s="28"/>
    </row>
    <row r="32" spans="1:61" ht="20.100000000000001" customHeight="1" thickBot="1" x14ac:dyDescent="0.3">
      <c r="A32" s="185"/>
      <c r="B32" s="107" t="s">
        <v>35</v>
      </c>
      <c r="C32" s="23" t="s">
        <v>28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>
        <v>1000</v>
      </c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34"/>
      <c r="AV32" s="34"/>
      <c r="AW32" s="34"/>
      <c r="AX32" s="34"/>
      <c r="AY32" s="28"/>
      <c r="AZ32" s="27"/>
      <c r="BA32" s="27"/>
      <c r="BB32" s="26">
        <v>0</v>
      </c>
      <c r="BC32" s="36"/>
      <c r="BD32" s="35"/>
      <c r="BE32" s="36"/>
      <c r="BF32" s="36"/>
      <c r="BG32" s="36"/>
      <c r="BH32" s="36"/>
      <c r="BI32" s="28"/>
    </row>
    <row r="33" spans="1:61" ht="27.6" customHeight="1" thickBot="1" x14ac:dyDescent="0.3">
      <c r="A33" s="185"/>
      <c r="B33" s="107" t="s">
        <v>35</v>
      </c>
      <c r="C33" s="23" t="s">
        <v>29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>
        <v>331.25</v>
      </c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34"/>
      <c r="AV33" s="34"/>
      <c r="AW33" s="34"/>
      <c r="AX33" s="34"/>
      <c r="AY33" s="28"/>
      <c r="AZ33" s="27"/>
      <c r="BA33" s="27"/>
      <c r="BB33" s="26">
        <v>0</v>
      </c>
      <c r="BC33" s="36"/>
      <c r="BD33" s="36"/>
      <c r="BE33" s="35"/>
      <c r="BF33" s="35"/>
      <c r="BG33" s="35"/>
      <c r="BH33" s="36"/>
      <c r="BI33" s="28"/>
    </row>
    <row r="34" spans="1:61" ht="15.6" customHeight="1" thickBot="1" x14ac:dyDescent="0.3">
      <c r="A34" s="21"/>
      <c r="B34" s="107" t="s">
        <v>35</v>
      </c>
      <c r="C34" s="49" t="s">
        <v>30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>
        <v>0</v>
      </c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24"/>
      <c r="AV34" s="24"/>
      <c r="AW34" s="24"/>
      <c r="AX34" s="24"/>
      <c r="AY34" s="32"/>
      <c r="AZ34" s="73"/>
      <c r="BA34" s="73"/>
      <c r="BB34" s="55">
        <v>0</v>
      </c>
      <c r="BE34" s="75"/>
      <c r="BF34" s="75"/>
      <c r="BG34" s="75"/>
      <c r="BI34" s="32"/>
    </row>
    <row r="35" spans="1:61" ht="21.95" customHeight="1" x14ac:dyDescent="0.25">
      <c r="A35" s="21"/>
      <c r="B35" s="107" t="s">
        <v>35</v>
      </c>
      <c r="C35" s="77" t="s">
        <v>31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T35" s="32">
        <v>18.75</v>
      </c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24"/>
      <c r="AV35" s="24"/>
      <c r="AW35" s="24"/>
      <c r="AX35" s="24"/>
      <c r="AY35" s="32"/>
      <c r="AZ35" s="73"/>
      <c r="BA35" s="73"/>
      <c r="BB35" s="55"/>
      <c r="BE35" s="75"/>
      <c r="BF35" s="75"/>
      <c r="BG35" s="75"/>
      <c r="BI35" s="32"/>
    </row>
    <row r="36" spans="1:61" ht="16.5" thickBot="1" x14ac:dyDescent="0.3">
      <c r="A36" s="108"/>
      <c r="B36" s="109" t="s">
        <v>26</v>
      </c>
      <c r="C36" s="110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>
        <f>SUM(T30:T35)</f>
        <v>6350</v>
      </c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111"/>
      <c r="AV36" s="111"/>
      <c r="AW36" s="111"/>
      <c r="AX36" s="111"/>
      <c r="AY36" s="112"/>
      <c r="AZ36" s="87"/>
      <c r="BA36" s="87"/>
      <c r="BB36" s="113">
        <f>SUM(C36:BA36)</f>
        <v>6350</v>
      </c>
      <c r="BC36" s="87"/>
      <c r="BD36" s="87">
        <f t="shared" ref="BD36:BI36" si="16">SUM(BD30:BD33)</f>
        <v>0</v>
      </c>
      <c r="BE36" s="87">
        <f t="shared" si="16"/>
        <v>0</v>
      </c>
      <c r="BF36" s="87">
        <f t="shared" si="16"/>
        <v>0</v>
      </c>
      <c r="BG36" s="87">
        <f t="shared" si="16"/>
        <v>0</v>
      </c>
      <c r="BH36" s="87">
        <f t="shared" si="16"/>
        <v>0</v>
      </c>
      <c r="BI36" s="87">
        <f t="shared" si="16"/>
        <v>0</v>
      </c>
    </row>
    <row r="37" spans="1:61" ht="29.1" customHeight="1" thickTop="1" thickBot="1" x14ac:dyDescent="0.3">
      <c r="A37" s="185">
        <v>6</v>
      </c>
      <c r="B37" s="107" t="s">
        <v>36</v>
      </c>
      <c r="C37" s="23" t="s">
        <v>24</v>
      </c>
      <c r="D37" s="24"/>
      <c r="E37" s="24"/>
      <c r="F37" s="24"/>
      <c r="G37" s="24">
        <v>56000</v>
      </c>
      <c r="H37" s="28"/>
      <c r="I37" s="24">
        <v>4000</v>
      </c>
      <c r="J37" s="24"/>
      <c r="K37" s="24">
        <v>8000</v>
      </c>
      <c r="L37" s="24"/>
      <c r="M37" s="24"/>
      <c r="N37" s="24"/>
      <c r="O37">
        <v>8000</v>
      </c>
      <c r="P37">
        <v>48000</v>
      </c>
      <c r="Q37" s="24"/>
      <c r="R37">
        <v>248000</v>
      </c>
      <c r="S37" s="24"/>
      <c r="T37" s="24"/>
      <c r="U37">
        <v>392800</v>
      </c>
      <c r="W37">
        <v>592800</v>
      </c>
      <c r="X37">
        <v>640800</v>
      </c>
      <c r="Y37">
        <v>5600</v>
      </c>
      <c r="Z37">
        <v>541600</v>
      </c>
      <c r="AA37">
        <v>5600</v>
      </c>
      <c r="AB37">
        <v>1776000</v>
      </c>
      <c r="AC37" s="24"/>
      <c r="AD37">
        <v>860800</v>
      </c>
      <c r="AE37">
        <v>5600</v>
      </c>
      <c r="AF37">
        <v>11200</v>
      </c>
      <c r="AG37">
        <v>447200</v>
      </c>
      <c r="AH37">
        <v>881600</v>
      </c>
      <c r="AI37" s="24"/>
      <c r="AJ37">
        <v>1550400</v>
      </c>
      <c r="AK37" s="24"/>
      <c r="AL37">
        <v>583200</v>
      </c>
      <c r="AM37">
        <v>11200</v>
      </c>
      <c r="AN37">
        <v>778400</v>
      </c>
      <c r="AO37" s="24"/>
      <c r="AP37">
        <v>374400</v>
      </c>
      <c r="AQ37" s="24"/>
      <c r="AR37">
        <v>22400</v>
      </c>
      <c r="AS37" s="24"/>
      <c r="AT37" s="28"/>
      <c r="AU37" s="24"/>
      <c r="AV37" s="24"/>
      <c r="AW37" s="24"/>
      <c r="AX37" s="24"/>
      <c r="AY37" s="28"/>
      <c r="AZ37" s="24"/>
      <c r="BA37" s="33"/>
      <c r="BB37" s="65">
        <f t="shared" ref="BB37:BB42" si="17">SUM(G37:BA37)</f>
        <v>9853600</v>
      </c>
      <c r="BC37" s="27"/>
      <c r="BD37" s="27"/>
      <c r="BE37" s="27"/>
      <c r="BF37" s="27"/>
      <c r="BG37" s="27"/>
      <c r="BH37" s="27"/>
      <c r="BI37" s="28"/>
    </row>
    <row r="38" spans="1:61" ht="26.45" customHeight="1" thickBot="1" x14ac:dyDescent="0.3">
      <c r="A38" s="185"/>
      <c r="B38" s="107" t="s">
        <v>36</v>
      </c>
      <c r="C38" s="23" t="s">
        <v>25</v>
      </c>
      <c r="D38" s="28"/>
      <c r="E38" s="28"/>
      <c r="F38" s="28"/>
      <c r="G38" s="28">
        <f>12320+1680</f>
        <v>14000</v>
      </c>
      <c r="H38" s="28"/>
      <c r="I38" s="28">
        <f>880+120</f>
        <v>1000</v>
      </c>
      <c r="J38" s="28"/>
      <c r="K38" s="28">
        <f>1760+240</f>
        <v>2000</v>
      </c>
      <c r="L38" s="28"/>
      <c r="M38" s="28"/>
      <c r="N38" s="28"/>
      <c r="O38" s="31">
        <f>1760+240</f>
        <v>2000</v>
      </c>
      <c r="P38" s="31">
        <f>10560+1440</f>
        <v>12000</v>
      </c>
      <c r="Q38" s="28"/>
      <c r="R38" s="28">
        <f>54560+7440</f>
        <v>62000</v>
      </c>
      <c r="S38" s="28"/>
      <c r="T38" s="114"/>
      <c r="U38" s="114">
        <f>86416+11784</f>
        <v>98200</v>
      </c>
      <c r="V38" s="114"/>
      <c r="W38" s="114">
        <f>130416+17784</f>
        <v>148200</v>
      </c>
      <c r="X38" s="28">
        <f>140976+19224</f>
        <v>160200</v>
      </c>
      <c r="Y38" s="28">
        <f>1232+168</f>
        <v>1400</v>
      </c>
      <c r="Z38" s="28">
        <f>119152+16248</f>
        <v>135400</v>
      </c>
      <c r="AA38" s="28">
        <f>1232+168</f>
        <v>1400</v>
      </c>
      <c r="AB38" s="28">
        <f>390720+53280</f>
        <v>444000</v>
      </c>
      <c r="AC38" s="26"/>
      <c r="AD38" s="28">
        <f>189376+25824</f>
        <v>215200</v>
      </c>
      <c r="AE38" s="28">
        <f>1232+168</f>
        <v>1400</v>
      </c>
      <c r="AF38" s="28">
        <f>2464+336</f>
        <v>2800</v>
      </c>
      <c r="AG38" s="28">
        <f>98384+13416</f>
        <v>111800</v>
      </c>
      <c r="AH38" s="28">
        <f>193952+26448</f>
        <v>220400</v>
      </c>
      <c r="AI38" s="28"/>
      <c r="AJ38" s="28">
        <f>341088+46512</f>
        <v>387600</v>
      </c>
      <c r="AK38" s="28"/>
      <c r="AL38" s="28">
        <f>128304+17496</f>
        <v>145800</v>
      </c>
      <c r="AM38" s="28">
        <f>2464+336</f>
        <v>2800</v>
      </c>
      <c r="AN38" s="28">
        <f>171248+23352</f>
        <v>194600</v>
      </c>
      <c r="AO38" s="28"/>
      <c r="AP38" s="28">
        <f>82368+11232</f>
        <v>93600</v>
      </c>
      <c r="AQ38" s="28"/>
      <c r="AR38" s="28">
        <f>4928+672</f>
        <v>5600</v>
      </c>
      <c r="AS38" s="28"/>
      <c r="AT38" s="28"/>
      <c r="AU38" s="28"/>
      <c r="AV38" s="28"/>
      <c r="AW38" s="28"/>
      <c r="AX38" s="28"/>
      <c r="AY38" s="28"/>
      <c r="AZ38" s="28"/>
      <c r="BA38" s="28"/>
      <c r="BB38" s="26">
        <f t="shared" si="17"/>
        <v>2463400</v>
      </c>
      <c r="BC38" s="35"/>
      <c r="BD38" s="36"/>
      <c r="BE38" s="36"/>
      <c r="BF38" s="36"/>
      <c r="BG38" s="36"/>
      <c r="BH38" s="35"/>
      <c r="BI38" s="28"/>
    </row>
    <row r="39" spans="1:61" ht="23.1" customHeight="1" thickBot="1" x14ac:dyDescent="0.3">
      <c r="A39" s="185"/>
      <c r="B39" s="107" t="s">
        <v>36</v>
      </c>
      <c r="C39" s="23" t="s">
        <v>28</v>
      </c>
      <c r="D39" s="28"/>
      <c r="E39" s="28"/>
      <c r="F39" s="28"/>
      <c r="G39" s="28">
        <v>1000</v>
      </c>
      <c r="H39" s="28"/>
      <c r="I39" s="28">
        <v>0</v>
      </c>
      <c r="J39" s="28"/>
      <c r="K39" s="28">
        <v>1000</v>
      </c>
      <c r="L39" s="28"/>
      <c r="M39" s="28"/>
      <c r="N39" s="28"/>
      <c r="O39" s="31">
        <v>1000</v>
      </c>
      <c r="P39" s="31">
        <v>6000</v>
      </c>
      <c r="Q39" s="28"/>
      <c r="R39" s="28">
        <v>31000</v>
      </c>
      <c r="S39" s="28"/>
      <c r="T39" s="114"/>
      <c r="U39" s="114">
        <v>63000</v>
      </c>
      <c r="V39" s="114"/>
      <c r="W39" s="114">
        <v>94000</v>
      </c>
      <c r="X39" s="28">
        <v>100000</v>
      </c>
      <c r="Y39" s="28">
        <v>1000</v>
      </c>
      <c r="Z39" s="28">
        <v>83000</v>
      </c>
      <c r="AA39" s="28">
        <v>1000</v>
      </c>
      <c r="AB39" s="28">
        <v>290000</v>
      </c>
      <c r="AC39" s="26"/>
      <c r="AD39" s="28">
        <v>149000</v>
      </c>
      <c r="AE39" s="28">
        <v>1000</v>
      </c>
      <c r="AF39" s="28">
        <v>2000</v>
      </c>
      <c r="AG39" s="28">
        <v>79000</v>
      </c>
      <c r="AH39" s="28">
        <v>154000</v>
      </c>
      <c r="AI39" s="28"/>
      <c r="AJ39" s="28">
        <v>268000</v>
      </c>
      <c r="AK39" s="28"/>
      <c r="AL39" s="28">
        <v>103000</v>
      </c>
      <c r="AM39" s="28">
        <v>2000</v>
      </c>
      <c r="AN39" s="28">
        <v>139000</v>
      </c>
      <c r="AO39" s="28"/>
      <c r="AP39" s="28">
        <v>66000</v>
      </c>
      <c r="AQ39" s="28"/>
      <c r="AR39" s="28">
        <v>4000</v>
      </c>
      <c r="AS39" s="28"/>
      <c r="AT39" s="28"/>
      <c r="AU39" s="28"/>
      <c r="AV39" s="28"/>
      <c r="AW39" s="28"/>
      <c r="AX39" s="28"/>
      <c r="AY39" s="28"/>
      <c r="AZ39" s="28"/>
      <c r="BA39" s="28"/>
      <c r="BB39" s="26">
        <f t="shared" si="17"/>
        <v>1639000</v>
      </c>
      <c r="BC39" s="36"/>
      <c r="BD39" s="35"/>
      <c r="BE39" s="36"/>
      <c r="BF39" s="36"/>
      <c r="BG39" s="36"/>
      <c r="BH39" s="36"/>
      <c r="BI39" s="28"/>
    </row>
    <row r="40" spans="1:61" ht="18.95" customHeight="1" thickBot="1" x14ac:dyDescent="0.3">
      <c r="A40" s="185"/>
      <c r="B40" s="107" t="s">
        <v>36</v>
      </c>
      <c r="C40" s="23" t="s">
        <v>29</v>
      </c>
      <c r="D40" s="28"/>
      <c r="E40" s="28"/>
      <c r="F40" s="28"/>
      <c r="G40" s="28">
        <v>331.25</v>
      </c>
      <c r="H40" s="28"/>
      <c r="I40" s="28">
        <v>331.25</v>
      </c>
      <c r="J40" s="28"/>
      <c r="K40" s="28">
        <v>331.25</v>
      </c>
      <c r="L40" s="28"/>
      <c r="M40" s="28"/>
      <c r="N40" s="28"/>
      <c r="O40" s="31">
        <v>331.25</v>
      </c>
      <c r="P40" s="31">
        <v>1987.5</v>
      </c>
      <c r="Q40" s="28"/>
      <c r="R40" s="28">
        <v>10268.75</v>
      </c>
      <c r="S40" s="28"/>
      <c r="T40" s="114"/>
      <c r="U40" s="114">
        <v>21200</v>
      </c>
      <c r="V40" s="114"/>
      <c r="W40" s="114">
        <v>31468.75</v>
      </c>
      <c r="X40" s="28">
        <v>34450</v>
      </c>
      <c r="Y40" s="28">
        <v>331.25</v>
      </c>
      <c r="Z40" s="28">
        <v>31468.75</v>
      </c>
      <c r="AA40" s="28">
        <v>331.25</v>
      </c>
      <c r="AB40" s="28">
        <v>103681.25</v>
      </c>
      <c r="AC40" s="26"/>
      <c r="AD40" s="28">
        <v>49356.25</v>
      </c>
      <c r="AE40" s="28">
        <v>331.25</v>
      </c>
      <c r="AF40" s="28">
        <v>662.5</v>
      </c>
      <c r="AG40" s="28">
        <v>26168.75</v>
      </c>
      <c r="AH40" s="28">
        <v>52006.25</v>
      </c>
      <c r="AI40" s="28"/>
      <c r="AJ40" s="28">
        <v>91093.75</v>
      </c>
      <c r="AK40" s="28"/>
      <c r="AL40" s="28">
        <v>34450</v>
      </c>
      <c r="AM40" s="28">
        <v>662.5</v>
      </c>
      <c r="AN40" s="28">
        <v>46043.75</v>
      </c>
      <c r="AO40" s="28"/>
      <c r="AP40" s="28">
        <v>21862.5</v>
      </c>
      <c r="AQ40" s="28"/>
      <c r="AR40" s="28">
        <v>1325</v>
      </c>
      <c r="AS40" s="28"/>
      <c r="AT40" s="28"/>
      <c r="AU40" s="28"/>
      <c r="AV40" s="28"/>
      <c r="AW40" s="28"/>
      <c r="AX40" s="28"/>
      <c r="AY40" s="28"/>
      <c r="AZ40" s="28"/>
      <c r="BA40" s="28"/>
      <c r="BB40" s="26">
        <f t="shared" si="17"/>
        <v>560475</v>
      </c>
      <c r="BC40" s="36"/>
      <c r="BD40" s="36"/>
      <c r="BE40" s="35"/>
      <c r="BF40" s="35"/>
      <c r="BG40" s="35"/>
      <c r="BH40" s="36"/>
      <c r="BI40" s="28"/>
    </row>
    <row r="41" spans="1:61" ht="21" customHeight="1" thickBot="1" x14ac:dyDescent="0.3">
      <c r="A41" s="21"/>
      <c r="B41" s="107" t="s">
        <v>36</v>
      </c>
      <c r="C41" s="49" t="s">
        <v>30</v>
      </c>
      <c r="D41" s="32"/>
      <c r="E41" s="32"/>
      <c r="F41" s="32"/>
      <c r="G41" s="32">
        <v>0</v>
      </c>
      <c r="H41" s="32"/>
      <c r="I41" s="32">
        <v>0</v>
      </c>
      <c r="J41" s="32"/>
      <c r="K41" s="32">
        <v>0</v>
      </c>
      <c r="L41" s="32"/>
      <c r="M41" s="32"/>
      <c r="N41" s="32"/>
      <c r="O41" s="52">
        <v>0</v>
      </c>
      <c r="P41" s="52">
        <v>0</v>
      </c>
      <c r="Q41" s="32"/>
      <c r="R41" s="32">
        <v>0</v>
      </c>
      <c r="S41" s="32"/>
      <c r="T41" s="115"/>
      <c r="U41" s="115">
        <v>0</v>
      </c>
      <c r="V41" s="115"/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87"/>
      <c r="AD41" s="32">
        <v>0</v>
      </c>
      <c r="AE41" s="32">
        <v>0</v>
      </c>
      <c r="AF41" s="32">
        <v>0</v>
      </c>
      <c r="AG41" s="32">
        <v>0</v>
      </c>
      <c r="AH41" s="32">
        <v>0</v>
      </c>
      <c r="AI41" s="32"/>
      <c r="AJ41" s="32">
        <v>0</v>
      </c>
      <c r="AK41" s="32"/>
      <c r="AL41" s="32">
        <v>0</v>
      </c>
      <c r="AM41" s="32">
        <v>0</v>
      </c>
      <c r="AN41" s="32">
        <v>0</v>
      </c>
      <c r="AO41" s="32"/>
      <c r="AP41" s="32">
        <v>0</v>
      </c>
      <c r="AQ41" s="32"/>
      <c r="AR41" s="32">
        <v>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55">
        <f t="shared" si="17"/>
        <v>0</v>
      </c>
      <c r="BE41" s="75"/>
      <c r="BF41" s="75"/>
      <c r="BG41" s="75"/>
      <c r="BI41" s="32"/>
    </row>
    <row r="42" spans="1:61" ht="17.45" customHeight="1" x14ac:dyDescent="0.25">
      <c r="A42" s="21"/>
      <c r="B42" s="107" t="s">
        <v>36</v>
      </c>
      <c r="C42" s="77" t="s">
        <v>31</v>
      </c>
      <c r="D42" s="32"/>
      <c r="E42" s="32"/>
      <c r="F42" s="32"/>
      <c r="G42" s="32">
        <v>18.75</v>
      </c>
      <c r="H42" s="32"/>
      <c r="I42" s="32">
        <v>18.75</v>
      </c>
      <c r="J42" s="32"/>
      <c r="K42" s="32">
        <v>18.75</v>
      </c>
      <c r="L42" s="32"/>
      <c r="M42" s="32"/>
      <c r="N42" s="32"/>
      <c r="O42" s="52">
        <v>18.75</v>
      </c>
      <c r="P42" s="52">
        <v>112.5</v>
      </c>
      <c r="Q42" s="32"/>
      <c r="R42" s="32">
        <v>581.25</v>
      </c>
      <c r="S42" s="32"/>
      <c r="T42" s="115"/>
      <c r="U42" s="115">
        <v>1200</v>
      </c>
      <c r="V42" s="115"/>
      <c r="W42" s="115">
        <v>1781.25</v>
      </c>
      <c r="X42" s="32">
        <v>1950</v>
      </c>
      <c r="Y42" s="32">
        <v>18.75</v>
      </c>
      <c r="Z42" s="32">
        <v>1781.25</v>
      </c>
      <c r="AA42" s="32">
        <v>18.75</v>
      </c>
      <c r="AB42" s="32">
        <v>5868.75</v>
      </c>
      <c r="AD42" s="32">
        <v>2793.75</v>
      </c>
      <c r="AE42" s="32">
        <v>18.75</v>
      </c>
      <c r="AF42" s="32">
        <v>37.5</v>
      </c>
      <c r="AG42" s="32">
        <v>1481.25</v>
      </c>
      <c r="AH42" s="32">
        <v>2943.75</v>
      </c>
      <c r="AI42" s="32"/>
      <c r="AJ42" s="32">
        <v>5156.25</v>
      </c>
      <c r="AK42" s="32"/>
      <c r="AL42" s="32">
        <v>1950</v>
      </c>
      <c r="AM42" s="32">
        <v>37.5</v>
      </c>
      <c r="AN42" s="32">
        <v>2606.25</v>
      </c>
      <c r="AO42" s="32"/>
      <c r="AP42" s="32">
        <v>1237.5</v>
      </c>
      <c r="AQ42" s="32"/>
      <c r="AR42" s="32">
        <v>75</v>
      </c>
      <c r="AS42" s="32"/>
      <c r="AT42" s="32"/>
      <c r="AU42" s="32"/>
      <c r="AV42" s="32"/>
      <c r="AW42" s="32"/>
      <c r="AX42" s="32"/>
      <c r="AY42" s="32"/>
      <c r="AZ42" s="32"/>
      <c r="BA42" s="32"/>
      <c r="BB42" s="55">
        <f t="shared" si="17"/>
        <v>31725</v>
      </c>
      <c r="BE42" s="75"/>
      <c r="BF42" s="75"/>
      <c r="BG42" s="75"/>
      <c r="BI42" s="32"/>
    </row>
    <row r="43" spans="1:61" ht="16.5" thickBot="1" x14ac:dyDescent="0.3">
      <c r="A43" s="88"/>
      <c r="B43" s="116" t="s">
        <v>26</v>
      </c>
      <c r="C43" s="117"/>
      <c r="D43" s="118">
        <f>SUM(D37:D42)</f>
        <v>0</v>
      </c>
      <c r="E43" s="118">
        <f t="shared" ref="E43:BA43" si="18">SUM(E37:E42)</f>
        <v>0</v>
      </c>
      <c r="F43" s="118">
        <f t="shared" si="18"/>
        <v>0</v>
      </c>
      <c r="G43" s="118">
        <f t="shared" si="18"/>
        <v>71350</v>
      </c>
      <c r="H43" s="118">
        <f t="shared" si="18"/>
        <v>0</v>
      </c>
      <c r="I43" s="118">
        <f t="shared" si="18"/>
        <v>5350</v>
      </c>
      <c r="J43" s="118">
        <f t="shared" si="18"/>
        <v>0</v>
      </c>
      <c r="K43" s="118">
        <f t="shared" si="18"/>
        <v>11350</v>
      </c>
      <c r="L43" s="118">
        <f t="shared" si="18"/>
        <v>0</v>
      </c>
      <c r="M43" s="118">
        <f t="shared" si="18"/>
        <v>0</v>
      </c>
      <c r="N43" s="118">
        <f t="shared" si="18"/>
        <v>0</v>
      </c>
      <c r="O43" s="118">
        <f t="shared" si="18"/>
        <v>11350</v>
      </c>
      <c r="P43" s="118">
        <f t="shared" si="18"/>
        <v>68100</v>
      </c>
      <c r="Q43" s="118">
        <f t="shared" si="18"/>
        <v>0</v>
      </c>
      <c r="R43" s="118">
        <f t="shared" si="18"/>
        <v>351850</v>
      </c>
      <c r="S43" s="118">
        <f t="shared" si="18"/>
        <v>0</v>
      </c>
      <c r="T43" s="118">
        <f t="shared" si="18"/>
        <v>0</v>
      </c>
      <c r="U43" s="118">
        <f t="shared" si="18"/>
        <v>576400</v>
      </c>
      <c r="V43" s="118">
        <f t="shared" si="18"/>
        <v>0</v>
      </c>
      <c r="W43" s="118">
        <f t="shared" si="18"/>
        <v>868250</v>
      </c>
      <c r="X43" s="118">
        <f t="shared" si="18"/>
        <v>937400</v>
      </c>
      <c r="Y43" s="118">
        <f t="shared" si="18"/>
        <v>8350</v>
      </c>
      <c r="Z43" s="118">
        <f t="shared" si="18"/>
        <v>793250</v>
      </c>
      <c r="AA43" s="118">
        <f>SUM(AA37:AA42)</f>
        <v>8350</v>
      </c>
      <c r="AB43" s="118">
        <f t="shared" si="18"/>
        <v>2619550</v>
      </c>
      <c r="AC43" s="118">
        <f t="shared" si="18"/>
        <v>0</v>
      </c>
      <c r="AD43" s="118">
        <f t="shared" si="18"/>
        <v>1277150</v>
      </c>
      <c r="AE43" s="118">
        <f t="shared" si="18"/>
        <v>8350</v>
      </c>
      <c r="AF43" s="118">
        <f t="shared" si="18"/>
        <v>16700</v>
      </c>
      <c r="AG43" s="118">
        <f t="shared" si="18"/>
        <v>665650</v>
      </c>
      <c r="AH43" s="118">
        <f t="shared" si="18"/>
        <v>1310950</v>
      </c>
      <c r="AI43" s="118">
        <f t="shared" si="18"/>
        <v>0</v>
      </c>
      <c r="AJ43" s="118">
        <f t="shared" si="18"/>
        <v>2302250</v>
      </c>
      <c r="AK43" s="118">
        <f t="shared" si="18"/>
        <v>0</v>
      </c>
      <c r="AL43" s="118">
        <f t="shared" si="18"/>
        <v>868400</v>
      </c>
      <c r="AM43" s="118">
        <f>SUM(AM37:AM42)</f>
        <v>16700</v>
      </c>
      <c r="AN43" s="118">
        <f t="shared" si="18"/>
        <v>1160650</v>
      </c>
      <c r="AO43" s="118">
        <f t="shared" si="18"/>
        <v>0</v>
      </c>
      <c r="AP43" s="118">
        <f t="shared" si="18"/>
        <v>557100</v>
      </c>
      <c r="AQ43" s="118">
        <f t="shared" si="18"/>
        <v>0</v>
      </c>
      <c r="AR43" s="118">
        <f t="shared" si="18"/>
        <v>33400</v>
      </c>
      <c r="AS43" s="118">
        <f t="shared" si="18"/>
        <v>0</v>
      </c>
      <c r="AT43" s="118">
        <f t="shared" si="18"/>
        <v>0</v>
      </c>
      <c r="AU43" s="118">
        <f t="shared" si="18"/>
        <v>0</v>
      </c>
      <c r="AV43" s="118">
        <f t="shared" si="18"/>
        <v>0</v>
      </c>
      <c r="AW43" s="118">
        <f t="shared" si="18"/>
        <v>0</v>
      </c>
      <c r="AX43" s="118">
        <f t="shared" si="18"/>
        <v>0</v>
      </c>
      <c r="AY43" s="118">
        <f t="shared" si="18"/>
        <v>0</v>
      </c>
      <c r="AZ43" s="118">
        <f t="shared" si="18"/>
        <v>0</v>
      </c>
      <c r="BA43" s="118">
        <f t="shared" si="18"/>
        <v>0</v>
      </c>
      <c r="BB43" s="105">
        <f>SUM(D43:BA43)</f>
        <v>14548200</v>
      </c>
      <c r="BC43" s="106">
        <f t="shared" ref="BC43:BI43" si="19">SUM(BC37:BC40)</f>
        <v>0</v>
      </c>
      <c r="BD43" s="106">
        <f t="shared" si="19"/>
        <v>0</v>
      </c>
      <c r="BE43" s="106">
        <f t="shared" si="19"/>
        <v>0</v>
      </c>
      <c r="BF43" s="106">
        <f t="shared" si="19"/>
        <v>0</v>
      </c>
      <c r="BG43" s="106">
        <f t="shared" si="19"/>
        <v>0</v>
      </c>
      <c r="BH43" s="106">
        <f t="shared" si="19"/>
        <v>0</v>
      </c>
      <c r="BI43" s="106">
        <f t="shared" si="19"/>
        <v>0</v>
      </c>
    </row>
    <row r="44" spans="1:61" ht="17.25" thickTop="1" thickBot="1" x14ac:dyDescent="0.3">
      <c r="A44" s="185">
        <v>7</v>
      </c>
      <c r="B44" s="107" t="s">
        <v>37</v>
      </c>
      <c r="C44" s="23" t="s">
        <v>24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20"/>
      <c r="Q44" s="119"/>
      <c r="R44" s="119"/>
      <c r="S44" s="119"/>
      <c r="T44" s="121"/>
      <c r="U44" s="120"/>
      <c r="V44" s="119"/>
      <c r="W44" s="119"/>
      <c r="X44" s="120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20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22"/>
      <c r="AV44" s="122"/>
      <c r="AW44" s="122"/>
      <c r="AX44" s="122"/>
      <c r="AY44" s="119"/>
      <c r="AZ44" s="119"/>
      <c r="BA44" s="119"/>
      <c r="BB44" s="123">
        <f>SUM(Q44:BA44)</f>
        <v>0</v>
      </c>
      <c r="BC44" s="27"/>
      <c r="BD44" s="27"/>
      <c r="BE44" s="27"/>
      <c r="BF44" s="27"/>
      <c r="BG44" s="27"/>
      <c r="BH44" s="27"/>
      <c r="BI44" s="28"/>
    </row>
    <row r="45" spans="1:61" ht="16.5" thickBot="1" x14ac:dyDescent="0.3">
      <c r="A45" s="185"/>
      <c r="B45" s="107" t="s">
        <v>37</v>
      </c>
      <c r="C45" s="23" t="s">
        <v>25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67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34"/>
      <c r="AV45" s="34"/>
      <c r="AW45" s="34"/>
      <c r="AX45" s="34"/>
      <c r="AY45" s="28"/>
      <c r="AZ45" s="27"/>
      <c r="BA45" s="27"/>
      <c r="BB45" s="26"/>
      <c r="BC45" s="35"/>
      <c r="BD45" s="36"/>
      <c r="BE45" s="36"/>
      <c r="BF45" s="36"/>
      <c r="BG45" s="36"/>
      <c r="BH45" s="35"/>
      <c r="BI45" s="28"/>
    </row>
    <row r="46" spans="1:61" ht="16.5" thickBot="1" x14ac:dyDescent="0.3">
      <c r="A46" s="185"/>
      <c r="B46" s="107" t="s">
        <v>37</v>
      </c>
      <c r="C46" s="23" t="s">
        <v>28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67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34"/>
      <c r="AV46" s="34"/>
      <c r="AW46" s="34"/>
      <c r="AX46" s="34"/>
      <c r="AY46" s="28"/>
      <c r="AZ46" s="27"/>
      <c r="BA46" s="27"/>
      <c r="BB46" s="26"/>
      <c r="BC46" s="36"/>
      <c r="BD46" s="35"/>
      <c r="BE46" s="36"/>
      <c r="BF46" s="36"/>
      <c r="BG46" s="36"/>
      <c r="BH46" s="36"/>
      <c r="BI46" s="28"/>
    </row>
    <row r="47" spans="1:61" ht="16.5" thickBot="1" x14ac:dyDescent="0.3">
      <c r="A47" s="185"/>
      <c r="B47" s="124" t="s">
        <v>37</v>
      </c>
      <c r="C47" s="23" t="s">
        <v>29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67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34"/>
      <c r="AV47" s="34"/>
      <c r="AW47" s="34"/>
      <c r="AX47" s="34"/>
      <c r="AY47" s="28"/>
      <c r="AZ47" s="27"/>
      <c r="BA47" s="27"/>
      <c r="BB47" s="26"/>
      <c r="BC47" s="36"/>
      <c r="BD47" s="36"/>
      <c r="BE47" s="35"/>
      <c r="BF47" s="35"/>
      <c r="BG47" s="35"/>
      <c r="BH47" s="36"/>
      <c r="BI47" s="28"/>
    </row>
    <row r="48" spans="1:61" ht="15.95" customHeight="1" thickBot="1" x14ac:dyDescent="0.3">
      <c r="A48" s="21"/>
      <c r="B48" s="124" t="s">
        <v>37</v>
      </c>
      <c r="C48" s="49" t="s">
        <v>30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76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24"/>
      <c r="AV48" s="24"/>
      <c r="AW48" s="24"/>
      <c r="AX48" s="24"/>
      <c r="AY48" s="32"/>
      <c r="AZ48" s="73"/>
      <c r="BA48" s="73"/>
      <c r="BB48" s="87"/>
      <c r="BE48" s="75"/>
      <c r="BF48" s="75"/>
      <c r="BG48" s="75"/>
      <c r="BI48" s="32"/>
    </row>
    <row r="49" spans="1:61" ht="12.6" customHeight="1" thickBot="1" x14ac:dyDescent="0.3">
      <c r="A49" s="21"/>
      <c r="B49" s="124" t="s">
        <v>37</v>
      </c>
      <c r="C49" s="77" t="s">
        <v>31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24"/>
      <c r="AV49" s="24"/>
      <c r="AW49" s="24"/>
      <c r="AX49" s="24"/>
      <c r="AY49" s="32"/>
      <c r="AZ49" s="73"/>
      <c r="BA49" s="73"/>
      <c r="BB49" s="87">
        <f>SUM(BB44:BB48)</f>
        <v>0</v>
      </c>
      <c r="BE49" s="75"/>
      <c r="BF49" s="75"/>
      <c r="BG49" s="75"/>
      <c r="BI49" s="32"/>
    </row>
    <row r="50" spans="1:61" ht="16.5" thickBot="1" x14ac:dyDescent="0.3">
      <c r="A50" s="88"/>
      <c r="B50" s="116" t="s">
        <v>26</v>
      </c>
      <c r="C50" s="117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93"/>
      <c r="R50" s="106"/>
      <c r="S50" s="106"/>
      <c r="T50" s="106"/>
      <c r="U50" s="106">
        <f>SUM(U44:U48)</f>
        <v>0</v>
      </c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25"/>
      <c r="AV50" s="125"/>
      <c r="AW50" s="125"/>
      <c r="AX50" s="125"/>
      <c r="AY50" s="126"/>
      <c r="AZ50" s="127"/>
      <c r="BA50" s="127"/>
      <c r="BB50" s="106">
        <f>SUM(Q50:BA50)</f>
        <v>0</v>
      </c>
      <c r="BC50" s="106">
        <f t="shared" ref="BC50:BI50" si="20">SUM(BC44:BC47)</f>
        <v>0</v>
      </c>
      <c r="BD50" s="106">
        <f t="shared" si="20"/>
        <v>0</v>
      </c>
      <c r="BE50" s="106">
        <f t="shared" si="20"/>
        <v>0</v>
      </c>
      <c r="BF50" s="106">
        <f t="shared" si="20"/>
        <v>0</v>
      </c>
      <c r="BG50" s="106">
        <f t="shared" si="20"/>
        <v>0</v>
      </c>
      <c r="BH50" s="106">
        <f t="shared" si="20"/>
        <v>0</v>
      </c>
      <c r="BI50" s="106">
        <f t="shared" si="20"/>
        <v>0</v>
      </c>
    </row>
    <row r="51" spans="1:61" ht="26.1" customHeight="1" thickBot="1" x14ac:dyDescent="0.3">
      <c r="A51" s="185">
        <v>8</v>
      </c>
      <c r="B51" s="107" t="s">
        <v>38</v>
      </c>
      <c r="C51" s="23" t="s">
        <v>24</v>
      </c>
      <c r="D51" s="24"/>
      <c r="E51" s="24"/>
      <c r="F51" s="24">
        <v>126400</v>
      </c>
      <c r="G51" s="24"/>
      <c r="H51" s="24">
        <v>268800</v>
      </c>
      <c r="I51" s="24"/>
      <c r="J51" s="24"/>
      <c r="K51" s="24"/>
      <c r="L51">
        <v>126400</v>
      </c>
      <c r="M51" s="24"/>
      <c r="N51" s="24"/>
      <c r="O51" s="24"/>
      <c r="P51" s="24"/>
      <c r="Q51">
        <v>111200</v>
      </c>
      <c r="R51" s="24"/>
      <c r="S51">
        <v>126400</v>
      </c>
      <c r="T51">
        <v>380800</v>
      </c>
      <c r="U51" s="24"/>
      <c r="V51" s="32"/>
      <c r="W51" s="24"/>
      <c r="X51" s="24"/>
      <c r="Y51">
        <v>144000</v>
      </c>
      <c r="Z51" s="24"/>
      <c r="AA51" s="24"/>
      <c r="AB51" s="24"/>
      <c r="AC51" s="24"/>
      <c r="AD51" s="24"/>
      <c r="AE51" s="24"/>
      <c r="AF51" s="24"/>
      <c r="AG51" s="28"/>
      <c r="AH51" s="24"/>
      <c r="AI51" s="24"/>
      <c r="AJ51" s="24"/>
      <c r="AK51" s="28"/>
      <c r="AL51" s="24"/>
      <c r="AM51" s="24"/>
      <c r="AN51" s="24"/>
      <c r="AO51" s="24"/>
      <c r="AP51" s="24"/>
      <c r="AQ51" s="24"/>
      <c r="AS51">
        <v>117360</v>
      </c>
      <c r="AT51" s="28"/>
      <c r="AU51">
        <v>273840</v>
      </c>
      <c r="AV51" s="24"/>
      <c r="AW51" s="24"/>
      <c r="AX51">
        <v>456400</v>
      </c>
      <c r="AY51" s="28"/>
      <c r="AZ51" s="24"/>
      <c r="BA51" s="24"/>
      <c r="BB51" s="26">
        <f t="shared" ref="BB51:BB56" si="21">SUM(F51:BA51)</f>
        <v>2131600</v>
      </c>
      <c r="BC51" s="27"/>
      <c r="BD51" s="27"/>
      <c r="BE51" s="27"/>
      <c r="BF51" s="27"/>
      <c r="BG51" s="27"/>
      <c r="BH51" s="27"/>
      <c r="BI51" s="28"/>
    </row>
    <row r="52" spans="1:61" ht="21.95" customHeight="1" thickBot="1" x14ac:dyDescent="0.3">
      <c r="A52" s="185"/>
      <c r="B52" s="107" t="s">
        <v>38</v>
      </c>
      <c r="C52" s="23" t="s">
        <v>25</v>
      </c>
      <c r="D52" s="28"/>
      <c r="E52" s="28"/>
      <c r="F52" s="28">
        <f>27808+3792</f>
        <v>31600</v>
      </c>
      <c r="G52" s="28"/>
      <c r="H52" s="28">
        <f>59136+8064</f>
        <v>67200</v>
      </c>
      <c r="I52" s="28"/>
      <c r="J52" s="28"/>
      <c r="K52" s="28"/>
      <c r="L52" s="28">
        <f>27808+3792</f>
        <v>31600</v>
      </c>
      <c r="M52" s="28"/>
      <c r="N52" s="28"/>
      <c r="O52" s="28"/>
      <c r="P52" s="28"/>
      <c r="Q52" s="28">
        <f>24464+3336</f>
        <v>27800</v>
      </c>
      <c r="R52" s="28"/>
      <c r="S52" s="28">
        <f>27808+3792</f>
        <v>31600</v>
      </c>
      <c r="T52" s="67">
        <f>83776+11424</f>
        <v>95200</v>
      </c>
      <c r="U52" s="28"/>
      <c r="V52" s="28"/>
      <c r="W52" s="28"/>
      <c r="X52" s="28"/>
      <c r="Y52" s="28">
        <f>31680+4320</f>
        <v>36000</v>
      </c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S52" s="28">
        <f>11475.2+14344+1564.8+1956</f>
        <v>29340</v>
      </c>
      <c r="AT52" s="28"/>
      <c r="AU52" s="34">
        <v>68460</v>
      </c>
      <c r="AV52" s="34"/>
      <c r="AW52" s="34"/>
      <c r="AX52" s="34">
        <f>100408+13692</f>
        <v>114100</v>
      </c>
      <c r="AY52" s="28"/>
      <c r="AZ52" s="27"/>
      <c r="BA52" s="27"/>
      <c r="BB52" s="26">
        <f t="shared" si="21"/>
        <v>532900</v>
      </c>
      <c r="BC52" s="35"/>
      <c r="BD52" s="36"/>
      <c r="BE52" s="36"/>
      <c r="BF52" s="36"/>
      <c r="BG52" s="36"/>
      <c r="BH52" s="35"/>
      <c r="BI52" s="28"/>
    </row>
    <row r="53" spans="1:61" ht="23.45" customHeight="1" thickBot="1" x14ac:dyDescent="0.3">
      <c r="A53" s="185"/>
      <c r="B53" s="107" t="s">
        <v>38</v>
      </c>
      <c r="C53" s="23" t="s">
        <v>28</v>
      </c>
      <c r="D53" s="28"/>
      <c r="E53" s="28"/>
      <c r="F53" s="28">
        <v>4000</v>
      </c>
      <c r="G53" s="28"/>
      <c r="H53" s="28">
        <v>9000</v>
      </c>
      <c r="I53" s="28"/>
      <c r="J53" s="28"/>
      <c r="K53" s="28"/>
      <c r="L53" s="28">
        <v>4000</v>
      </c>
      <c r="M53" s="28"/>
      <c r="N53" s="28"/>
      <c r="O53" s="28"/>
      <c r="P53" s="28"/>
      <c r="Q53" s="28">
        <v>5000</v>
      </c>
      <c r="R53" s="28"/>
      <c r="S53" s="28">
        <v>4000</v>
      </c>
      <c r="T53" s="67">
        <v>8000</v>
      </c>
      <c r="U53" s="28"/>
      <c r="V53" s="28"/>
      <c r="W53" s="28"/>
      <c r="X53" s="28"/>
      <c r="Y53" s="28">
        <v>5000</v>
      </c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S53" s="28">
        <v>18000</v>
      </c>
      <c r="AT53" s="28"/>
      <c r="AU53" s="34">
        <v>42000</v>
      </c>
      <c r="AV53" s="34"/>
      <c r="AW53" s="34"/>
      <c r="AX53" s="34">
        <v>70000</v>
      </c>
      <c r="AY53" s="28"/>
      <c r="AZ53" s="27"/>
      <c r="BA53" s="27"/>
      <c r="BB53" s="26">
        <f t="shared" si="21"/>
        <v>169000</v>
      </c>
      <c r="BC53" s="36"/>
      <c r="BD53" s="35"/>
      <c r="BE53" s="36"/>
      <c r="BF53" s="36"/>
      <c r="BG53" s="36"/>
      <c r="BH53" s="36"/>
      <c r="BI53" s="28"/>
    </row>
    <row r="54" spans="1:61" ht="18" customHeight="1" thickBot="1" x14ac:dyDescent="0.3">
      <c r="A54" s="185"/>
      <c r="B54" s="107" t="s">
        <v>38</v>
      </c>
      <c r="C54" s="39" t="s">
        <v>29</v>
      </c>
      <c r="D54" s="28"/>
      <c r="E54" s="28"/>
      <c r="F54" s="28">
        <v>1325</v>
      </c>
      <c r="G54" s="28"/>
      <c r="H54" s="28">
        <v>2981.25</v>
      </c>
      <c r="I54" s="28"/>
      <c r="J54" s="28"/>
      <c r="K54" s="28"/>
      <c r="L54" s="28">
        <v>1325</v>
      </c>
      <c r="M54" s="28"/>
      <c r="N54" s="28"/>
      <c r="O54" s="28"/>
      <c r="P54" s="28"/>
      <c r="Q54" s="28">
        <v>1656.25</v>
      </c>
      <c r="R54" s="28"/>
      <c r="S54" s="28">
        <v>1325</v>
      </c>
      <c r="T54" s="67">
        <v>2650</v>
      </c>
      <c r="U54" s="28"/>
      <c r="V54" s="28"/>
      <c r="W54" s="28"/>
      <c r="X54" s="28"/>
      <c r="Y54" s="28">
        <v>1656.25</v>
      </c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S54" s="28">
        <v>5962.5</v>
      </c>
      <c r="AT54" s="28"/>
      <c r="AU54" s="34">
        <v>13912.5</v>
      </c>
      <c r="AV54" s="34"/>
      <c r="AW54" s="34"/>
      <c r="AX54" s="34">
        <v>23187.5</v>
      </c>
      <c r="AY54" s="28"/>
      <c r="AZ54" s="27"/>
      <c r="BA54" s="27"/>
      <c r="BB54" s="26">
        <f t="shared" si="21"/>
        <v>55981.25</v>
      </c>
      <c r="BC54" s="36"/>
      <c r="BD54" s="36"/>
      <c r="BE54" s="35"/>
      <c r="BF54" s="35"/>
      <c r="BG54" s="35"/>
      <c r="BH54" s="36"/>
      <c r="BI54" s="28"/>
    </row>
    <row r="55" spans="1:61" ht="30.75" thickBot="1" x14ac:dyDescent="0.3">
      <c r="A55" s="21"/>
      <c r="B55" s="107" t="s">
        <v>38</v>
      </c>
      <c r="C55" s="49" t="s">
        <v>30</v>
      </c>
      <c r="D55" s="32"/>
      <c r="E55" s="32"/>
      <c r="F55" s="32">
        <v>0</v>
      </c>
      <c r="G55" s="32"/>
      <c r="H55" s="32">
        <v>0</v>
      </c>
      <c r="I55" s="32"/>
      <c r="J55" s="32"/>
      <c r="K55" s="32"/>
      <c r="L55" s="32">
        <v>0</v>
      </c>
      <c r="M55" s="32"/>
      <c r="N55" s="32"/>
      <c r="O55" s="32"/>
      <c r="P55" s="32"/>
      <c r="Q55" s="32">
        <v>0</v>
      </c>
      <c r="R55" s="32"/>
      <c r="S55" s="32">
        <v>0</v>
      </c>
      <c r="T55" s="76">
        <v>0</v>
      </c>
      <c r="U55" s="32"/>
      <c r="V55" s="32"/>
      <c r="W55" s="32"/>
      <c r="X55" s="32"/>
      <c r="Y55" s="32">
        <v>0</v>
      </c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S55" s="32">
        <v>0</v>
      </c>
      <c r="AT55" s="32"/>
      <c r="AU55" s="24">
        <v>0</v>
      </c>
      <c r="AV55" s="24"/>
      <c r="AW55" s="32"/>
      <c r="AX55" s="32">
        <v>0</v>
      </c>
      <c r="AY55" s="32"/>
      <c r="AZ55" s="73"/>
      <c r="BA55" s="73"/>
      <c r="BB55" s="87">
        <f t="shared" si="21"/>
        <v>0</v>
      </c>
      <c r="BE55" s="75"/>
      <c r="BF55" s="75"/>
      <c r="BG55" s="75"/>
      <c r="BI55" s="32"/>
    </row>
    <row r="56" spans="1:61" ht="21.6" customHeight="1" x14ac:dyDescent="0.25">
      <c r="A56" s="21"/>
      <c r="B56" s="107" t="s">
        <v>38</v>
      </c>
      <c r="C56" s="49" t="s">
        <v>31</v>
      </c>
      <c r="D56" s="32"/>
      <c r="E56" s="32"/>
      <c r="F56" s="32">
        <v>75</v>
      </c>
      <c r="G56" s="32"/>
      <c r="H56" s="32">
        <v>168.75</v>
      </c>
      <c r="I56" s="32"/>
      <c r="J56" s="32"/>
      <c r="K56" s="32"/>
      <c r="L56" s="32">
        <v>75</v>
      </c>
      <c r="M56" s="32"/>
      <c r="N56" s="32"/>
      <c r="O56" s="32"/>
      <c r="P56" s="32"/>
      <c r="Q56" s="32">
        <v>93.75</v>
      </c>
      <c r="R56" s="32"/>
      <c r="S56" s="32">
        <v>75</v>
      </c>
      <c r="T56" s="76">
        <v>150</v>
      </c>
      <c r="U56" s="32"/>
      <c r="V56" s="32"/>
      <c r="W56" s="32"/>
      <c r="Y56" s="32">
        <v>93.75</v>
      </c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S56" s="32">
        <v>337.5</v>
      </c>
      <c r="AT56" s="32"/>
      <c r="AU56" s="24">
        <v>787.5</v>
      </c>
      <c r="AV56" s="24"/>
      <c r="AW56" s="32"/>
      <c r="AX56" s="32">
        <v>1312.5</v>
      </c>
      <c r="AY56" s="32"/>
      <c r="AZ56" s="73"/>
      <c r="BA56" s="73"/>
      <c r="BB56" s="87">
        <f t="shared" si="21"/>
        <v>3168.75</v>
      </c>
      <c r="BE56" s="75"/>
      <c r="BF56" s="75"/>
      <c r="BG56" s="75"/>
      <c r="BI56" s="32"/>
    </row>
    <row r="57" spans="1:61" ht="16.5" thickBot="1" x14ac:dyDescent="0.3">
      <c r="A57" s="88"/>
      <c r="B57" s="116" t="s">
        <v>26</v>
      </c>
      <c r="C57" s="117"/>
      <c r="D57" s="106"/>
      <c r="E57" s="106">
        <f>SUM(E51:E56)</f>
        <v>0</v>
      </c>
      <c r="F57" s="106">
        <f>SUM(F51:F56)</f>
        <v>163400</v>
      </c>
      <c r="G57" s="106"/>
      <c r="H57" s="106">
        <f>SUM(H51:H56)</f>
        <v>348150</v>
      </c>
      <c r="I57" s="106">
        <f>SUM(I51:I56)</f>
        <v>0</v>
      </c>
      <c r="J57" s="106">
        <f>SUM(J51:J56)</f>
        <v>0</v>
      </c>
      <c r="K57" s="106">
        <f>SUM(K51:K56)</f>
        <v>0</v>
      </c>
      <c r="L57" s="106">
        <f>SUM(L51:L56)</f>
        <v>163400</v>
      </c>
      <c r="M57" s="106"/>
      <c r="N57" s="106"/>
      <c r="O57" s="106"/>
      <c r="P57" s="106">
        <f>SUM(P51:P56)</f>
        <v>0</v>
      </c>
      <c r="Q57" s="106">
        <f>SUM(Q51:Q56)</f>
        <v>145750</v>
      </c>
      <c r="R57" s="106"/>
      <c r="S57" s="106">
        <f>SUM(S51:S56)</f>
        <v>163400</v>
      </c>
      <c r="T57" s="106">
        <f>SUM(T51:T56)</f>
        <v>486800</v>
      </c>
      <c r="U57" s="106">
        <f>SUM(U51:U56)</f>
        <v>0</v>
      </c>
      <c r="V57" s="106"/>
      <c r="W57" s="106"/>
      <c r="X57" s="106">
        <f>SUM(X51:X56)</f>
        <v>0</v>
      </c>
      <c r="Y57" s="106">
        <f>SUM(Y51:Y56)</f>
        <v>186750</v>
      </c>
      <c r="Z57" s="106">
        <f>SUM(Z51:Z56)</f>
        <v>0</v>
      </c>
      <c r="AA57" s="106">
        <f>SUM(AA51:AA56)</f>
        <v>0</v>
      </c>
      <c r="AB57" s="106">
        <f>SUM(AB51:AB56)</f>
        <v>0</v>
      </c>
      <c r="AC57" s="106"/>
      <c r="AD57" s="106"/>
      <c r="AE57" s="106"/>
      <c r="AF57" s="106">
        <f>SUM(AF51:AF56)</f>
        <v>0</v>
      </c>
      <c r="AG57" s="106"/>
      <c r="AH57" s="106">
        <f>SUM(AH51:AH56)</f>
        <v>0</v>
      </c>
      <c r="AI57" s="106"/>
      <c r="AJ57" s="106">
        <f>SUM(AJ51:AJ56)</f>
        <v>0</v>
      </c>
      <c r="AK57" s="106"/>
      <c r="AL57" s="106">
        <f>SUM(AL51:AL56)</f>
        <v>0</v>
      </c>
      <c r="AM57" s="106"/>
      <c r="AN57" s="106"/>
      <c r="AO57" s="106">
        <f>SUM(AO51:AO56)</f>
        <v>0</v>
      </c>
      <c r="AP57" s="106">
        <f>SUM(AP51:AP56)</f>
        <v>0</v>
      </c>
      <c r="AQ57" s="106">
        <f>SUM(AQ51:AQ56)</f>
        <v>0</v>
      </c>
      <c r="AR57" s="106">
        <f>SUM(AR51:AR56)</f>
        <v>0</v>
      </c>
      <c r="AS57" s="106">
        <f>SUM(AS51:AS56)</f>
        <v>171000</v>
      </c>
      <c r="AT57" s="106"/>
      <c r="AU57" s="125">
        <f>SUM(AU51:AU56)</f>
        <v>399000</v>
      </c>
      <c r="AV57" s="125"/>
      <c r="AW57" s="125">
        <f>SUM(AW51:AW55)</f>
        <v>0</v>
      </c>
      <c r="AX57" s="125">
        <f>SUM(AX51:AX56)</f>
        <v>665000</v>
      </c>
      <c r="AY57" s="126"/>
      <c r="AZ57" s="106">
        <f t="shared" ref="AZ57:BA57" si="22">SUM(AZ51:AZ55)</f>
        <v>0</v>
      </c>
      <c r="BA57" s="106">
        <f t="shared" si="22"/>
        <v>0</v>
      </c>
      <c r="BB57" s="128">
        <f>SUM(D57:BA57)</f>
        <v>2892650</v>
      </c>
      <c r="BC57" s="106">
        <f t="shared" ref="BC57:BI57" si="23">SUM(BC51:BC54)</f>
        <v>0</v>
      </c>
      <c r="BD57" s="106">
        <f t="shared" si="23"/>
        <v>0</v>
      </c>
      <c r="BE57" s="106">
        <f t="shared" si="23"/>
        <v>0</v>
      </c>
      <c r="BF57" s="106">
        <f t="shared" si="23"/>
        <v>0</v>
      </c>
      <c r="BG57" s="106">
        <f t="shared" si="23"/>
        <v>0</v>
      </c>
      <c r="BH57" s="106">
        <f t="shared" si="23"/>
        <v>0</v>
      </c>
      <c r="BI57" s="106">
        <f t="shared" si="23"/>
        <v>0</v>
      </c>
    </row>
    <row r="58" spans="1:61" ht="17.25" thickTop="1" thickBot="1" x14ac:dyDescent="0.3">
      <c r="A58" s="185">
        <v>9</v>
      </c>
      <c r="B58" s="107" t="s">
        <v>39</v>
      </c>
      <c r="C58" s="23" t="s">
        <v>24</v>
      </c>
      <c r="D58" s="24"/>
      <c r="E58" s="24">
        <v>65200</v>
      </c>
      <c r="F58" s="24"/>
      <c r="G58" s="24">
        <v>63440</v>
      </c>
      <c r="H58" s="24">
        <v>4960</v>
      </c>
      <c r="I58" s="28"/>
      <c r="J58" s="24"/>
      <c r="K58" s="24">
        <v>417840</v>
      </c>
      <c r="L58" s="24"/>
      <c r="M58">
        <v>231440</v>
      </c>
      <c r="N58" s="24"/>
      <c r="O58">
        <v>167200</v>
      </c>
      <c r="P58">
        <v>219920</v>
      </c>
      <c r="Q58" s="24"/>
      <c r="R58" s="24"/>
      <c r="S58" s="24"/>
      <c r="T58" s="24"/>
      <c r="U58">
        <v>234160</v>
      </c>
      <c r="W58">
        <v>118720</v>
      </c>
      <c r="X58">
        <v>36760</v>
      </c>
      <c r="Y58" s="24"/>
      <c r="Z58">
        <v>166880</v>
      </c>
      <c r="AA58" s="24"/>
      <c r="AB58" s="24"/>
      <c r="AC58" s="24"/>
      <c r="AD58">
        <v>127200</v>
      </c>
      <c r="AE58" s="24"/>
      <c r="AF58" s="24"/>
      <c r="AG58">
        <v>122880</v>
      </c>
      <c r="AH58">
        <v>161600</v>
      </c>
      <c r="AI58" s="24"/>
      <c r="AJ58">
        <v>83360</v>
      </c>
      <c r="AK58" s="24"/>
      <c r="AL58" s="24"/>
      <c r="AM58" s="24"/>
      <c r="AN58" s="24"/>
      <c r="AO58" s="24"/>
      <c r="AP58" s="24"/>
      <c r="AQ58" s="24"/>
      <c r="AR58">
        <v>65880</v>
      </c>
      <c r="AS58" s="24"/>
      <c r="AT58" s="24"/>
      <c r="AU58" s="24"/>
      <c r="AV58" s="34"/>
      <c r="AW58" s="24"/>
      <c r="AX58" s="34"/>
      <c r="AY58" s="28"/>
      <c r="AZ58" s="24"/>
      <c r="BA58" s="28"/>
      <c r="BB58" s="65">
        <f t="shared" ref="BB58:BB63" si="24">SUM(E58:BA58)</f>
        <v>2287440</v>
      </c>
      <c r="BC58" s="27">
        <v>0</v>
      </c>
      <c r="BD58" s="27">
        <v>0</v>
      </c>
      <c r="BE58" s="27">
        <v>0</v>
      </c>
      <c r="BF58" s="27">
        <v>0</v>
      </c>
      <c r="BG58" s="27">
        <f>BB58</f>
        <v>2287440</v>
      </c>
      <c r="BH58" s="27">
        <v>0</v>
      </c>
      <c r="BI58" s="28">
        <f>SUM(BC58:BH58)</f>
        <v>2287440</v>
      </c>
    </row>
    <row r="59" spans="1:61" ht="16.5" thickBot="1" x14ac:dyDescent="0.3">
      <c r="A59" s="185"/>
      <c r="B59" s="107" t="s">
        <v>39</v>
      </c>
      <c r="C59" s="23" t="s">
        <v>25</v>
      </c>
      <c r="D59" s="28"/>
      <c r="E59" s="28">
        <f>14344+1956</f>
        <v>16300</v>
      </c>
      <c r="F59" s="28"/>
      <c r="G59" s="28">
        <f>13956.8+1903.2</f>
        <v>15860</v>
      </c>
      <c r="H59" s="28">
        <f>1091.2+148.8</f>
        <v>1240</v>
      </c>
      <c r="I59" s="28"/>
      <c r="J59" s="28"/>
      <c r="K59" s="28">
        <f>91924.8+12535.2</f>
        <v>104460</v>
      </c>
      <c r="L59" s="28"/>
      <c r="M59" s="28">
        <f>50916.8+6943.2</f>
        <v>57860</v>
      </c>
      <c r="N59" s="28"/>
      <c r="O59" s="28">
        <f>36784+5016</f>
        <v>41800</v>
      </c>
      <c r="P59" s="28">
        <f>48382.4+6597.6</f>
        <v>54980</v>
      </c>
      <c r="Q59" s="28"/>
      <c r="R59" s="28"/>
      <c r="S59" s="28"/>
      <c r="T59" s="67"/>
      <c r="U59" s="28">
        <f>51515.2+7024.8</f>
        <v>58540</v>
      </c>
      <c r="V59" s="32"/>
      <c r="W59" s="32">
        <f>26118.4+3561.6</f>
        <v>29680</v>
      </c>
      <c r="X59" s="28">
        <f>8087.2+1102.8</f>
        <v>9190</v>
      </c>
      <c r="Y59" s="28"/>
      <c r="Z59" s="28">
        <f>36713.6+5006.4</f>
        <v>41720</v>
      </c>
      <c r="AA59" s="28"/>
      <c r="AB59" s="28"/>
      <c r="AC59" s="28"/>
      <c r="AD59" s="28">
        <f>27984+3816</f>
        <v>31800</v>
      </c>
      <c r="AE59" s="28"/>
      <c r="AF59" s="28"/>
      <c r="AG59" s="28">
        <f>27033.6+3686.4</f>
        <v>30720</v>
      </c>
      <c r="AH59" s="28">
        <f>35552+4848</f>
        <v>40400</v>
      </c>
      <c r="AI59" s="28"/>
      <c r="AJ59" s="28">
        <f>18339.2+2500.8</f>
        <v>20840</v>
      </c>
      <c r="AK59" s="28"/>
      <c r="AL59" s="28"/>
      <c r="AM59" s="28"/>
      <c r="AN59" s="28"/>
      <c r="AO59" s="28"/>
      <c r="AP59" s="28"/>
      <c r="AQ59" s="28"/>
      <c r="AR59" s="28">
        <f>14493.6+1976.4</f>
        <v>16470</v>
      </c>
      <c r="AS59" s="28"/>
      <c r="AT59" s="28"/>
      <c r="AU59" s="34"/>
      <c r="AV59" s="34"/>
      <c r="AW59" s="34"/>
      <c r="AX59" s="34"/>
      <c r="AY59" s="28"/>
      <c r="AZ59" s="27"/>
      <c r="BA59" s="27"/>
      <c r="BB59" s="26">
        <f t="shared" si="24"/>
        <v>571860</v>
      </c>
      <c r="BC59" s="35">
        <f>BB59*0.12</f>
        <v>68623.199999999997</v>
      </c>
      <c r="BD59" s="36"/>
      <c r="BE59" s="36"/>
      <c r="BF59" s="36"/>
      <c r="BG59" s="36"/>
      <c r="BH59" s="35">
        <f>0.88*BB59</f>
        <v>503236.8</v>
      </c>
      <c r="BI59" s="28">
        <f>SUM(BC59:BH59)</f>
        <v>571860</v>
      </c>
    </row>
    <row r="60" spans="1:61" ht="16.5" thickBot="1" x14ac:dyDescent="0.3">
      <c r="A60" s="185"/>
      <c r="B60" s="107" t="s">
        <v>39</v>
      </c>
      <c r="C60" s="23" t="s">
        <v>28</v>
      </c>
      <c r="D60" s="28"/>
      <c r="E60" s="28">
        <v>3000</v>
      </c>
      <c r="F60" s="28"/>
      <c r="G60" s="28">
        <v>3000</v>
      </c>
      <c r="H60" s="28">
        <v>2000</v>
      </c>
      <c r="I60" s="28"/>
      <c r="J60" s="28"/>
      <c r="K60" s="28">
        <v>20000</v>
      </c>
      <c r="L60" s="28"/>
      <c r="M60" s="28">
        <v>11000</v>
      </c>
      <c r="N60" s="28"/>
      <c r="O60" s="28">
        <v>8000</v>
      </c>
      <c r="P60" s="28">
        <v>11000</v>
      </c>
      <c r="Q60" s="28"/>
      <c r="R60" s="28"/>
      <c r="S60" s="28"/>
      <c r="T60" s="67"/>
      <c r="U60" s="28">
        <v>11000</v>
      </c>
      <c r="V60" s="32"/>
      <c r="W60" s="32">
        <v>6000</v>
      </c>
      <c r="X60" s="28">
        <v>2000</v>
      </c>
      <c r="Y60" s="28"/>
      <c r="Z60" s="28">
        <v>8000</v>
      </c>
      <c r="AA60" s="28"/>
      <c r="AB60" s="28"/>
      <c r="AC60" s="28"/>
      <c r="AD60" s="28">
        <v>6000</v>
      </c>
      <c r="AE60" s="28"/>
      <c r="AF60" s="28"/>
      <c r="AG60" s="28">
        <v>6000</v>
      </c>
      <c r="AH60" s="28">
        <v>8000</v>
      </c>
      <c r="AI60" s="28"/>
      <c r="AJ60" s="28">
        <v>4000</v>
      </c>
      <c r="AK60" s="28"/>
      <c r="AL60" s="28"/>
      <c r="AM60" s="28"/>
      <c r="AN60" s="28"/>
      <c r="AO60" s="28"/>
      <c r="AP60" s="28"/>
      <c r="AQ60" s="28"/>
      <c r="AR60" s="28">
        <v>3000</v>
      </c>
      <c r="AT60" s="28"/>
      <c r="AU60" s="34"/>
      <c r="AV60" s="34"/>
      <c r="AW60" s="34"/>
      <c r="AX60" s="34"/>
      <c r="AY60" s="28"/>
      <c r="AZ60" s="27"/>
      <c r="BA60" s="27"/>
      <c r="BB60" s="26">
        <f t="shared" si="24"/>
        <v>112000</v>
      </c>
      <c r="BC60" s="36"/>
      <c r="BD60" s="35">
        <f>BB60</f>
        <v>112000</v>
      </c>
      <c r="BE60" s="36"/>
      <c r="BF60" s="36"/>
      <c r="BG60" s="36"/>
      <c r="BH60" s="36"/>
      <c r="BI60" s="28">
        <f>SUM(BC60:BH60)</f>
        <v>112000</v>
      </c>
    </row>
    <row r="61" spans="1:61" ht="16.5" thickBot="1" x14ac:dyDescent="0.3">
      <c r="A61" s="185"/>
      <c r="B61" s="129" t="s">
        <v>39</v>
      </c>
      <c r="C61" s="69" t="s">
        <v>29</v>
      </c>
      <c r="D61" s="130"/>
      <c r="E61" s="70">
        <v>1987.5</v>
      </c>
      <c r="F61" s="70"/>
      <c r="G61" s="70">
        <v>1987.5</v>
      </c>
      <c r="H61" s="70">
        <v>662.5</v>
      </c>
      <c r="I61" s="70"/>
      <c r="J61" s="70"/>
      <c r="K61" s="70">
        <v>7618.75</v>
      </c>
      <c r="L61" s="70"/>
      <c r="M61" s="70">
        <v>4306.25</v>
      </c>
      <c r="N61" s="70"/>
      <c r="O61" s="70">
        <v>2650</v>
      </c>
      <c r="P61" s="70">
        <v>4968.75</v>
      </c>
      <c r="Q61" s="70"/>
      <c r="R61" s="70"/>
      <c r="S61" s="70"/>
      <c r="T61" s="131"/>
      <c r="U61" s="70">
        <v>4637.5</v>
      </c>
      <c r="V61" s="32"/>
      <c r="W61" s="32">
        <v>2318.75</v>
      </c>
      <c r="X61" s="70">
        <v>662.5</v>
      </c>
      <c r="Y61" s="70"/>
      <c r="Z61" s="70">
        <v>2650</v>
      </c>
      <c r="AA61" s="70"/>
      <c r="AB61" s="70"/>
      <c r="AC61" s="70"/>
      <c r="AD61" s="70">
        <v>2650</v>
      </c>
      <c r="AE61" s="70"/>
      <c r="AF61" s="70"/>
      <c r="AG61" s="70">
        <v>2318.75</v>
      </c>
      <c r="AH61" s="70">
        <v>2650</v>
      </c>
      <c r="AI61" s="70"/>
      <c r="AJ61" s="70">
        <v>1656.25</v>
      </c>
      <c r="AK61" s="70"/>
      <c r="AL61" s="70"/>
      <c r="AM61" s="70"/>
      <c r="AN61" s="70"/>
      <c r="AO61" s="70"/>
      <c r="AP61" s="70"/>
      <c r="AQ61" s="70"/>
      <c r="AR61" s="42">
        <v>993.75</v>
      </c>
      <c r="AS61" s="28"/>
      <c r="AT61" s="70"/>
      <c r="AU61" s="72"/>
      <c r="AV61" s="72"/>
      <c r="AW61" s="72"/>
      <c r="AX61" s="72"/>
      <c r="AY61" s="70"/>
      <c r="AZ61" s="73"/>
      <c r="BA61" s="73"/>
      <c r="BB61" s="74">
        <f t="shared" si="24"/>
        <v>44718.75</v>
      </c>
      <c r="BE61" s="75">
        <f>100/350*BB61</f>
        <v>12776.785714285714</v>
      </c>
      <c r="BF61" s="75">
        <f>250/350*BB61</f>
        <v>31941.964285714286</v>
      </c>
      <c r="BG61" s="75"/>
      <c r="BI61" s="33">
        <f>SUM(BC61:BH61)</f>
        <v>44718.75</v>
      </c>
    </row>
    <row r="62" spans="1:61" ht="16.5" thickBot="1" x14ac:dyDescent="0.3">
      <c r="A62" s="21"/>
      <c r="B62" s="129" t="s">
        <v>39</v>
      </c>
      <c r="C62" s="49" t="s">
        <v>30</v>
      </c>
      <c r="D62" s="70"/>
      <c r="E62" s="70">
        <v>0</v>
      </c>
      <c r="F62" s="70"/>
      <c r="G62" s="70">
        <v>0</v>
      </c>
      <c r="H62" s="70">
        <v>0</v>
      </c>
      <c r="I62" s="70"/>
      <c r="J62" s="70"/>
      <c r="K62" s="70">
        <v>0</v>
      </c>
      <c r="L62" s="70"/>
      <c r="M62" s="70">
        <v>0</v>
      </c>
      <c r="N62" s="70"/>
      <c r="O62" s="70">
        <v>0</v>
      </c>
      <c r="P62" s="70">
        <v>0</v>
      </c>
      <c r="Q62" s="70"/>
      <c r="R62" s="70"/>
      <c r="S62" s="70"/>
      <c r="T62" s="71"/>
      <c r="U62" s="70">
        <v>0</v>
      </c>
      <c r="V62" s="70"/>
      <c r="W62" s="70">
        <v>0</v>
      </c>
      <c r="X62" s="70">
        <v>0</v>
      </c>
      <c r="Y62" s="70"/>
      <c r="Z62" s="70">
        <v>0</v>
      </c>
      <c r="AA62" s="70"/>
      <c r="AB62" s="70"/>
      <c r="AC62" s="70"/>
      <c r="AD62" s="70">
        <v>0</v>
      </c>
      <c r="AE62" s="70"/>
      <c r="AF62" s="70"/>
      <c r="AG62" s="70">
        <v>0</v>
      </c>
      <c r="AH62" s="70">
        <v>0</v>
      </c>
      <c r="AI62" s="70"/>
      <c r="AJ62" s="70">
        <v>0</v>
      </c>
      <c r="AK62" s="70"/>
      <c r="AL62" s="70"/>
      <c r="AM62" s="70"/>
      <c r="AN62" s="70"/>
      <c r="AO62" s="70"/>
      <c r="AP62" s="70"/>
      <c r="AQ62" s="70"/>
      <c r="AR62" s="84">
        <v>0</v>
      </c>
      <c r="AS62" s="70"/>
      <c r="AT62" s="70"/>
      <c r="AU62" s="72"/>
      <c r="AV62" s="72"/>
      <c r="AW62" s="72"/>
      <c r="AX62" s="72"/>
      <c r="AY62" s="70"/>
      <c r="AZ62" s="73"/>
      <c r="BA62" s="73"/>
      <c r="BB62" s="74">
        <f t="shared" si="24"/>
        <v>0</v>
      </c>
      <c r="BE62" s="75"/>
      <c r="BF62" s="75"/>
      <c r="BG62" s="75"/>
      <c r="BI62" s="33"/>
    </row>
    <row r="63" spans="1:61" ht="16.5" thickBot="1" x14ac:dyDescent="0.3">
      <c r="A63" s="21"/>
      <c r="B63" s="129" t="s">
        <v>39</v>
      </c>
      <c r="C63" s="77" t="s">
        <v>31</v>
      </c>
      <c r="D63" s="70"/>
      <c r="E63" s="70">
        <v>112.5</v>
      </c>
      <c r="F63" s="70"/>
      <c r="G63" s="70">
        <v>112.5</v>
      </c>
      <c r="H63" s="70">
        <v>37.5</v>
      </c>
      <c r="I63" s="70"/>
      <c r="J63" s="70"/>
      <c r="K63" s="70">
        <v>431.25</v>
      </c>
      <c r="L63" s="70"/>
      <c r="M63" s="70">
        <v>243.75</v>
      </c>
      <c r="N63" s="70"/>
      <c r="O63" s="70">
        <v>150</v>
      </c>
      <c r="P63" s="70">
        <v>281.25</v>
      </c>
      <c r="Q63" s="70"/>
      <c r="R63" s="70"/>
      <c r="S63" s="70"/>
      <c r="T63" s="71"/>
      <c r="U63" s="70">
        <v>262.5</v>
      </c>
      <c r="V63" s="70"/>
      <c r="W63" s="70">
        <v>131.25</v>
      </c>
      <c r="X63" s="70">
        <v>37.5</v>
      </c>
      <c r="Y63" s="70"/>
      <c r="Z63" s="70">
        <v>150</v>
      </c>
      <c r="AA63" s="70"/>
      <c r="AB63" s="70"/>
      <c r="AD63" s="70">
        <v>150</v>
      </c>
      <c r="AE63" s="70"/>
      <c r="AF63" s="70"/>
      <c r="AG63" s="70">
        <v>131.25</v>
      </c>
      <c r="AH63" s="70">
        <v>150</v>
      </c>
      <c r="AI63" s="70"/>
      <c r="AJ63" s="70">
        <v>93.75</v>
      </c>
      <c r="AK63" s="70"/>
      <c r="AL63" s="70"/>
      <c r="AM63" s="70"/>
      <c r="AN63" s="70"/>
      <c r="AO63" s="70"/>
      <c r="AP63" s="70"/>
      <c r="AQ63" s="70"/>
      <c r="AR63" s="84">
        <v>56.25</v>
      </c>
      <c r="AS63" s="70"/>
      <c r="AT63" s="70"/>
      <c r="AU63" s="72"/>
      <c r="AV63" s="72"/>
      <c r="AW63" s="72"/>
      <c r="AX63" s="72"/>
      <c r="AY63" s="70"/>
      <c r="AZ63" s="73"/>
      <c r="BA63" s="73"/>
      <c r="BB63" s="74">
        <f t="shared" si="24"/>
        <v>2531.25</v>
      </c>
      <c r="BE63" s="75"/>
      <c r="BF63" s="75"/>
      <c r="BG63" s="75"/>
      <c r="BI63" s="33"/>
    </row>
    <row r="64" spans="1:61" ht="16.5" thickBot="1" x14ac:dyDescent="0.3">
      <c r="A64" s="88"/>
      <c r="B64" s="116" t="s">
        <v>26</v>
      </c>
      <c r="C64" s="117"/>
      <c r="D64" s="132">
        <f>SUM(D58:D63)</f>
        <v>0</v>
      </c>
      <c r="E64" s="132">
        <f>SUM(E58:E63)</f>
        <v>86600</v>
      </c>
      <c r="F64" s="132">
        <f>SUM(F58:F63)</f>
        <v>0</v>
      </c>
      <c r="G64" s="132">
        <f>SUM(G58:G63)</f>
        <v>84400</v>
      </c>
      <c r="H64" s="132">
        <f>SUM(H58:H63)</f>
        <v>8900</v>
      </c>
      <c r="I64" s="132"/>
      <c r="J64" s="132"/>
      <c r="K64" s="132">
        <f t="shared" ref="K64:P64" si="25">SUM(K58:K63)</f>
        <v>550350</v>
      </c>
      <c r="L64" s="132">
        <f t="shared" si="25"/>
        <v>0</v>
      </c>
      <c r="M64" s="132">
        <f t="shared" si="25"/>
        <v>304850</v>
      </c>
      <c r="N64" s="132">
        <f t="shared" si="25"/>
        <v>0</v>
      </c>
      <c r="O64" s="132">
        <f t="shared" si="25"/>
        <v>219800</v>
      </c>
      <c r="P64" s="132">
        <f t="shared" si="25"/>
        <v>291150</v>
      </c>
      <c r="Q64" s="132">
        <f>SUM(Q58:Q62)</f>
        <v>0</v>
      </c>
      <c r="R64" s="132">
        <f>SUM(R58:R63)</f>
        <v>0</v>
      </c>
      <c r="S64" s="132">
        <f>SUM(S58:S62)</f>
        <v>0</v>
      </c>
      <c r="T64" s="132">
        <f t="shared" ref="T64:Y64" si="26">SUM(T58:T63)</f>
        <v>0</v>
      </c>
      <c r="U64" s="132">
        <f t="shared" si="26"/>
        <v>308600</v>
      </c>
      <c r="V64" s="132">
        <f t="shared" si="26"/>
        <v>0</v>
      </c>
      <c r="W64" s="132">
        <f t="shared" si="26"/>
        <v>156850</v>
      </c>
      <c r="X64" s="132">
        <f t="shared" si="26"/>
        <v>48650</v>
      </c>
      <c r="Y64" s="132">
        <f t="shared" si="26"/>
        <v>0</v>
      </c>
      <c r="Z64" s="132">
        <f>SUM(Z58:Z63)</f>
        <v>219400</v>
      </c>
      <c r="AA64" s="132">
        <f>SUM(AA58:AA62)</f>
        <v>0</v>
      </c>
      <c r="AB64" s="132">
        <f>SUM(AB58:AB63)</f>
        <v>0</v>
      </c>
      <c r="AC64" s="132">
        <f>SUM(AC58:AC63)</f>
        <v>0</v>
      </c>
      <c r="AD64" s="132">
        <f>SUM(AD58:AD63)</f>
        <v>167800</v>
      </c>
      <c r="AE64" s="132">
        <f>SUM(AE58:AE63)</f>
        <v>0</v>
      </c>
      <c r="AF64" s="132"/>
      <c r="AG64" s="132">
        <f t="shared" ref="AG64:AL64" si="27">SUM(AG58:AG63)</f>
        <v>162050</v>
      </c>
      <c r="AH64" s="132">
        <f t="shared" si="27"/>
        <v>212800</v>
      </c>
      <c r="AI64" s="132">
        <f t="shared" si="27"/>
        <v>0</v>
      </c>
      <c r="AJ64" s="132">
        <f t="shared" si="27"/>
        <v>109950</v>
      </c>
      <c r="AK64" s="132">
        <f t="shared" si="27"/>
        <v>0</v>
      </c>
      <c r="AL64" s="132">
        <f t="shared" si="27"/>
        <v>0</v>
      </c>
      <c r="AM64" s="132"/>
      <c r="AN64" s="132"/>
      <c r="AO64" s="132">
        <f>SUM(AO58:AO63)</f>
        <v>0</v>
      </c>
      <c r="AP64" s="132">
        <f>SUM(AP58:AP62)</f>
        <v>0</v>
      </c>
      <c r="AQ64" s="132">
        <f>SUM(AQ58:AQ63)</f>
        <v>0</v>
      </c>
      <c r="AR64" s="132">
        <f>SUM(AR58:AR63)</f>
        <v>86400</v>
      </c>
      <c r="AS64" s="132">
        <f>SUM(AS58:AS63)</f>
        <v>0</v>
      </c>
      <c r="AT64" s="132"/>
      <c r="AU64" s="133">
        <f>SUM(AU58:AU63)</f>
        <v>0</v>
      </c>
      <c r="AV64" s="134"/>
      <c r="AW64" s="95">
        <f>SUM(AW58:AW63)</f>
        <v>0</v>
      </c>
      <c r="AX64" s="134"/>
      <c r="AY64" s="135"/>
      <c r="AZ64" s="97">
        <f>SUM(AZ58:AZ62)</f>
        <v>0</v>
      </c>
      <c r="BA64" s="97"/>
      <c r="BB64" s="136">
        <f>SUM(D64:BA64)</f>
        <v>3018550</v>
      </c>
      <c r="BC64" s="94">
        <f t="shared" ref="BC64:BI64" si="28">SUM(BC58:BC61)</f>
        <v>68623.199999999997</v>
      </c>
      <c r="BD64" s="94">
        <f t="shared" si="28"/>
        <v>112000</v>
      </c>
      <c r="BE64" s="94">
        <f t="shared" si="28"/>
        <v>12776.785714285714</v>
      </c>
      <c r="BF64" s="94">
        <f t="shared" si="28"/>
        <v>31941.964285714286</v>
      </c>
      <c r="BG64" s="94">
        <f t="shared" si="28"/>
        <v>2287440</v>
      </c>
      <c r="BH64" s="94">
        <f t="shared" si="28"/>
        <v>503236.8</v>
      </c>
      <c r="BI64" s="94">
        <f t="shared" si="28"/>
        <v>3016018.75</v>
      </c>
    </row>
    <row r="65" spans="1:61" ht="16.5" thickBot="1" x14ac:dyDescent="0.3">
      <c r="A65" s="25"/>
      <c r="B65" s="137"/>
      <c r="C65" s="77"/>
      <c r="D65" s="32"/>
      <c r="E65" s="32"/>
      <c r="F65" s="138"/>
      <c r="G65" s="138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Y65" s="73"/>
      <c r="AZ65" s="73"/>
      <c r="BA65" s="73"/>
      <c r="BB65" s="138"/>
    </row>
    <row r="66" spans="1:61" ht="15.75" thickBot="1" x14ac:dyDescent="0.3">
      <c r="A66" s="139"/>
      <c r="B66" s="140" t="s">
        <v>40</v>
      </c>
      <c r="C66" s="141"/>
      <c r="D66" s="142">
        <f>SUM(D8+D15+D22+D29+D36+D43+D57+D64)</f>
        <v>1633390</v>
      </c>
      <c r="E66" s="142">
        <f t="shared" ref="E66:BA66" si="29">SUM(E8+E15+E22+E29+E36+E43+E57+E64)</f>
        <v>93300</v>
      </c>
      <c r="F66" s="142">
        <f t="shared" si="29"/>
        <v>1556120</v>
      </c>
      <c r="G66" s="142">
        <f t="shared" si="29"/>
        <v>246950</v>
      </c>
      <c r="H66" s="142">
        <f t="shared" si="29"/>
        <v>3573350</v>
      </c>
      <c r="I66" s="142">
        <f t="shared" si="29"/>
        <v>161550</v>
      </c>
      <c r="J66" s="142">
        <f t="shared" si="29"/>
        <v>1765580</v>
      </c>
      <c r="K66" s="142">
        <f t="shared" si="29"/>
        <v>847050</v>
      </c>
      <c r="L66" s="142">
        <f t="shared" si="29"/>
        <v>1648900</v>
      </c>
      <c r="M66" s="142">
        <f t="shared" si="29"/>
        <v>420250</v>
      </c>
      <c r="N66" s="142">
        <f t="shared" si="29"/>
        <v>1006050</v>
      </c>
      <c r="O66" s="142">
        <f t="shared" si="29"/>
        <v>352810</v>
      </c>
      <c r="P66" s="142">
        <f t="shared" si="29"/>
        <v>543100</v>
      </c>
      <c r="Q66" s="142">
        <f t="shared" si="29"/>
        <v>1332070</v>
      </c>
      <c r="R66" s="142">
        <f t="shared" si="29"/>
        <v>442650</v>
      </c>
      <c r="S66" s="142">
        <f t="shared" si="29"/>
        <v>3470740</v>
      </c>
      <c r="T66" s="142">
        <f t="shared" si="29"/>
        <v>1517600</v>
      </c>
      <c r="U66" s="142">
        <f t="shared" si="29"/>
        <v>993250</v>
      </c>
      <c r="V66" s="142">
        <f t="shared" si="29"/>
        <v>2965410</v>
      </c>
      <c r="W66" s="142">
        <f t="shared" si="29"/>
        <v>1182500</v>
      </c>
      <c r="X66" s="142">
        <f t="shared" si="29"/>
        <v>1135400</v>
      </c>
      <c r="Y66" s="142">
        <f t="shared" si="29"/>
        <v>2798420</v>
      </c>
      <c r="Z66" s="142">
        <f t="shared" si="29"/>
        <v>1063450</v>
      </c>
      <c r="AA66" s="142">
        <f t="shared" si="29"/>
        <v>2692780</v>
      </c>
      <c r="AB66" s="142">
        <f t="shared" si="29"/>
        <v>2827850</v>
      </c>
      <c r="AC66" s="142">
        <f t="shared" si="29"/>
        <v>3380300.75</v>
      </c>
      <c r="AD66" s="142">
        <f t="shared" si="29"/>
        <v>1587300</v>
      </c>
      <c r="AE66" s="142">
        <f t="shared" si="29"/>
        <v>3404470</v>
      </c>
      <c r="AF66" s="142">
        <f t="shared" si="29"/>
        <v>3725470</v>
      </c>
      <c r="AG66" s="142">
        <f t="shared" si="29"/>
        <v>910450</v>
      </c>
      <c r="AH66" s="142">
        <f t="shared" si="29"/>
        <v>1823930</v>
      </c>
      <c r="AI66" s="143">
        <f t="shared" si="29"/>
        <v>2592960</v>
      </c>
      <c r="AJ66" s="142">
        <f t="shared" si="29"/>
        <v>2788450</v>
      </c>
      <c r="AK66" s="142">
        <f t="shared" si="29"/>
        <v>2574240</v>
      </c>
      <c r="AL66" s="142">
        <f t="shared" si="29"/>
        <v>1189750</v>
      </c>
      <c r="AM66" s="142">
        <f>SUM(AM43+AM8+AM15+AM29)</f>
        <v>1716320</v>
      </c>
      <c r="AN66" s="142">
        <f t="shared" si="29"/>
        <v>1215650</v>
      </c>
      <c r="AO66" s="142">
        <f t="shared" si="29"/>
        <v>285190</v>
      </c>
      <c r="AP66" s="142">
        <f t="shared" si="29"/>
        <v>665150</v>
      </c>
      <c r="AQ66" s="142">
        <f t="shared" si="29"/>
        <v>105550</v>
      </c>
      <c r="AR66" s="142">
        <f t="shared" si="29"/>
        <v>332350</v>
      </c>
      <c r="AS66" s="142">
        <f t="shared" si="29"/>
        <v>3298150</v>
      </c>
      <c r="AT66" s="142">
        <f t="shared" si="29"/>
        <v>267920</v>
      </c>
      <c r="AU66" s="142">
        <f t="shared" si="29"/>
        <v>2419400</v>
      </c>
      <c r="AV66" s="142">
        <f t="shared" si="29"/>
        <v>180150</v>
      </c>
      <c r="AW66" s="142">
        <f t="shared" si="29"/>
        <v>11500</v>
      </c>
      <c r="AX66" s="142">
        <f t="shared" si="29"/>
        <v>2652380</v>
      </c>
      <c r="AY66" s="142">
        <f t="shared" si="29"/>
        <v>0</v>
      </c>
      <c r="AZ66" s="142">
        <f t="shared" si="29"/>
        <v>0</v>
      </c>
      <c r="BA66" s="142">
        <f t="shared" si="29"/>
        <v>0</v>
      </c>
      <c r="BB66" s="144">
        <f>SUM(BB8+BB15+BB22+BB29+BB36+BB43+BB49+BB57+BB64)</f>
        <v>73397550.75</v>
      </c>
      <c r="BC66" s="144">
        <f t="shared" ref="BC66:BI66" si="30">BC8+BC15+BC22+BC29+BC36+BC43+BC50+BC57+BC64</f>
        <v>176153.05799999999</v>
      </c>
      <c r="BD66" s="144">
        <f t="shared" si="30"/>
        <v>721000</v>
      </c>
      <c r="BE66" s="144">
        <f t="shared" si="30"/>
        <v>115842.85714285713</v>
      </c>
      <c r="BF66" s="144">
        <f t="shared" si="30"/>
        <v>289607.14285714284</v>
      </c>
      <c r="BG66" s="144">
        <f t="shared" si="30"/>
        <v>5871768.5999999996</v>
      </c>
      <c r="BH66" s="145">
        <f t="shared" si="30"/>
        <v>1291789.0919999999</v>
      </c>
      <c r="BI66" s="146">
        <f t="shared" si="30"/>
        <v>8466160.75</v>
      </c>
    </row>
    <row r="67" spans="1:61" x14ac:dyDescent="0.25">
      <c r="A67" s="147"/>
      <c r="B67" s="147"/>
      <c r="C67" s="147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50"/>
    </row>
    <row r="68" spans="1:61" x14ac:dyDescent="0.25">
      <c r="A68" s="147"/>
      <c r="B68" s="147"/>
      <c r="C68" s="151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  <c r="AT68" s="148"/>
      <c r="AU68" s="148"/>
      <c r="AV68" s="148"/>
      <c r="AW68" s="148"/>
      <c r="AX68" s="148"/>
      <c r="AY68" s="148"/>
      <c r="AZ68" s="148"/>
      <c r="BA68" s="148"/>
      <c r="BB68" s="150"/>
    </row>
    <row r="69" spans="1:61" x14ac:dyDescent="0.25">
      <c r="A69" s="147"/>
      <c r="B69" s="147"/>
      <c r="C69" s="151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</row>
    <row r="70" spans="1:61" x14ac:dyDescent="0.25">
      <c r="A70" s="152">
        <v>10</v>
      </c>
      <c r="B70" s="4" t="s">
        <v>41</v>
      </c>
      <c r="C70" s="4"/>
      <c r="D70" s="1">
        <f>734892.74+110000</f>
        <v>844892.74</v>
      </c>
      <c r="E70" s="2"/>
      <c r="F70" s="1">
        <f>5737323.37</f>
        <v>5737323.3700000001</v>
      </c>
      <c r="G70" s="1"/>
      <c r="H70" s="1">
        <f>1153998.88+318424.4</f>
        <v>1472423.2799999998</v>
      </c>
      <c r="I70" s="3"/>
      <c r="J70" s="4">
        <f>583811.15</f>
        <v>583811.15</v>
      </c>
      <c r="K70" s="5">
        <f>80771.67</f>
        <v>80771.67</v>
      </c>
      <c r="L70" s="6">
        <f>1984269.22+232781.25</f>
        <v>2217050.4699999997</v>
      </c>
      <c r="M70" s="1"/>
      <c r="N70" s="1">
        <v>105000</v>
      </c>
      <c r="O70" s="3">
        <f>25753.11+4998611.08</f>
        <v>5024364.1900000004</v>
      </c>
      <c r="P70" s="6">
        <f>40872</f>
        <v>40872</v>
      </c>
      <c r="Q70" s="7">
        <f>1151525.71</f>
        <v>1151525.71</v>
      </c>
      <c r="R70" s="4">
        <v>140000</v>
      </c>
      <c r="S70" s="3">
        <f>1825624.11+45000</f>
        <v>1870624.11</v>
      </c>
      <c r="T70" s="2">
        <f>1058644.67</f>
        <v>1058644.67</v>
      </c>
      <c r="U70" s="2">
        <v>11193.1</v>
      </c>
      <c r="V70" s="2">
        <f>614915.32</f>
        <v>614915.31999999995</v>
      </c>
      <c r="W70" s="2">
        <f>11000+4276850.57</f>
        <v>4287850.57</v>
      </c>
      <c r="X70">
        <f>2000+2848370.04</f>
        <v>2850370.04</v>
      </c>
      <c r="Y70" s="3">
        <v>1750</v>
      </c>
      <c r="Z70" s="6">
        <f>6208.81+227922.82</f>
        <v>234131.63</v>
      </c>
      <c r="AA70" s="1">
        <f>28350</f>
        <v>28350</v>
      </c>
      <c r="AB70" s="1">
        <f>1211906.1</f>
        <v>1211906.1000000001</v>
      </c>
      <c r="AC70" s="3">
        <f>50000</f>
        <v>50000</v>
      </c>
      <c r="AD70" s="1">
        <f>635285.29</f>
        <v>635285.29</v>
      </c>
      <c r="AE70" s="5">
        <f>93350</f>
        <v>93350</v>
      </c>
      <c r="AF70" s="6">
        <f>1256313.58+371660.1</f>
        <v>1627973.6800000002</v>
      </c>
      <c r="AG70" s="8">
        <v>1084237.06</v>
      </c>
      <c r="AH70" s="1">
        <f>2927786.37</f>
        <v>2927786.37</v>
      </c>
      <c r="AI70" s="5">
        <f>19614.4+319555</f>
        <v>339169.4</v>
      </c>
      <c r="AJ70" s="1">
        <f>876696.86+10301.55</f>
        <v>886998.41</v>
      </c>
      <c r="AK70" s="5">
        <f>448100</f>
        <v>448100</v>
      </c>
      <c r="AL70" s="6">
        <f>499069.23+25753.11</f>
        <v>524822.34</v>
      </c>
      <c r="AM70" s="6"/>
      <c r="AN70" s="5"/>
      <c r="AO70" s="6"/>
      <c r="AP70" s="5"/>
      <c r="AQ70" s="6"/>
      <c r="AR70" s="3">
        <f>1239274.5</f>
        <v>1239274.5</v>
      </c>
      <c r="AS70" s="6"/>
      <c r="AT70" s="3">
        <f>20000+187912.63</f>
        <v>207912.63</v>
      </c>
      <c r="AU70" s="6">
        <f>396200</f>
        <v>396200</v>
      </c>
      <c r="AV70" s="9">
        <f>286000+12369.06</f>
        <v>298369.06</v>
      </c>
      <c r="AW70" s="6">
        <f>3852525.33</f>
        <v>3852525.33</v>
      </c>
      <c r="AX70" s="6">
        <v>67000</v>
      </c>
      <c r="AY70" s="6">
        <v>0</v>
      </c>
      <c r="AZ70" s="6">
        <v>0</v>
      </c>
      <c r="BA70" s="6">
        <v>0</v>
      </c>
      <c r="BB70" s="6">
        <f>SUM(D70:BA70)</f>
        <v>44246774.189999998</v>
      </c>
      <c r="BC70" s="153">
        <v>0</v>
      </c>
      <c r="BD70" s="153">
        <f>SUM(D70:BB70)</f>
        <v>88493548.379999995</v>
      </c>
      <c r="BE70" s="153"/>
      <c r="BF70" s="153"/>
      <c r="BG70" s="153"/>
      <c r="BH70" s="153"/>
      <c r="BI70" s="153"/>
    </row>
    <row r="71" spans="1:61" ht="15.75" thickBot="1" x14ac:dyDescent="0.3">
      <c r="A71" s="154"/>
      <c r="B71" s="155"/>
      <c r="C71" s="155"/>
      <c r="D71" s="2">
        <f>SUM(D66+D70)</f>
        <v>2478282.7400000002</v>
      </c>
      <c r="E71" s="2">
        <f t="shared" ref="E71:BA71" si="31">SUM(E66+E70)</f>
        <v>93300</v>
      </c>
      <c r="F71" s="156">
        <f t="shared" si="31"/>
        <v>7293443.3700000001</v>
      </c>
      <c r="G71" s="156">
        <f t="shared" si="31"/>
        <v>246950</v>
      </c>
      <c r="H71" s="156">
        <f t="shared" si="31"/>
        <v>5045773.2799999993</v>
      </c>
      <c r="I71" s="156">
        <f t="shared" si="31"/>
        <v>161550</v>
      </c>
      <c r="J71" s="156">
        <f t="shared" si="31"/>
        <v>2349391.15</v>
      </c>
      <c r="K71" s="156">
        <f t="shared" si="31"/>
        <v>927821.67</v>
      </c>
      <c r="L71" s="156">
        <f t="shared" si="31"/>
        <v>3865950.4699999997</v>
      </c>
      <c r="M71" s="156">
        <f t="shared" si="31"/>
        <v>420250</v>
      </c>
      <c r="N71" s="156">
        <f t="shared" si="31"/>
        <v>1111050</v>
      </c>
      <c r="O71" s="156">
        <f t="shared" si="31"/>
        <v>5377174.1900000004</v>
      </c>
      <c r="P71" s="156">
        <f t="shared" si="31"/>
        <v>583972</v>
      </c>
      <c r="Q71" s="156">
        <f t="shared" si="31"/>
        <v>2483595.71</v>
      </c>
      <c r="R71" s="156">
        <f t="shared" si="31"/>
        <v>582650</v>
      </c>
      <c r="S71" s="156">
        <f t="shared" si="31"/>
        <v>5341364.1100000003</v>
      </c>
      <c r="T71" s="156">
        <f t="shared" si="31"/>
        <v>2576244.67</v>
      </c>
      <c r="U71" s="156">
        <f t="shared" si="31"/>
        <v>1004443.1</v>
      </c>
      <c r="V71" s="156">
        <f t="shared" si="31"/>
        <v>3580325.32</v>
      </c>
      <c r="W71" s="156">
        <f t="shared" si="31"/>
        <v>5470350.5700000003</v>
      </c>
      <c r="X71" s="156">
        <f t="shared" si="31"/>
        <v>3985770.04</v>
      </c>
      <c r="Y71" s="156">
        <f t="shared" si="31"/>
        <v>2800170</v>
      </c>
      <c r="Z71" s="156">
        <f t="shared" si="31"/>
        <v>1297581.6299999999</v>
      </c>
      <c r="AA71" s="156">
        <f t="shared" si="31"/>
        <v>2721130</v>
      </c>
      <c r="AB71" s="156">
        <f t="shared" si="31"/>
        <v>4039756.1</v>
      </c>
      <c r="AC71" s="156">
        <f t="shared" si="31"/>
        <v>3430300.75</v>
      </c>
      <c r="AD71" s="156">
        <f t="shared" si="31"/>
        <v>2222585.29</v>
      </c>
      <c r="AE71" s="156">
        <f t="shared" si="31"/>
        <v>3497820</v>
      </c>
      <c r="AF71" s="156">
        <f t="shared" si="31"/>
        <v>5353443.68</v>
      </c>
      <c r="AG71" s="156">
        <f t="shared" si="31"/>
        <v>1994687.06</v>
      </c>
      <c r="AH71" s="156">
        <f t="shared" si="31"/>
        <v>4751716.37</v>
      </c>
      <c r="AI71" s="156">
        <f t="shared" si="31"/>
        <v>2932129.4</v>
      </c>
      <c r="AJ71" s="156">
        <f t="shared" si="31"/>
        <v>3675448.41</v>
      </c>
      <c r="AK71" s="156">
        <f t="shared" si="31"/>
        <v>3022340</v>
      </c>
      <c r="AL71" s="156">
        <f t="shared" si="31"/>
        <v>1714572.3399999999</v>
      </c>
      <c r="AM71" s="156"/>
      <c r="AN71" s="156">
        <f t="shared" si="31"/>
        <v>1215650</v>
      </c>
      <c r="AO71" s="156">
        <f t="shared" si="31"/>
        <v>285190</v>
      </c>
      <c r="AP71" s="156">
        <f t="shared" si="31"/>
        <v>665150</v>
      </c>
      <c r="AQ71" s="156">
        <f t="shared" si="31"/>
        <v>105550</v>
      </c>
      <c r="AR71" s="156">
        <f t="shared" si="31"/>
        <v>1571624.5</v>
      </c>
      <c r="AS71" s="156">
        <f t="shared" si="31"/>
        <v>3298150</v>
      </c>
      <c r="AT71" s="156">
        <f>SUM(AT66+AT70)</f>
        <v>475832.63</v>
      </c>
      <c r="AU71" s="156">
        <f t="shared" si="31"/>
        <v>2815600</v>
      </c>
      <c r="AV71" s="156">
        <f t="shared" si="31"/>
        <v>478519.06</v>
      </c>
      <c r="AW71" s="156">
        <f t="shared" si="31"/>
        <v>3864025.33</v>
      </c>
      <c r="AX71" s="156">
        <f t="shared" si="31"/>
        <v>2719380</v>
      </c>
      <c r="AY71" s="156">
        <f t="shared" si="31"/>
        <v>0</v>
      </c>
      <c r="AZ71" s="156">
        <f t="shared" si="31"/>
        <v>0</v>
      </c>
      <c r="BA71" s="157">
        <f t="shared" si="31"/>
        <v>0</v>
      </c>
      <c r="BB71" s="146">
        <f>SUM(D71:BA71)</f>
        <v>115928004.94000001</v>
      </c>
      <c r="BC71" s="158">
        <f t="shared" ref="BC71:BI71" si="32">BC66+BC70</f>
        <v>176153.05799999999</v>
      </c>
      <c r="BD71" s="158">
        <f t="shared" si="32"/>
        <v>89214548.379999995</v>
      </c>
      <c r="BE71" s="158">
        <f t="shared" si="32"/>
        <v>115842.85714285713</v>
      </c>
      <c r="BF71" s="158">
        <f t="shared" si="32"/>
        <v>289607.14285714284</v>
      </c>
      <c r="BG71" s="158">
        <f t="shared" si="32"/>
        <v>5871768.5999999996</v>
      </c>
      <c r="BH71" s="158">
        <f t="shared" si="32"/>
        <v>1291789.0919999999</v>
      </c>
      <c r="BI71" s="158">
        <f t="shared" si="32"/>
        <v>8466160.75</v>
      </c>
    </row>
    <row r="72" spans="1:61" ht="15.75" thickTop="1" x14ac:dyDescent="0.25"/>
  </sheetData>
  <mergeCells count="9">
    <mergeCell ref="A44:A47"/>
    <mergeCell ref="A51:A54"/>
    <mergeCell ref="A58:A61"/>
    <mergeCell ref="A2:A8"/>
    <mergeCell ref="A9:A12"/>
    <mergeCell ref="A16:A19"/>
    <mergeCell ref="A23:A26"/>
    <mergeCell ref="A30:A33"/>
    <mergeCell ref="A37:A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F84A-5B2F-4ADE-BDE5-D9BC28B3A45D}">
  <dimension ref="A1:BI72"/>
  <sheetViews>
    <sheetView topLeftCell="B1" workbookViewId="0">
      <pane xSplit="5" ySplit="11" topLeftCell="AW12" activePane="bottomRight" state="frozen"/>
      <selection activeCell="B1" sqref="B1"/>
      <selection pane="topRight" activeCell="G1" sqref="G1"/>
      <selection pane="bottomLeft" activeCell="B12" sqref="B12"/>
      <selection pane="bottomRight" activeCell="AW22" sqref="AW22"/>
    </sheetView>
  </sheetViews>
  <sheetFormatPr defaultRowHeight="15" x14ac:dyDescent="0.25"/>
  <cols>
    <col min="2" max="2" width="35.28515625" bestFit="1" customWidth="1"/>
    <col min="3" max="3" width="14.7109375" customWidth="1"/>
    <col min="4" max="4" width="13.5703125" customWidth="1"/>
    <col min="5" max="5" width="12" customWidth="1"/>
    <col min="6" max="6" width="14.85546875" customWidth="1"/>
    <col min="7" max="7" width="14.28515625" customWidth="1"/>
    <col min="8" max="8" width="14.42578125" customWidth="1"/>
    <col min="9" max="9" width="11.5703125" customWidth="1"/>
    <col min="10" max="10" width="14.140625" customWidth="1"/>
    <col min="11" max="11" width="12.140625" customWidth="1"/>
    <col min="12" max="12" width="13.140625" customWidth="1"/>
    <col min="13" max="13" width="11.28515625" customWidth="1"/>
    <col min="14" max="14" width="13.85546875" customWidth="1"/>
    <col min="15" max="15" width="13" customWidth="1"/>
    <col min="16" max="16" width="12.140625" customWidth="1"/>
    <col min="17" max="17" width="12.85546875" customWidth="1"/>
    <col min="18" max="18" width="11.7109375" customWidth="1"/>
    <col min="19" max="19" width="14" customWidth="1"/>
    <col min="20" max="20" width="15.140625" customWidth="1"/>
    <col min="21" max="21" width="13.28515625" bestFit="1" customWidth="1"/>
    <col min="22" max="22" width="13.42578125" customWidth="1"/>
    <col min="23" max="24" width="12.85546875" customWidth="1"/>
    <col min="25" max="25" width="13.5703125" customWidth="1"/>
    <col min="26" max="26" width="13.28515625" customWidth="1"/>
    <col min="27" max="27" width="13" customWidth="1"/>
    <col min="28" max="28" width="13.28515625" bestFit="1" customWidth="1"/>
    <col min="29" max="29" width="13.85546875" customWidth="1"/>
    <col min="30" max="30" width="13" customWidth="1"/>
    <col min="31" max="31" width="14.5703125" customWidth="1"/>
    <col min="32" max="32" width="13" customWidth="1"/>
    <col min="33" max="33" width="13.28515625" customWidth="1"/>
    <col min="34" max="34" width="13" customWidth="1"/>
    <col min="35" max="35" width="12.85546875" customWidth="1"/>
    <col min="36" max="36" width="14.28515625" customWidth="1"/>
    <col min="37" max="37" width="13.5703125" customWidth="1"/>
    <col min="38" max="38" width="12.85546875" customWidth="1"/>
    <col min="39" max="39" width="12.28515625" customWidth="1"/>
    <col min="40" max="40" width="13.28515625" bestFit="1" customWidth="1"/>
    <col min="41" max="41" width="12.140625" customWidth="1"/>
    <col min="42" max="42" width="11.7109375" customWidth="1"/>
    <col min="43" max="43" width="12.85546875" customWidth="1"/>
    <col min="44" max="44" width="14.5703125" customWidth="1"/>
    <col min="45" max="45" width="14" customWidth="1"/>
    <col min="46" max="46" width="11.5703125" customWidth="1"/>
    <col min="47" max="47" width="13.85546875" customWidth="1"/>
    <col min="48" max="48" width="14" customWidth="1"/>
    <col min="49" max="49" width="13.7109375" customWidth="1"/>
    <col min="50" max="50" width="13.28515625" customWidth="1"/>
    <col min="54" max="54" width="14.42578125" customWidth="1"/>
    <col min="55" max="55" width="11.7109375" customWidth="1"/>
    <col min="56" max="56" width="14" customWidth="1"/>
    <col min="57" max="57" width="11.5703125" customWidth="1"/>
    <col min="58" max="58" width="12.140625" customWidth="1"/>
    <col min="59" max="59" width="15.28515625" customWidth="1"/>
    <col min="60" max="60" width="13.85546875" customWidth="1"/>
    <col min="61" max="61" width="14.5703125" customWidth="1"/>
  </cols>
  <sheetData>
    <row r="1" spans="1:61" ht="39" x14ac:dyDescent="0.25">
      <c r="A1" s="10" t="s">
        <v>0</v>
      </c>
      <c r="B1" s="11" t="s">
        <v>1</v>
      </c>
      <c r="C1" s="11" t="s">
        <v>2</v>
      </c>
      <c r="D1" s="12">
        <v>44573</v>
      </c>
      <c r="E1" s="12">
        <v>44573</v>
      </c>
      <c r="F1" s="13">
        <v>44604</v>
      </c>
      <c r="G1" s="12">
        <v>44604</v>
      </c>
      <c r="H1" s="14">
        <v>44693</v>
      </c>
      <c r="I1" s="12">
        <v>44693</v>
      </c>
      <c r="J1" s="14">
        <v>44724</v>
      </c>
      <c r="K1" s="12">
        <v>44724</v>
      </c>
      <c r="L1" s="14">
        <v>44754</v>
      </c>
      <c r="M1" s="12">
        <v>44754</v>
      </c>
      <c r="N1" s="14">
        <v>44785</v>
      </c>
      <c r="O1" s="12">
        <v>44785</v>
      </c>
      <c r="P1" s="14">
        <v>44816</v>
      </c>
      <c r="Q1" s="12">
        <v>44816</v>
      </c>
      <c r="R1" s="14">
        <v>44907</v>
      </c>
      <c r="S1" s="12">
        <v>44907</v>
      </c>
      <c r="T1" s="14" t="s">
        <v>3</v>
      </c>
      <c r="U1" s="12" t="s">
        <v>3</v>
      </c>
      <c r="V1" s="14" t="s">
        <v>4</v>
      </c>
      <c r="W1" s="12" t="s">
        <v>4</v>
      </c>
      <c r="X1" s="13" t="s">
        <v>5</v>
      </c>
      <c r="Y1" s="15" t="s">
        <v>6</v>
      </c>
      <c r="Z1" s="16" t="s">
        <v>7</v>
      </c>
      <c r="AA1" s="17" t="s">
        <v>7</v>
      </c>
      <c r="AB1" s="16" t="s">
        <v>8</v>
      </c>
      <c r="AC1" s="12" t="s">
        <v>8</v>
      </c>
      <c r="AD1" s="16" t="s">
        <v>9</v>
      </c>
      <c r="AE1" s="17" t="s">
        <v>9</v>
      </c>
      <c r="AF1" s="16" t="s">
        <v>10</v>
      </c>
      <c r="AG1" s="17" t="s">
        <v>10</v>
      </c>
      <c r="AH1" s="16" t="s">
        <v>11</v>
      </c>
      <c r="AI1" s="14" t="s">
        <v>11</v>
      </c>
      <c r="AJ1" s="16" t="s">
        <v>12</v>
      </c>
      <c r="AK1" s="17" t="s">
        <v>12</v>
      </c>
      <c r="AL1" s="16" t="s">
        <v>13</v>
      </c>
      <c r="AM1" s="16" t="s">
        <v>13</v>
      </c>
      <c r="AN1" s="17" t="s">
        <v>14</v>
      </c>
      <c r="AO1" s="16" t="s">
        <v>14</v>
      </c>
      <c r="AP1" s="14" t="s">
        <v>15</v>
      </c>
      <c r="AQ1" s="12" t="s">
        <v>15</v>
      </c>
      <c r="AR1" s="17" t="s">
        <v>16</v>
      </c>
      <c r="AS1" s="12" t="s">
        <v>16</v>
      </c>
      <c r="AT1" s="17" t="s">
        <v>17</v>
      </c>
      <c r="AU1" s="16" t="s">
        <v>17</v>
      </c>
      <c r="AV1" s="16" t="s">
        <v>18</v>
      </c>
      <c r="AW1" s="17" t="s">
        <v>18</v>
      </c>
      <c r="AX1" s="12" t="s">
        <v>18</v>
      </c>
      <c r="AY1" s="17" t="s">
        <v>42</v>
      </c>
      <c r="AZ1" s="18"/>
      <c r="BA1" s="19"/>
      <c r="BB1" s="20" t="s">
        <v>19</v>
      </c>
      <c r="BC1" s="18" t="s">
        <v>20</v>
      </c>
      <c r="BD1" s="18" t="s">
        <v>21</v>
      </c>
      <c r="BE1" s="18" t="s">
        <v>22</v>
      </c>
      <c r="BF1" s="18" t="s">
        <v>23</v>
      </c>
      <c r="BG1" s="18" t="s">
        <v>24</v>
      </c>
      <c r="BH1" s="18" t="s">
        <v>25</v>
      </c>
      <c r="BI1" s="18" t="s">
        <v>26</v>
      </c>
    </row>
    <row r="2" spans="1:61" ht="15.75" x14ac:dyDescent="0.25">
      <c r="A2" s="185">
        <v>1</v>
      </c>
      <c r="B2" s="22" t="s">
        <v>27</v>
      </c>
      <c r="C2" s="23" t="s">
        <v>24</v>
      </c>
      <c r="D2" s="24">
        <v>23520</v>
      </c>
      <c r="E2" s="24">
        <v>4800</v>
      </c>
      <c r="F2" s="24">
        <v>134120</v>
      </c>
      <c r="G2" s="24">
        <v>62960</v>
      </c>
      <c r="H2" s="24">
        <v>187360</v>
      </c>
      <c r="I2" s="24">
        <v>108040</v>
      </c>
      <c r="J2" s="24">
        <v>99040</v>
      </c>
      <c r="K2" s="24">
        <v>198560</v>
      </c>
      <c r="L2">
        <v>147920</v>
      </c>
      <c r="M2">
        <v>80200</v>
      </c>
      <c r="N2" s="25">
        <v>62000</v>
      </c>
      <c r="O2">
        <v>32640</v>
      </c>
      <c r="P2">
        <v>123360</v>
      </c>
      <c r="Q2">
        <v>138600</v>
      </c>
      <c r="R2">
        <v>63080</v>
      </c>
      <c r="S2">
        <v>226720</v>
      </c>
      <c r="T2">
        <v>138120</v>
      </c>
      <c r="U2">
        <v>67600</v>
      </c>
      <c r="V2">
        <v>93280</v>
      </c>
      <c r="W2">
        <v>33360</v>
      </c>
      <c r="X2">
        <v>90840</v>
      </c>
      <c r="Y2">
        <v>84640</v>
      </c>
      <c r="Z2">
        <v>11480</v>
      </c>
      <c r="AA2">
        <v>72280</v>
      </c>
      <c r="AB2">
        <v>57200</v>
      </c>
      <c r="AC2">
        <v>94072.6</v>
      </c>
      <c r="AD2">
        <v>47200</v>
      </c>
      <c r="AE2">
        <v>103160</v>
      </c>
      <c r="AF2">
        <v>105960</v>
      </c>
      <c r="AG2">
        <v>20560</v>
      </c>
      <c r="AH2">
        <v>28840</v>
      </c>
      <c r="AI2">
        <v>152960</v>
      </c>
      <c r="AJ2">
        <v>61120</v>
      </c>
      <c r="AK2">
        <v>82520</v>
      </c>
      <c r="AL2">
        <v>32720</v>
      </c>
      <c r="AM2">
        <v>80800</v>
      </c>
      <c r="AN2" s="24"/>
      <c r="AO2">
        <v>16920</v>
      </c>
      <c r="AP2">
        <v>3480</v>
      </c>
      <c r="AQ2">
        <v>1880</v>
      </c>
      <c r="AR2">
        <v>70720</v>
      </c>
      <c r="AS2">
        <v>73880</v>
      </c>
      <c r="AT2">
        <v>45680</v>
      </c>
      <c r="AU2">
        <v>38320</v>
      </c>
      <c r="AV2">
        <v>10680</v>
      </c>
      <c r="AW2" s="24"/>
      <c r="AX2">
        <v>119080</v>
      </c>
      <c r="AY2" s="24"/>
      <c r="AZ2" s="24"/>
      <c r="BA2" s="24"/>
      <c r="BB2" s="26">
        <f t="shared" ref="BB2:BB7" si="0">SUM(D2:BA2)</f>
        <v>3532272.6</v>
      </c>
      <c r="BC2" s="27">
        <v>0</v>
      </c>
      <c r="BD2" s="27">
        <v>0</v>
      </c>
      <c r="BE2" s="27">
        <v>0</v>
      </c>
      <c r="BF2" s="27">
        <v>0</v>
      </c>
      <c r="BG2" s="27">
        <f>BB2</f>
        <v>3532272.6</v>
      </c>
      <c r="BH2" s="27">
        <v>0</v>
      </c>
      <c r="BI2" s="28">
        <f>SUM(BC2:BH2)</f>
        <v>3532272.6</v>
      </c>
    </row>
    <row r="3" spans="1:61" ht="15.75" x14ac:dyDescent="0.25">
      <c r="A3" s="185"/>
      <c r="B3" s="22" t="s">
        <v>27</v>
      </c>
      <c r="C3" s="23" t="s">
        <v>25</v>
      </c>
      <c r="D3" s="29">
        <f>5174.4+705.6</f>
        <v>5880</v>
      </c>
      <c r="E3" s="28">
        <f>1056+144</f>
        <v>1200</v>
      </c>
      <c r="F3" s="28">
        <f>29506.4+4023.6</f>
        <v>33530</v>
      </c>
      <c r="G3" s="30">
        <f>13851.2+1888.8</f>
        <v>15740</v>
      </c>
      <c r="H3" s="28">
        <f>41219.2+5620.8</f>
        <v>46840</v>
      </c>
      <c r="I3" s="28">
        <f>23768.8+3241.2</f>
        <v>27010</v>
      </c>
      <c r="J3" s="28">
        <f>21788.8+2971.2</f>
        <v>24760</v>
      </c>
      <c r="K3" s="28">
        <f>43683.2+5956.8</f>
        <v>49640</v>
      </c>
      <c r="L3" s="28">
        <f>32542.4+4437.6</f>
        <v>36980</v>
      </c>
      <c r="M3" s="28">
        <f>17644+2406</f>
        <v>20050</v>
      </c>
      <c r="N3" s="28">
        <f>13640+1860</f>
        <v>15500</v>
      </c>
      <c r="O3" s="28">
        <f>7180.8+979.2</f>
        <v>8160</v>
      </c>
      <c r="P3" s="28">
        <f>27139.2+3700.8</f>
        <v>30840</v>
      </c>
      <c r="Q3" s="28">
        <f>30492+4158</f>
        <v>34650</v>
      </c>
      <c r="R3" s="28">
        <f>13877.6+1892.4</f>
        <v>15770</v>
      </c>
      <c r="S3" s="28">
        <f>49878.4+6801.6</f>
        <v>56680</v>
      </c>
      <c r="T3" s="31">
        <f>30386.4+4143.6</f>
        <v>34530</v>
      </c>
      <c r="U3" s="32">
        <f>14872+2028</f>
        <v>16900</v>
      </c>
      <c r="V3" s="32">
        <f>20521.6+2798.4</f>
        <v>23320</v>
      </c>
      <c r="W3" s="32">
        <f>7339.2+1000.8</f>
        <v>8340</v>
      </c>
      <c r="X3" s="28">
        <f>19984.8+2725.2</f>
        <v>22710</v>
      </c>
      <c r="Y3" s="28">
        <f>18620.8+2539.2</f>
        <v>21160</v>
      </c>
      <c r="Z3">
        <f>2525.6+344.4</f>
        <v>2870</v>
      </c>
      <c r="AA3" s="28">
        <f>15901.6+2168.4</f>
        <v>18070</v>
      </c>
      <c r="AB3" s="28">
        <f>12584+1716</f>
        <v>14300</v>
      </c>
      <c r="AC3" s="28">
        <f>20695.972+2822.178</f>
        <v>23518.15</v>
      </c>
      <c r="AD3" s="33">
        <f>10384+1416</f>
        <v>11800</v>
      </c>
      <c r="AE3" s="28">
        <f>22695.2+3094.8</f>
        <v>25790</v>
      </c>
      <c r="AF3" s="28">
        <f>23311.2+3178.8</f>
        <v>26490</v>
      </c>
      <c r="AG3" s="28">
        <f>4523.2+616.8</f>
        <v>5140</v>
      </c>
      <c r="AH3" s="28">
        <f>6344.8+865.2</f>
        <v>7210</v>
      </c>
      <c r="AI3" s="28">
        <f>33651.2+4588.8</f>
        <v>38240</v>
      </c>
      <c r="AJ3" s="28">
        <f>13446.4+1833.6</f>
        <v>15280</v>
      </c>
      <c r="AK3" s="28">
        <f>18154.4+2475.6</f>
        <v>20630</v>
      </c>
      <c r="AL3" s="28">
        <f>7198.4+981.6</f>
        <v>8180</v>
      </c>
      <c r="AM3" s="28">
        <f>17776+2424</f>
        <v>20200</v>
      </c>
      <c r="AN3" s="28"/>
      <c r="AO3" s="28">
        <f>3722.4+507.6</f>
        <v>4230</v>
      </c>
      <c r="AP3" s="28">
        <f>765.6+104.4</f>
        <v>870</v>
      </c>
      <c r="AQ3" s="24">
        <f>413.6+56.4</f>
        <v>470</v>
      </c>
      <c r="AR3" s="28">
        <f>15558.4+2121.6</f>
        <v>17680</v>
      </c>
      <c r="AS3" s="28">
        <f>16253.6+2216.4</f>
        <v>18470</v>
      </c>
      <c r="AT3" s="28">
        <f>10049.6+1370.4</f>
        <v>11420</v>
      </c>
      <c r="AU3" s="34">
        <f>8430.4+1149.6</f>
        <v>9580</v>
      </c>
      <c r="AV3" s="34">
        <f>2349.6+320.4</f>
        <v>2670</v>
      </c>
      <c r="AW3" s="34"/>
      <c r="AX3" s="28">
        <f>26197.6+3572.4</f>
        <v>29770</v>
      </c>
      <c r="AY3" s="28"/>
      <c r="AZ3" s="27"/>
      <c r="BA3" s="27"/>
      <c r="BB3" s="26">
        <f t="shared" si="0"/>
        <v>883068.15</v>
      </c>
      <c r="BC3" s="35">
        <f>BB3*0.12</f>
        <v>105968.178</v>
      </c>
      <c r="BD3" s="36"/>
      <c r="BE3" s="36"/>
      <c r="BF3" s="36"/>
      <c r="BG3" s="36"/>
      <c r="BH3" s="35">
        <f>0.88*BB3</f>
        <v>777099.97200000007</v>
      </c>
      <c r="BI3" s="28">
        <f>SUM(BC3:BH3)</f>
        <v>883068.15</v>
      </c>
    </row>
    <row r="4" spans="1:61" ht="15.75" x14ac:dyDescent="0.25">
      <c r="A4" s="185"/>
      <c r="B4" s="22" t="s">
        <v>27</v>
      </c>
      <c r="C4" s="23" t="s">
        <v>28</v>
      </c>
      <c r="D4" s="29">
        <v>1000</v>
      </c>
      <c r="E4" s="28">
        <v>0</v>
      </c>
      <c r="F4" s="28">
        <v>5000</v>
      </c>
      <c r="G4" s="30">
        <v>3000</v>
      </c>
      <c r="H4" s="28">
        <v>8000</v>
      </c>
      <c r="I4" s="28">
        <v>6000</v>
      </c>
      <c r="J4" s="28">
        <v>4000</v>
      </c>
      <c r="K4" s="28">
        <v>9000</v>
      </c>
      <c r="L4" s="28">
        <v>15000</v>
      </c>
      <c r="M4" s="28">
        <v>4000</v>
      </c>
      <c r="N4" s="28">
        <v>14000</v>
      </c>
      <c r="O4" s="28">
        <v>2000</v>
      </c>
      <c r="P4" s="28">
        <v>9000</v>
      </c>
      <c r="Q4" s="28">
        <v>26000</v>
      </c>
      <c r="R4" s="28">
        <v>4000</v>
      </c>
      <c r="S4" s="24">
        <v>39000</v>
      </c>
      <c r="T4" s="31">
        <v>44000</v>
      </c>
      <c r="U4" s="32">
        <v>13000</v>
      </c>
      <c r="V4" s="32">
        <v>36000</v>
      </c>
      <c r="W4" s="32">
        <v>3000</v>
      </c>
      <c r="X4" s="28">
        <v>9000</v>
      </c>
      <c r="Y4" s="28">
        <v>28000</v>
      </c>
      <c r="Z4" s="28">
        <v>1000</v>
      </c>
      <c r="AA4" s="28">
        <v>21000</v>
      </c>
      <c r="AB4" s="28">
        <v>7000</v>
      </c>
      <c r="AC4" s="28">
        <v>33000</v>
      </c>
      <c r="AD4" s="37">
        <v>10000</v>
      </c>
      <c r="AE4" s="37">
        <v>37000</v>
      </c>
      <c r="AF4" s="28">
        <v>27000</v>
      </c>
      <c r="AG4" s="28">
        <v>3000</v>
      </c>
      <c r="AH4" s="28">
        <v>3000</v>
      </c>
      <c r="AI4" s="28">
        <v>37000</v>
      </c>
      <c r="AJ4" s="28">
        <v>4000</v>
      </c>
      <c r="AK4" s="28">
        <v>29000</v>
      </c>
      <c r="AL4" s="28">
        <v>4000</v>
      </c>
      <c r="AM4" s="28">
        <v>30000</v>
      </c>
      <c r="AN4" s="28"/>
      <c r="AO4" s="28">
        <v>9000</v>
      </c>
      <c r="AP4" s="28">
        <v>1000</v>
      </c>
      <c r="AQ4" s="28">
        <v>1000</v>
      </c>
      <c r="AR4" s="28">
        <v>7000</v>
      </c>
      <c r="AS4" s="28">
        <v>21000</v>
      </c>
      <c r="AT4" s="28">
        <v>6000</v>
      </c>
      <c r="AU4" s="28">
        <v>14000</v>
      </c>
      <c r="AV4" s="28">
        <v>1000</v>
      </c>
      <c r="AW4" s="28"/>
      <c r="AX4" s="28">
        <v>13000</v>
      </c>
      <c r="AY4" s="28"/>
      <c r="AZ4" s="27"/>
      <c r="BA4" s="27"/>
      <c r="BB4" s="26">
        <f t="shared" si="0"/>
        <v>601000</v>
      </c>
      <c r="BC4" s="36"/>
      <c r="BD4" s="35">
        <f>BB4</f>
        <v>601000</v>
      </c>
      <c r="BE4" s="36"/>
      <c r="BF4" s="36"/>
      <c r="BG4" s="36"/>
      <c r="BH4" s="36"/>
      <c r="BI4" s="28">
        <f>SUM(BC4:BH4)</f>
        <v>601000</v>
      </c>
    </row>
    <row r="5" spans="1:61" ht="15.75" x14ac:dyDescent="0.25">
      <c r="A5" s="185"/>
      <c r="B5" s="38" t="s">
        <v>27</v>
      </c>
      <c r="C5" s="39" t="s">
        <v>29</v>
      </c>
      <c r="D5" s="40">
        <v>2318.75</v>
      </c>
      <c r="E5" s="28">
        <v>662.5</v>
      </c>
      <c r="F5" s="28">
        <v>6293.75</v>
      </c>
      <c r="G5" s="41">
        <v>3312.5</v>
      </c>
      <c r="H5" s="42">
        <v>4637.5</v>
      </c>
      <c r="I5" s="42">
        <v>2981.25</v>
      </c>
      <c r="J5" s="42">
        <v>6293.75</v>
      </c>
      <c r="K5" s="42">
        <v>9606.25</v>
      </c>
      <c r="L5" s="42">
        <v>11593.75</v>
      </c>
      <c r="M5" s="42">
        <v>2981.25</v>
      </c>
      <c r="N5" s="42">
        <v>4637.5</v>
      </c>
      <c r="O5" s="42">
        <v>1656.25</v>
      </c>
      <c r="P5" s="42">
        <v>6293.75</v>
      </c>
      <c r="Q5" s="42">
        <v>14575</v>
      </c>
      <c r="R5" s="42">
        <v>5631.25</v>
      </c>
      <c r="S5" s="42">
        <v>20206.25</v>
      </c>
      <c r="T5" s="43">
        <v>21531.25</v>
      </c>
      <c r="U5" s="32">
        <v>8281.25</v>
      </c>
      <c r="V5" s="32">
        <v>14575</v>
      </c>
      <c r="W5" s="32">
        <v>6293.75</v>
      </c>
      <c r="X5" s="42">
        <v>5962.5</v>
      </c>
      <c r="Y5" s="42">
        <v>14243.75</v>
      </c>
      <c r="Z5" s="42">
        <v>2318.75</v>
      </c>
      <c r="AA5" s="42">
        <v>12587.5</v>
      </c>
      <c r="AB5" s="42">
        <v>4968.75</v>
      </c>
      <c r="AC5" s="42">
        <v>12256.25</v>
      </c>
      <c r="AD5" s="33">
        <v>6956.25</v>
      </c>
      <c r="AE5" s="28">
        <v>17556.25</v>
      </c>
      <c r="AF5" s="42">
        <v>17556.25</v>
      </c>
      <c r="AG5" s="42">
        <v>4306.25</v>
      </c>
      <c r="AH5" s="42">
        <v>4306.25</v>
      </c>
      <c r="AI5" s="42">
        <v>18218.75</v>
      </c>
      <c r="AJ5" s="42">
        <v>9275</v>
      </c>
      <c r="AK5" s="42">
        <v>13250</v>
      </c>
      <c r="AL5" s="37">
        <v>4637.5</v>
      </c>
      <c r="AM5" s="37">
        <v>12918.75</v>
      </c>
      <c r="AN5" s="42"/>
      <c r="AO5" s="42">
        <v>2981.25</v>
      </c>
      <c r="AP5" s="42">
        <v>662.5</v>
      </c>
      <c r="AQ5" s="42">
        <v>331.25</v>
      </c>
      <c r="AR5" s="42">
        <v>6293.75</v>
      </c>
      <c r="AS5" s="42">
        <v>11593.75</v>
      </c>
      <c r="AT5" s="42">
        <v>6293.75</v>
      </c>
      <c r="AU5" s="44">
        <v>6625</v>
      </c>
      <c r="AV5" s="44">
        <v>1656.25</v>
      </c>
      <c r="AW5" s="44"/>
      <c r="AX5" s="42">
        <v>5962.5</v>
      </c>
      <c r="AY5" s="42"/>
      <c r="AZ5" s="45"/>
      <c r="BA5" s="45"/>
      <c r="BB5" s="46">
        <f t="shared" si="0"/>
        <v>358081.25</v>
      </c>
      <c r="BC5" s="47"/>
      <c r="BD5" s="47"/>
      <c r="BE5" s="48">
        <f>100/350*BB5</f>
        <v>102308.92857142857</v>
      </c>
      <c r="BF5" s="48">
        <f>250/350*BB5</f>
        <v>255772.32142857142</v>
      </c>
      <c r="BG5" s="48"/>
      <c r="BH5" s="47"/>
      <c r="BI5" s="42">
        <f>SUM(BC5:BH5)</f>
        <v>358081.25</v>
      </c>
    </row>
    <row r="6" spans="1:61" ht="15.75" x14ac:dyDescent="0.25">
      <c r="A6" s="185"/>
      <c r="B6" s="38" t="s">
        <v>27</v>
      </c>
      <c r="C6" s="49" t="s">
        <v>30</v>
      </c>
      <c r="D6" s="50">
        <v>2000</v>
      </c>
      <c r="E6" s="28">
        <v>0</v>
      </c>
      <c r="F6" s="28">
        <v>10000</v>
      </c>
      <c r="G6" s="50">
        <v>6000</v>
      </c>
      <c r="H6" s="50">
        <v>16000</v>
      </c>
      <c r="I6" s="50">
        <v>12000</v>
      </c>
      <c r="J6" s="50">
        <v>8000</v>
      </c>
      <c r="K6" s="50">
        <v>18000</v>
      </c>
      <c r="L6" s="50">
        <v>10000</v>
      </c>
      <c r="M6" s="50">
        <v>8000</v>
      </c>
      <c r="N6" s="51">
        <v>4000</v>
      </c>
      <c r="O6" s="50">
        <v>4000</v>
      </c>
      <c r="P6" s="50">
        <v>14000</v>
      </c>
      <c r="Q6" s="50">
        <v>6000</v>
      </c>
      <c r="R6" s="50">
        <v>2000</v>
      </c>
      <c r="S6" s="50">
        <v>10000</v>
      </c>
      <c r="T6" s="52">
        <v>2000</v>
      </c>
      <c r="U6" s="32">
        <v>2000</v>
      </c>
      <c r="V6" s="32">
        <v>0</v>
      </c>
      <c r="W6" s="32">
        <v>0</v>
      </c>
      <c r="X6" s="32">
        <v>4000</v>
      </c>
      <c r="Y6" s="32">
        <v>0</v>
      </c>
      <c r="Z6" s="50">
        <v>0</v>
      </c>
      <c r="AA6" s="50">
        <v>0</v>
      </c>
      <c r="AB6" s="50">
        <v>2000</v>
      </c>
      <c r="AC6" s="50">
        <v>2000</v>
      </c>
      <c r="AD6" s="33">
        <v>0</v>
      </c>
      <c r="AE6" s="50">
        <v>0</v>
      </c>
      <c r="AF6" s="50">
        <v>0</v>
      </c>
      <c r="AG6" s="50">
        <v>0</v>
      </c>
      <c r="AH6" s="50">
        <v>0</v>
      </c>
      <c r="AI6" s="50">
        <v>2000</v>
      </c>
      <c r="AJ6" s="24">
        <v>0</v>
      </c>
      <c r="AK6" s="50">
        <v>0</v>
      </c>
      <c r="AL6" s="42">
        <v>0</v>
      </c>
      <c r="AM6" s="50">
        <v>0</v>
      </c>
      <c r="AN6" s="50"/>
      <c r="AO6" s="50">
        <v>0</v>
      </c>
      <c r="AP6" s="50">
        <v>0</v>
      </c>
      <c r="AQ6" s="50">
        <v>0</v>
      </c>
      <c r="AR6" s="50">
        <v>2000</v>
      </c>
      <c r="AS6" s="50">
        <v>0</v>
      </c>
      <c r="AT6" s="50">
        <v>0</v>
      </c>
      <c r="AU6" s="53">
        <v>0</v>
      </c>
      <c r="AV6" s="53">
        <v>0</v>
      </c>
      <c r="AW6" s="53"/>
      <c r="AX6" s="50">
        <v>8000</v>
      </c>
      <c r="AY6" s="24"/>
      <c r="AZ6" s="54"/>
      <c r="BA6" s="54"/>
      <c r="BB6" s="55">
        <f t="shared" si="0"/>
        <v>154000</v>
      </c>
      <c r="BC6" s="56"/>
      <c r="BD6" s="56"/>
      <c r="BE6" s="57"/>
      <c r="BF6" s="57"/>
      <c r="BG6" s="57"/>
      <c r="BH6" s="56"/>
      <c r="BI6" s="50"/>
    </row>
    <row r="7" spans="1:61" ht="15.75" x14ac:dyDescent="0.25">
      <c r="A7" s="185"/>
      <c r="B7" s="38" t="s">
        <v>27</v>
      </c>
      <c r="C7" s="49" t="s">
        <v>31</v>
      </c>
      <c r="D7" s="50">
        <v>131.25</v>
      </c>
      <c r="E7" s="41">
        <v>37.5</v>
      </c>
      <c r="F7" s="41">
        <v>356.25</v>
      </c>
      <c r="G7" s="50">
        <v>187.5</v>
      </c>
      <c r="H7" s="50">
        <v>262.5</v>
      </c>
      <c r="I7" s="50">
        <v>168.75</v>
      </c>
      <c r="J7" s="50">
        <v>356.25</v>
      </c>
      <c r="K7" s="50">
        <v>543.75</v>
      </c>
      <c r="L7" s="50">
        <v>656.25</v>
      </c>
      <c r="M7" s="50">
        <v>168.75</v>
      </c>
      <c r="N7" s="32">
        <v>262.5</v>
      </c>
      <c r="O7" s="50">
        <v>93.75</v>
      </c>
      <c r="P7" s="32">
        <v>356.25</v>
      </c>
      <c r="Q7" s="50">
        <v>825</v>
      </c>
      <c r="R7" s="50">
        <v>318.75</v>
      </c>
      <c r="S7" s="25">
        <v>1143.75</v>
      </c>
      <c r="T7" s="52">
        <v>1218.75</v>
      </c>
      <c r="U7" s="32">
        <v>468.75</v>
      </c>
      <c r="V7" s="32">
        <v>825</v>
      </c>
      <c r="W7" s="32">
        <v>356.25</v>
      </c>
      <c r="X7" s="32">
        <v>337.5</v>
      </c>
      <c r="Y7" s="32">
        <v>806.25</v>
      </c>
      <c r="Z7" s="25">
        <v>131.25</v>
      </c>
      <c r="AA7" s="25">
        <v>712.5</v>
      </c>
      <c r="AB7" s="32">
        <v>281.25</v>
      </c>
      <c r="AC7" s="50">
        <v>693.75</v>
      </c>
      <c r="AD7" s="33">
        <v>393.75</v>
      </c>
      <c r="AE7" s="50">
        <v>993.75</v>
      </c>
      <c r="AF7" s="50">
        <v>993.75</v>
      </c>
      <c r="AG7" s="50">
        <v>243.75</v>
      </c>
      <c r="AH7" s="50">
        <v>243.75</v>
      </c>
      <c r="AI7" s="50">
        <v>1031.25</v>
      </c>
      <c r="AJ7" s="24">
        <v>525</v>
      </c>
      <c r="AK7" s="50">
        <v>750</v>
      </c>
      <c r="AL7" s="50">
        <v>262.5</v>
      </c>
      <c r="AM7" s="50">
        <v>731.25</v>
      </c>
      <c r="AN7" s="50"/>
      <c r="AO7" s="50">
        <v>168.75</v>
      </c>
      <c r="AP7" s="50">
        <v>37.5</v>
      </c>
      <c r="AQ7" s="50">
        <v>18.75</v>
      </c>
      <c r="AR7" s="50">
        <v>356.25</v>
      </c>
      <c r="AS7" s="50">
        <v>656.25</v>
      </c>
      <c r="AT7" s="50">
        <v>356.25</v>
      </c>
      <c r="AU7" s="53">
        <v>375</v>
      </c>
      <c r="AV7" s="53">
        <v>93.75</v>
      </c>
      <c r="AW7" s="24"/>
      <c r="AX7" s="24">
        <v>337.5</v>
      </c>
      <c r="AY7" s="24"/>
      <c r="AZ7" s="54"/>
      <c r="BA7" s="54"/>
      <c r="BB7" s="55">
        <f t="shared" si="0"/>
        <v>20268.75</v>
      </c>
      <c r="BC7" s="56"/>
      <c r="BD7" s="56"/>
      <c r="BE7" s="57"/>
      <c r="BF7" s="57"/>
      <c r="BG7" s="57"/>
      <c r="BH7" s="56"/>
      <c r="BI7" s="50"/>
    </row>
    <row r="8" spans="1:61" ht="16.5" thickBot="1" x14ac:dyDescent="0.3">
      <c r="A8" s="185"/>
      <c r="B8" s="58" t="s">
        <v>26</v>
      </c>
      <c r="C8" s="59"/>
      <c r="D8" s="60">
        <f>SUM(D2:D7)</f>
        <v>34850</v>
      </c>
      <c r="E8" s="60">
        <f>SUM(E2:E7)</f>
        <v>6700</v>
      </c>
      <c r="F8" s="60">
        <f>SUM(F2:F7)</f>
        <v>189300</v>
      </c>
      <c r="G8" s="60">
        <f t="shared" ref="G8:BA8" si="1">SUM(G2:G7)</f>
        <v>91200</v>
      </c>
      <c r="H8" s="60">
        <f t="shared" si="1"/>
        <v>263100</v>
      </c>
      <c r="I8" s="60">
        <f t="shared" si="1"/>
        <v>156200</v>
      </c>
      <c r="J8" s="60">
        <f t="shared" si="1"/>
        <v>142450</v>
      </c>
      <c r="K8" s="60">
        <f t="shared" si="1"/>
        <v>285350</v>
      </c>
      <c r="L8" s="60">
        <f t="shared" si="1"/>
        <v>222150</v>
      </c>
      <c r="M8" s="60">
        <f t="shared" si="1"/>
        <v>115400</v>
      </c>
      <c r="N8" s="60">
        <f t="shared" si="1"/>
        <v>100400</v>
      </c>
      <c r="O8" s="60">
        <f t="shared" si="1"/>
        <v>48550</v>
      </c>
      <c r="P8" s="60">
        <f t="shared" si="1"/>
        <v>183850</v>
      </c>
      <c r="Q8" s="60">
        <f t="shared" si="1"/>
        <v>220650</v>
      </c>
      <c r="R8" s="60">
        <f t="shared" si="1"/>
        <v>90800</v>
      </c>
      <c r="S8" s="60">
        <f t="shared" si="1"/>
        <v>353750</v>
      </c>
      <c r="T8" s="60">
        <f t="shared" si="1"/>
        <v>241400</v>
      </c>
      <c r="U8" s="60">
        <f t="shared" si="1"/>
        <v>108250</v>
      </c>
      <c r="V8" s="60">
        <f t="shared" si="1"/>
        <v>168000</v>
      </c>
      <c r="W8" s="60">
        <f>SUM(W2:W7)</f>
        <v>51350</v>
      </c>
      <c r="X8" s="60">
        <f t="shared" si="1"/>
        <v>132850</v>
      </c>
      <c r="Y8" s="60">
        <f t="shared" si="1"/>
        <v>148850</v>
      </c>
      <c r="Z8" s="60">
        <f>SUM(Z2:Z7)</f>
        <v>17800</v>
      </c>
      <c r="AA8" s="60">
        <f t="shared" si="1"/>
        <v>124650</v>
      </c>
      <c r="AB8" s="60">
        <f t="shared" si="1"/>
        <v>85750</v>
      </c>
      <c r="AC8" s="60">
        <f t="shared" si="1"/>
        <v>165540.75</v>
      </c>
      <c r="AD8" s="60">
        <f t="shared" si="1"/>
        <v>76350</v>
      </c>
      <c r="AE8" s="60">
        <f t="shared" si="1"/>
        <v>184500</v>
      </c>
      <c r="AF8" s="60">
        <f t="shared" si="1"/>
        <v>178000</v>
      </c>
      <c r="AG8" s="60">
        <f t="shared" si="1"/>
        <v>33250</v>
      </c>
      <c r="AH8" s="60">
        <f t="shared" si="1"/>
        <v>43600</v>
      </c>
      <c r="AI8" s="60">
        <f t="shared" si="1"/>
        <v>249450</v>
      </c>
      <c r="AJ8" s="60">
        <f t="shared" si="1"/>
        <v>90200</v>
      </c>
      <c r="AK8" s="60">
        <f t="shared" si="1"/>
        <v>146150</v>
      </c>
      <c r="AL8" s="60">
        <f>SUM(AL2:AL7)</f>
        <v>49800</v>
      </c>
      <c r="AM8" s="60">
        <f>SUM(AM2:AM7)</f>
        <v>144650</v>
      </c>
      <c r="AN8" s="60">
        <f t="shared" si="1"/>
        <v>0</v>
      </c>
      <c r="AO8" s="60">
        <f t="shared" si="1"/>
        <v>33300</v>
      </c>
      <c r="AP8" s="60">
        <f t="shared" si="1"/>
        <v>6050</v>
      </c>
      <c r="AQ8" s="60">
        <f t="shared" si="1"/>
        <v>3700</v>
      </c>
      <c r="AR8" s="60">
        <f t="shared" si="1"/>
        <v>104050</v>
      </c>
      <c r="AS8" s="60">
        <f t="shared" si="1"/>
        <v>125600</v>
      </c>
      <c r="AT8" s="60">
        <f t="shared" si="1"/>
        <v>69750</v>
      </c>
      <c r="AU8" s="60">
        <f t="shared" si="1"/>
        <v>68900</v>
      </c>
      <c r="AV8" s="60">
        <f t="shared" si="1"/>
        <v>16100</v>
      </c>
      <c r="AW8" s="60">
        <f t="shared" si="1"/>
        <v>0</v>
      </c>
      <c r="AX8" s="60">
        <f t="shared" si="1"/>
        <v>176150</v>
      </c>
      <c r="AY8" s="60">
        <f t="shared" si="1"/>
        <v>0</v>
      </c>
      <c r="AZ8" s="60">
        <f t="shared" si="1"/>
        <v>0</v>
      </c>
      <c r="BA8" s="60">
        <f t="shared" si="1"/>
        <v>0</v>
      </c>
      <c r="BB8" s="60">
        <f>SUM(BB2:BB7)</f>
        <v>5548690.75</v>
      </c>
      <c r="BC8" s="61">
        <f t="shared" ref="BC8:BI8" si="2">SUM(BC2:BC5)</f>
        <v>105968.178</v>
      </c>
      <c r="BD8" s="61">
        <f t="shared" si="2"/>
        <v>601000</v>
      </c>
      <c r="BE8" s="61">
        <f t="shared" si="2"/>
        <v>102308.92857142857</v>
      </c>
      <c r="BF8" s="61">
        <f t="shared" si="2"/>
        <v>255772.32142857142</v>
      </c>
      <c r="BG8" s="61">
        <f t="shared" si="2"/>
        <v>3532272.6</v>
      </c>
      <c r="BH8" s="61">
        <f t="shared" si="2"/>
        <v>777099.97200000007</v>
      </c>
      <c r="BI8" s="61">
        <f t="shared" si="2"/>
        <v>5374422</v>
      </c>
    </row>
    <row r="9" spans="1:61" ht="15.75" x14ac:dyDescent="0.25">
      <c r="A9" s="185">
        <v>2</v>
      </c>
      <c r="B9" s="62" t="s">
        <v>32</v>
      </c>
      <c r="C9" s="63" t="s">
        <v>24</v>
      </c>
      <c r="D9" s="24">
        <v>346440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>
        <v>1648200</v>
      </c>
      <c r="T9">
        <v>299400</v>
      </c>
      <c r="U9" s="24"/>
      <c r="V9">
        <v>559600</v>
      </c>
      <c r="W9" s="24"/>
      <c r="Y9">
        <v>435680</v>
      </c>
      <c r="Z9" s="24"/>
      <c r="AA9">
        <v>314400</v>
      </c>
      <c r="AB9" s="24"/>
      <c r="AC9">
        <v>561280</v>
      </c>
      <c r="AD9" s="24"/>
      <c r="AE9">
        <v>200160</v>
      </c>
      <c r="AF9">
        <v>744280</v>
      </c>
      <c r="AG9" s="24"/>
      <c r="AI9">
        <v>329200</v>
      </c>
      <c r="AJ9" s="24"/>
      <c r="AK9">
        <v>451200</v>
      </c>
      <c r="AL9" s="24"/>
      <c r="AM9">
        <v>423880</v>
      </c>
      <c r="AO9">
        <v>38800</v>
      </c>
      <c r="AP9" s="24"/>
      <c r="AQ9">
        <v>38400</v>
      </c>
      <c r="AR9" s="24"/>
      <c r="AS9">
        <v>264400</v>
      </c>
      <c r="AT9" s="24"/>
      <c r="AU9">
        <v>175440</v>
      </c>
      <c r="AV9" s="24"/>
      <c r="AW9" s="24"/>
      <c r="AX9">
        <v>488600</v>
      </c>
      <c r="AY9" s="24"/>
      <c r="AZ9" s="64"/>
      <c r="BA9" s="24"/>
      <c r="BB9" s="65">
        <f t="shared" ref="BB9:BB15" si="3">SUM(D9:BA9)</f>
        <v>7319360</v>
      </c>
      <c r="BC9" s="66"/>
      <c r="BD9" s="66"/>
      <c r="BE9" s="66"/>
      <c r="BF9" s="66"/>
      <c r="BG9" s="66"/>
      <c r="BH9" s="66"/>
      <c r="BI9" s="64"/>
    </row>
    <row r="10" spans="1:61" ht="15.75" x14ac:dyDescent="0.25">
      <c r="A10" s="185"/>
      <c r="B10" s="22" t="s">
        <v>32</v>
      </c>
      <c r="C10" s="23" t="s">
        <v>25</v>
      </c>
      <c r="D10" s="28">
        <f>76216.8+10393.2</f>
        <v>86610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>
        <f>362604+49446</f>
        <v>412050</v>
      </c>
      <c r="T10" s="67">
        <f>65868+8982</f>
        <v>74850</v>
      </c>
      <c r="U10" s="28"/>
      <c r="V10" s="28">
        <f>123112+16788</f>
        <v>139900</v>
      </c>
      <c r="W10" s="28"/>
      <c r="X10" s="28"/>
      <c r="Y10" s="28">
        <f>95849.6+13070.4</f>
        <v>108920</v>
      </c>
      <c r="Z10" s="28"/>
      <c r="AA10" s="28">
        <f>69168+9432</f>
        <v>78600</v>
      </c>
      <c r="AB10" s="28"/>
      <c r="AC10" s="64">
        <f>123481.6+16838.4</f>
        <v>140320</v>
      </c>
      <c r="AD10" s="28"/>
      <c r="AE10" s="28">
        <f>44035.2+6004.8</f>
        <v>50040</v>
      </c>
      <c r="AF10" s="28">
        <f>163741.6+22328.4</f>
        <v>186070</v>
      </c>
      <c r="AG10" s="28"/>
      <c r="AI10" s="28">
        <f>72424+9876</f>
        <v>82300</v>
      </c>
      <c r="AJ10" s="28"/>
      <c r="AK10" s="28">
        <f>99264+13536</f>
        <v>112800</v>
      </c>
      <c r="AL10" s="28"/>
      <c r="AM10" s="28">
        <f>93253.6+12716.4</f>
        <v>105970</v>
      </c>
      <c r="AN10" s="28"/>
      <c r="AO10" s="28">
        <f>8536+1164</f>
        <v>9700</v>
      </c>
      <c r="AP10" s="28"/>
      <c r="AQ10" s="28">
        <f>8448+1152</f>
        <v>9600</v>
      </c>
      <c r="AR10" s="28"/>
      <c r="AS10" s="28">
        <f>58168+7932</f>
        <v>66100</v>
      </c>
      <c r="AT10" s="28"/>
      <c r="AU10" s="34">
        <f>38596.8+5263.2</f>
        <v>43860</v>
      </c>
      <c r="AV10" s="34"/>
      <c r="AW10" s="34"/>
      <c r="AX10" s="34">
        <f>107492+14658</f>
        <v>122150</v>
      </c>
      <c r="AY10" s="28"/>
      <c r="AZ10" s="27"/>
      <c r="BA10" s="27"/>
      <c r="BB10" s="26">
        <f t="shared" si="3"/>
        <v>1829840</v>
      </c>
      <c r="BC10" s="35"/>
      <c r="BD10" s="36"/>
      <c r="BE10" s="36"/>
      <c r="BF10" s="36"/>
      <c r="BG10" s="36"/>
      <c r="BH10" s="35"/>
      <c r="BI10" s="28"/>
    </row>
    <row r="11" spans="1:61" ht="15.75" x14ac:dyDescent="0.25">
      <c r="A11" s="185"/>
      <c r="B11" s="22" t="s">
        <v>32</v>
      </c>
      <c r="C11" s="23" t="s">
        <v>28</v>
      </c>
      <c r="D11" s="28">
        <v>23000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>
        <v>110000</v>
      </c>
      <c r="T11" s="67">
        <v>30000</v>
      </c>
      <c r="U11" s="28"/>
      <c r="V11" s="28">
        <v>34000</v>
      </c>
      <c r="W11" s="28"/>
      <c r="X11" s="28"/>
      <c r="Y11" s="28">
        <v>35000</v>
      </c>
      <c r="Z11" s="28"/>
      <c r="AA11" s="28">
        <v>40000</v>
      </c>
      <c r="AB11" s="28"/>
      <c r="AC11" s="28">
        <v>102000</v>
      </c>
      <c r="AD11" s="28"/>
      <c r="AE11" s="28">
        <v>14000</v>
      </c>
      <c r="AF11" s="28">
        <v>54000</v>
      </c>
      <c r="AG11" s="28"/>
      <c r="AI11" s="28">
        <v>15000</v>
      </c>
      <c r="AJ11" s="28"/>
      <c r="AK11" s="28">
        <v>36000</v>
      </c>
      <c r="AL11" s="28"/>
      <c r="AM11" s="28">
        <v>32000</v>
      </c>
      <c r="AN11" s="28"/>
      <c r="AO11" s="28">
        <v>3000</v>
      </c>
      <c r="AP11" s="28"/>
      <c r="AQ11" s="28">
        <v>1000</v>
      </c>
      <c r="AR11" s="28"/>
      <c r="AS11" s="28">
        <v>14000</v>
      </c>
      <c r="AT11" s="28"/>
      <c r="AU11" s="34">
        <v>9000</v>
      </c>
      <c r="AV11" s="34"/>
      <c r="AW11" s="34"/>
      <c r="AX11" s="34">
        <v>31000</v>
      </c>
      <c r="AY11" s="28"/>
      <c r="AZ11" s="27"/>
      <c r="BA11" s="27"/>
      <c r="BB11" s="26">
        <f t="shared" si="3"/>
        <v>583000</v>
      </c>
      <c r="BC11" s="36"/>
      <c r="BD11" s="35"/>
      <c r="BE11" s="36"/>
      <c r="BF11" s="36"/>
      <c r="BG11" s="36"/>
      <c r="BH11" s="36"/>
      <c r="BI11" s="28"/>
    </row>
    <row r="12" spans="1:61" ht="16.5" thickBot="1" x14ac:dyDescent="0.3">
      <c r="A12" s="185"/>
      <c r="B12" s="68" t="s">
        <v>32</v>
      </c>
      <c r="C12" s="69" t="s">
        <v>29</v>
      </c>
      <c r="D12" s="70">
        <v>9606.25</v>
      </c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>
        <v>36437.5</v>
      </c>
      <c r="T12" s="71">
        <v>13250</v>
      </c>
      <c r="U12" s="70"/>
      <c r="V12" s="70">
        <v>15237.5</v>
      </c>
      <c r="W12" s="70"/>
      <c r="X12" s="70"/>
      <c r="Y12" s="70">
        <v>13250</v>
      </c>
      <c r="Z12" s="70"/>
      <c r="AA12" s="70">
        <v>14906.25</v>
      </c>
      <c r="AB12" s="70"/>
      <c r="AC12" s="70">
        <v>36437.5</v>
      </c>
      <c r="AD12" s="70"/>
      <c r="AE12" s="70">
        <v>5631.25</v>
      </c>
      <c r="AF12" s="70">
        <v>25837.5</v>
      </c>
      <c r="AG12" s="70"/>
      <c r="AI12" s="70">
        <v>14575</v>
      </c>
      <c r="AJ12" s="70"/>
      <c r="AK12" s="70">
        <v>19875</v>
      </c>
      <c r="AL12" s="70"/>
      <c r="AM12" s="70">
        <v>23187.5</v>
      </c>
      <c r="AN12" s="70"/>
      <c r="AO12" s="70">
        <v>4968.75</v>
      </c>
      <c r="AP12" s="70"/>
      <c r="AQ12" s="70">
        <v>3643.75</v>
      </c>
      <c r="AR12" s="70"/>
      <c r="AS12" s="70">
        <v>12918.75</v>
      </c>
      <c r="AT12" s="70"/>
      <c r="AU12" s="72">
        <v>6956.25</v>
      </c>
      <c r="AV12" s="72"/>
      <c r="AW12" s="72"/>
      <c r="AX12" s="72">
        <v>19212.5</v>
      </c>
      <c r="AY12" s="70"/>
      <c r="AZ12" s="73"/>
      <c r="BA12" s="73"/>
      <c r="BB12" s="74">
        <f t="shared" si="3"/>
        <v>275931.25</v>
      </c>
      <c r="BE12" s="75"/>
      <c r="BF12" s="75"/>
      <c r="BG12" s="75"/>
      <c r="BI12" s="33"/>
    </row>
    <row r="13" spans="1:61" ht="20.25" customHeight="1" x14ac:dyDescent="0.25">
      <c r="A13" s="21"/>
      <c r="B13" s="68" t="s">
        <v>32</v>
      </c>
      <c r="C13" s="49" t="s">
        <v>30</v>
      </c>
      <c r="D13" s="32">
        <v>32000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>
        <v>220000</v>
      </c>
      <c r="T13" s="76">
        <v>24000</v>
      </c>
      <c r="U13" s="32"/>
      <c r="V13" s="32">
        <v>64000</v>
      </c>
      <c r="W13" s="32"/>
      <c r="X13" s="32"/>
      <c r="Y13" s="32">
        <v>30000</v>
      </c>
      <c r="AA13" s="32">
        <v>22000</v>
      </c>
      <c r="AC13" s="32">
        <v>38000</v>
      </c>
      <c r="AE13" s="32">
        <v>28000</v>
      </c>
      <c r="AF13" s="32">
        <v>96000</v>
      </c>
      <c r="AG13" s="32"/>
      <c r="AI13" s="32">
        <v>22000</v>
      </c>
      <c r="AJ13" s="32"/>
      <c r="AK13" s="32">
        <v>48000</v>
      </c>
      <c r="AL13" s="32"/>
      <c r="AM13" s="32">
        <v>46000</v>
      </c>
      <c r="AN13" s="32"/>
      <c r="AO13" s="32">
        <v>0</v>
      </c>
      <c r="AP13" s="32"/>
      <c r="AQ13" s="32">
        <v>2000</v>
      </c>
      <c r="AR13" s="32"/>
      <c r="AS13" s="32">
        <v>28000</v>
      </c>
      <c r="AT13" s="32"/>
      <c r="AU13" s="24">
        <v>16000</v>
      </c>
      <c r="AV13" s="24"/>
      <c r="AW13" s="24"/>
      <c r="AX13" s="24">
        <v>60000</v>
      </c>
      <c r="AY13" s="32"/>
      <c r="AZ13" s="73"/>
      <c r="BA13" s="73"/>
      <c r="BB13" s="74">
        <f t="shared" si="3"/>
        <v>776000</v>
      </c>
      <c r="BE13" s="75"/>
      <c r="BF13" s="75"/>
      <c r="BG13" s="75"/>
      <c r="BI13" s="33"/>
    </row>
    <row r="14" spans="1:61" ht="16.5" thickBot="1" x14ac:dyDescent="0.3">
      <c r="A14" s="21"/>
      <c r="B14" s="68" t="s">
        <v>32</v>
      </c>
      <c r="C14" s="77" t="s">
        <v>31</v>
      </c>
      <c r="D14" s="32">
        <v>543.75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S14" s="32">
        <v>2062.5</v>
      </c>
      <c r="T14" s="76">
        <v>750</v>
      </c>
      <c r="U14" s="32"/>
      <c r="V14" s="32">
        <v>862.5</v>
      </c>
      <c r="W14" s="32"/>
      <c r="X14" s="32"/>
      <c r="Y14" s="32">
        <v>750</v>
      </c>
      <c r="Z14" s="32"/>
      <c r="AA14" s="32">
        <v>843.75</v>
      </c>
      <c r="AC14" s="32">
        <v>2062.5</v>
      </c>
      <c r="AD14" s="32"/>
      <c r="AE14" s="32">
        <v>318.75</v>
      </c>
      <c r="AF14" s="32">
        <v>1462.5</v>
      </c>
      <c r="AG14" s="32"/>
      <c r="AI14" s="32">
        <v>825</v>
      </c>
      <c r="AJ14" s="32"/>
      <c r="AK14" s="32">
        <v>1125</v>
      </c>
      <c r="AL14" s="32"/>
      <c r="AM14" s="32">
        <v>1312.5</v>
      </c>
      <c r="AN14" s="32"/>
      <c r="AO14" s="32">
        <v>281.25</v>
      </c>
      <c r="AP14" s="32"/>
      <c r="AQ14" s="32">
        <v>206.25</v>
      </c>
      <c r="AR14" s="32"/>
      <c r="AS14" s="32">
        <v>731.25</v>
      </c>
      <c r="AT14" s="32"/>
      <c r="AU14" s="24">
        <v>393.75</v>
      </c>
      <c r="AV14" s="32"/>
      <c r="AW14" s="24"/>
      <c r="AX14" s="24">
        <v>1087.5</v>
      </c>
      <c r="AY14" s="32"/>
      <c r="AZ14" s="73"/>
      <c r="BA14" s="73"/>
      <c r="BB14" s="74">
        <f t="shared" si="3"/>
        <v>15618.75</v>
      </c>
      <c r="BE14" s="75"/>
      <c r="BF14" s="75"/>
      <c r="BG14" s="75"/>
      <c r="BI14" s="33"/>
    </row>
    <row r="15" spans="1:61" ht="15.75" x14ac:dyDescent="0.25">
      <c r="A15" s="78"/>
      <c r="B15" s="79" t="s">
        <v>26</v>
      </c>
      <c r="C15" s="80"/>
      <c r="D15" s="81">
        <f>SUM(D9:D14)</f>
        <v>498200</v>
      </c>
      <c r="E15" s="81">
        <f>SUM(E9:E14)</f>
        <v>0</v>
      </c>
      <c r="F15" s="81"/>
      <c r="G15" s="81">
        <f>SUM(G9:G14)</f>
        <v>0</v>
      </c>
      <c r="H15" s="81"/>
      <c r="I15" s="81">
        <f t="shared" ref="I15:N15" si="4">SUM(I9:I14)</f>
        <v>0</v>
      </c>
      <c r="J15" s="81">
        <f t="shared" si="4"/>
        <v>0</v>
      </c>
      <c r="K15" s="81">
        <f t="shared" si="4"/>
        <v>0</v>
      </c>
      <c r="L15" s="81">
        <f t="shared" si="4"/>
        <v>0</v>
      </c>
      <c r="M15" s="81">
        <f t="shared" si="4"/>
        <v>0</v>
      </c>
      <c r="N15" s="81">
        <f t="shared" si="4"/>
        <v>0</v>
      </c>
      <c r="O15" s="81"/>
      <c r="P15" s="81">
        <f>SUM(P9:P14)</f>
        <v>0</v>
      </c>
      <c r="Q15" s="81">
        <f>SUM(Q9:Q13)</f>
        <v>0</v>
      </c>
      <c r="R15" s="81">
        <f>SUM(R9:R14)</f>
        <v>0</v>
      </c>
      <c r="S15" s="81">
        <f>SUM(S9:S14)</f>
        <v>2428750</v>
      </c>
      <c r="T15" s="81">
        <f t="shared" ref="T15:AA15" si="5">SUM(T9:T14)</f>
        <v>442250</v>
      </c>
      <c r="U15" s="81">
        <f t="shared" si="5"/>
        <v>0</v>
      </c>
      <c r="V15" s="81">
        <f t="shared" si="5"/>
        <v>813600</v>
      </c>
      <c r="W15" s="81">
        <f t="shared" si="5"/>
        <v>0</v>
      </c>
      <c r="X15" s="81"/>
      <c r="Y15" s="81">
        <f t="shared" si="5"/>
        <v>623600</v>
      </c>
      <c r="Z15" s="81">
        <f t="shared" si="5"/>
        <v>0</v>
      </c>
      <c r="AA15" s="81">
        <f t="shared" si="5"/>
        <v>470750</v>
      </c>
      <c r="AB15" s="81">
        <f>SUM(AB9:AB14)</f>
        <v>0</v>
      </c>
      <c r="AC15" s="81">
        <f>SUM(AC9:AC14)</f>
        <v>880100</v>
      </c>
      <c r="AD15" s="81">
        <f>SUM(AD9:AD14)</f>
        <v>0</v>
      </c>
      <c r="AE15" s="81">
        <f>SUM(AE9:AE14)</f>
        <v>298150</v>
      </c>
      <c r="AF15" s="81">
        <f>SUM(AF9:AF14)</f>
        <v>1107650</v>
      </c>
      <c r="AG15" s="81"/>
      <c r="AH15" s="81">
        <f t="shared" ref="AH15:AO15" si="6">SUM(AH9:AH14)</f>
        <v>0</v>
      </c>
      <c r="AI15" s="81">
        <f t="shared" si="6"/>
        <v>463900</v>
      </c>
      <c r="AJ15" s="81">
        <f t="shared" si="6"/>
        <v>0</v>
      </c>
      <c r="AK15" s="81">
        <f t="shared" si="6"/>
        <v>669000</v>
      </c>
      <c r="AL15" s="81">
        <f t="shared" si="6"/>
        <v>0</v>
      </c>
      <c r="AM15" s="81">
        <f t="shared" si="6"/>
        <v>632350</v>
      </c>
      <c r="AN15" s="81">
        <f t="shared" si="6"/>
        <v>0</v>
      </c>
      <c r="AO15" s="81">
        <f t="shared" si="6"/>
        <v>56750</v>
      </c>
      <c r="AP15" s="81">
        <f>SUM(AP9:AP13)</f>
        <v>0</v>
      </c>
      <c r="AQ15" s="81">
        <f t="shared" ref="AQ15:AV15" si="7">SUM(AQ9:AQ14)</f>
        <v>54850</v>
      </c>
      <c r="AR15" s="81">
        <f t="shared" si="7"/>
        <v>0</v>
      </c>
      <c r="AS15" s="81">
        <f t="shared" si="7"/>
        <v>386150</v>
      </c>
      <c r="AT15" s="2">
        <f t="shared" si="7"/>
        <v>0</v>
      </c>
      <c r="AU15" s="81">
        <f t="shared" si="7"/>
        <v>251650</v>
      </c>
      <c r="AV15" s="81">
        <f t="shared" si="7"/>
        <v>0</v>
      </c>
      <c r="AW15" s="81">
        <f>SUM(AW9:AW13)</f>
        <v>0</v>
      </c>
      <c r="AX15" s="81">
        <f>SUM(AX9:AX14)</f>
        <v>722050</v>
      </c>
      <c r="AY15" s="81">
        <f>SUM(AY9:AY13)</f>
        <v>0</v>
      </c>
      <c r="AZ15" s="81"/>
      <c r="BA15" s="81">
        <f>SUM(BA9:BA13)</f>
        <v>0</v>
      </c>
      <c r="BB15" s="81">
        <f t="shared" si="3"/>
        <v>10799750</v>
      </c>
      <c r="BC15" s="81">
        <f>SUM(BC9:BC13)</f>
        <v>0</v>
      </c>
      <c r="BD15" s="81">
        <f>SUM(BD9:BD13)</f>
        <v>0</v>
      </c>
      <c r="BE15" s="81">
        <f>SUM(BE9:BE13)</f>
        <v>0</v>
      </c>
      <c r="BF15" s="82">
        <f>SUM(BF9:BF12)</f>
        <v>0</v>
      </c>
      <c r="BG15" s="82">
        <f>SUM(BG9:BG12)</f>
        <v>0</v>
      </c>
      <c r="BH15" s="82">
        <f>SUM(BH9:BH12)</f>
        <v>0</v>
      </c>
      <c r="BI15" s="82">
        <f>SUM(BI9:BI12)</f>
        <v>0</v>
      </c>
    </row>
    <row r="16" spans="1:61" ht="15.75" x14ac:dyDescent="0.25">
      <c r="A16" s="185">
        <v>3</v>
      </c>
      <c r="B16" s="22" t="s">
        <v>33</v>
      </c>
      <c r="C16" s="23" t="s">
        <v>24</v>
      </c>
      <c r="D16" s="28"/>
      <c r="E16" s="28"/>
      <c r="F16" s="28"/>
      <c r="G16" s="28"/>
      <c r="H16" s="24">
        <v>2000</v>
      </c>
      <c r="I16" s="28"/>
      <c r="J16" s="24"/>
      <c r="K16" s="28"/>
      <c r="L16">
        <v>2000</v>
      </c>
      <c r="M16" s="24"/>
      <c r="N16" s="24"/>
      <c r="O16" s="24"/>
      <c r="P16" s="24"/>
      <c r="Q16">
        <v>39600</v>
      </c>
      <c r="R16" s="24"/>
      <c r="S16" s="24"/>
      <c r="T16" s="67"/>
      <c r="U16" s="24"/>
      <c r="V16" s="28"/>
      <c r="W16" s="24"/>
      <c r="X16" s="24"/>
      <c r="Y16" s="24"/>
      <c r="Z16" s="24"/>
      <c r="AA16">
        <v>2112</v>
      </c>
      <c r="AB16" s="28"/>
      <c r="AC16">
        <v>2120</v>
      </c>
      <c r="AD16" s="28"/>
      <c r="AE16" s="28"/>
      <c r="AF16" s="24"/>
      <c r="AG16" s="24"/>
      <c r="AH16" s="24"/>
      <c r="AI16" s="24"/>
      <c r="AJ16" s="24"/>
      <c r="AK16">
        <v>2112</v>
      </c>
      <c r="AL16" s="28"/>
      <c r="AM16" s="32"/>
      <c r="AN16" s="24"/>
      <c r="AO16" s="24"/>
      <c r="AP16" s="28"/>
      <c r="AQ16" s="24"/>
      <c r="AS16">
        <v>2112</v>
      </c>
      <c r="AT16" s="24"/>
      <c r="AU16" s="24"/>
      <c r="AV16" s="34"/>
      <c r="AW16" s="34"/>
      <c r="AX16" s="34"/>
      <c r="AY16" s="28"/>
      <c r="AZ16" s="28"/>
      <c r="BA16" s="28"/>
      <c r="BB16" s="65">
        <f t="shared" ref="BB16:BB21" si="8">SUM(H16:BA16)</f>
        <v>52056</v>
      </c>
      <c r="BC16" s="27">
        <v>0</v>
      </c>
      <c r="BD16" s="27">
        <v>0</v>
      </c>
      <c r="BE16" s="27">
        <v>0</v>
      </c>
      <c r="BF16" s="27">
        <v>0</v>
      </c>
      <c r="BG16" s="27">
        <f>BB16</f>
        <v>52056</v>
      </c>
      <c r="BH16" s="27">
        <v>0</v>
      </c>
      <c r="BI16" s="28">
        <f>SUM(BC16:BH16)</f>
        <v>52056</v>
      </c>
    </row>
    <row r="17" spans="1:61" ht="15.75" x14ac:dyDescent="0.25">
      <c r="A17" s="185"/>
      <c r="B17" s="22" t="s">
        <v>33</v>
      </c>
      <c r="C17" s="23" t="s">
        <v>25</v>
      </c>
      <c r="D17" s="28"/>
      <c r="E17" s="28"/>
      <c r="F17" s="28"/>
      <c r="G17" s="28"/>
      <c r="H17" s="28">
        <f>440+60</f>
        <v>500</v>
      </c>
      <c r="I17" s="28"/>
      <c r="J17" s="28"/>
      <c r="K17" s="28"/>
      <c r="L17" s="28">
        <f>440+60</f>
        <v>500</v>
      </c>
      <c r="M17" s="28"/>
      <c r="N17" s="28"/>
      <c r="O17" s="28"/>
      <c r="P17" s="28"/>
      <c r="Q17" s="28">
        <f>8712+1188</f>
        <v>9900</v>
      </c>
      <c r="R17" s="28"/>
      <c r="S17" s="28"/>
      <c r="T17" s="67"/>
      <c r="U17" s="28"/>
      <c r="V17" s="28"/>
      <c r="W17" s="28"/>
      <c r="X17" s="28"/>
      <c r="Y17" s="28"/>
      <c r="Z17" s="28"/>
      <c r="AA17" s="28">
        <f>464.64+63.36</f>
        <v>528</v>
      </c>
      <c r="AB17" s="28"/>
      <c r="AC17" s="28">
        <f>466.4+63.6</f>
        <v>530</v>
      </c>
      <c r="AD17" s="28"/>
      <c r="AE17" s="28"/>
      <c r="AF17" s="28"/>
      <c r="AG17" s="28"/>
      <c r="AH17" s="28"/>
      <c r="AI17" s="28"/>
      <c r="AJ17" s="28"/>
      <c r="AK17" s="28">
        <f>464.64+63.36</f>
        <v>528</v>
      </c>
      <c r="AL17" s="28"/>
      <c r="AM17" s="28"/>
      <c r="AN17" s="28"/>
      <c r="AO17" s="28"/>
      <c r="AP17" s="28"/>
      <c r="AQ17" s="28"/>
      <c r="AS17" s="28">
        <f>464.64+63.36</f>
        <v>528</v>
      </c>
      <c r="AT17" s="24"/>
      <c r="AU17" s="34"/>
      <c r="AV17" s="34"/>
      <c r="AW17" s="34"/>
      <c r="AX17" s="34"/>
      <c r="AY17" s="28"/>
      <c r="AZ17" s="27"/>
      <c r="BA17" s="27"/>
      <c r="BB17" s="26">
        <f t="shared" si="8"/>
        <v>13014</v>
      </c>
      <c r="BC17" s="35">
        <f>BB17*0.12</f>
        <v>1561.6799999999998</v>
      </c>
      <c r="BD17" s="36"/>
      <c r="BE17" s="36"/>
      <c r="BF17" s="36"/>
      <c r="BG17" s="36"/>
      <c r="BH17" s="35">
        <f>0.88*BB17</f>
        <v>11452.32</v>
      </c>
      <c r="BI17" s="28">
        <f>SUM(BC17:BH17)</f>
        <v>13014</v>
      </c>
    </row>
    <row r="18" spans="1:61" ht="15.75" x14ac:dyDescent="0.25">
      <c r="A18" s="185"/>
      <c r="B18" s="22" t="s">
        <v>33</v>
      </c>
      <c r="C18" s="23" t="s">
        <v>28</v>
      </c>
      <c r="D18" s="28"/>
      <c r="E18" s="28"/>
      <c r="F18" s="28"/>
      <c r="G18" s="28"/>
      <c r="H18" s="28">
        <v>1000</v>
      </c>
      <c r="I18" s="28"/>
      <c r="J18" s="28"/>
      <c r="K18" s="28"/>
      <c r="L18" s="28">
        <v>1000</v>
      </c>
      <c r="M18" s="28"/>
      <c r="N18" s="28"/>
      <c r="O18" s="28"/>
      <c r="P18" s="28"/>
      <c r="Q18" s="28">
        <v>2000</v>
      </c>
      <c r="R18" s="28"/>
      <c r="S18" s="28"/>
      <c r="T18" s="67"/>
      <c r="U18" s="28"/>
      <c r="V18" s="28"/>
      <c r="W18" s="28"/>
      <c r="X18" s="28"/>
      <c r="Y18" s="28"/>
      <c r="Z18" s="28"/>
      <c r="AA18" s="28">
        <v>1000</v>
      </c>
      <c r="AB18" s="28"/>
      <c r="AC18" s="28">
        <v>1000</v>
      </c>
      <c r="AD18" s="28"/>
      <c r="AE18" s="28"/>
      <c r="AF18" s="28"/>
      <c r="AG18" s="28"/>
      <c r="AH18" s="28"/>
      <c r="AI18" s="28"/>
      <c r="AJ18" s="28"/>
      <c r="AK18" s="28">
        <v>1000</v>
      </c>
      <c r="AL18" s="28"/>
      <c r="AM18" s="28"/>
      <c r="AN18" s="28"/>
      <c r="AO18" s="28"/>
      <c r="AP18" s="28"/>
      <c r="AQ18" s="28"/>
      <c r="AS18" s="28">
        <v>1000</v>
      </c>
      <c r="AT18" s="28"/>
      <c r="AU18" s="34"/>
      <c r="AV18" s="34"/>
      <c r="AW18" s="34"/>
      <c r="AX18" s="34"/>
      <c r="AY18" s="28"/>
      <c r="AZ18" s="27"/>
      <c r="BA18" s="27"/>
      <c r="BB18" s="26">
        <f t="shared" si="8"/>
        <v>8000</v>
      </c>
      <c r="BC18" s="36"/>
      <c r="BD18" s="35">
        <f>BB18</f>
        <v>8000</v>
      </c>
      <c r="BE18" s="36"/>
      <c r="BF18" s="36"/>
      <c r="BG18" s="36"/>
      <c r="BH18" s="36"/>
      <c r="BI18" s="28">
        <f>SUM(BC18:BH18)</f>
        <v>8000</v>
      </c>
    </row>
    <row r="19" spans="1:61" ht="15.75" x14ac:dyDescent="0.25">
      <c r="A19" s="185"/>
      <c r="B19" s="22" t="s">
        <v>33</v>
      </c>
      <c r="C19" s="23" t="s">
        <v>29</v>
      </c>
      <c r="D19" s="42"/>
      <c r="E19" s="42"/>
      <c r="F19" s="42"/>
      <c r="G19" s="42"/>
      <c r="H19" s="42">
        <v>331.25</v>
      </c>
      <c r="I19" s="42"/>
      <c r="J19" s="42"/>
      <c r="K19" s="42"/>
      <c r="L19" s="42">
        <v>331.25</v>
      </c>
      <c r="M19" s="42"/>
      <c r="N19" s="42"/>
      <c r="O19" s="42"/>
      <c r="P19" s="42"/>
      <c r="Q19" s="42">
        <v>662.5</v>
      </c>
      <c r="R19" s="42"/>
      <c r="S19" s="42"/>
      <c r="T19" s="83"/>
      <c r="U19" s="42"/>
      <c r="V19" s="42"/>
      <c r="W19" s="42"/>
      <c r="X19" s="42"/>
      <c r="Y19" s="42"/>
      <c r="Z19" s="42"/>
      <c r="AA19" s="42">
        <v>331.25</v>
      </c>
      <c r="AB19" s="42"/>
      <c r="AC19" s="42">
        <v>331.25</v>
      </c>
      <c r="AD19" s="42"/>
      <c r="AE19" s="42"/>
      <c r="AF19" s="42"/>
      <c r="AG19" s="42"/>
      <c r="AH19" s="42"/>
      <c r="AI19" s="42"/>
      <c r="AJ19" s="42"/>
      <c r="AK19" s="42">
        <v>331.25</v>
      </c>
      <c r="AL19" s="42"/>
      <c r="AM19" s="42"/>
      <c r="AN19" s="42"/>
      <c r="AO19" s="42"/>
      <c r="AP19" s="42"/>
      <c r="AQ19" s="42"/>
      <c r="AS19" s="42">
        <v>331.25</v>
      </c>
      <c r="AT19" s="28"/>
      <c r="AU19" s="44"/>
      <c r="AV19" s="44"/>
      <c r="AW19" s="44"/>
      <c r="AX19" s="44"/>
      <c r="AY19" s="42"/>
      <c r="AZ19" s="45"/>
      <c r="BA19" s="45"/>
      <c r="BB19" s="46">
        <f t="shared" si="8"/>
        <v>2650</v>
      </c>
      <c r="BC19" s="47"/>
      <c r="BD19" s="47"/>
      <c r="BE19" s="48">
        <f>100/350*BB19</f>
        <v>757.14285714285711</v>
      </c>
      <c r="BF19" s="48">
        <f>250/350*BB19</f>
        <v>1892.8571428571429</v>
      </c>
      <c r="BG19" s="48"/>
      <c r="BH19" s="47"/>
      <c r="BI19" s="42">
        <f>SUM(BC19:BH19)</f>
        <v>2650</v>
      </c>
    </row>
    <row r="20" spans="1:61" ht="15.75" x14ac:dyDescent="0.25">
      <c r="A20" s="21"/>
      <c r="B20" s="22" t="s">
        <v>33</v>
      </c>
      <c r="C20" s="49" t="s">
        <v>30</v>
      </c>
      <c r="D20" s="84"/>
      <c r="E20" s="84"/>
      <c r="F20" s="84"/>
      <c r="G20" s="84"/>
      <c r="H20" s="84">
        <v>0</v>
      </c>
      <c r="I20" s="84"/>
      <c r="J20" s="84"/>
      <c r="K20" s="84"/>
      <c r="L20" s="84">
        <v>0</v>
      </c>
      <c r="M20" s="84"/>
      <c r="N20" s="84"/>
      <c r="O20" s="84"/>
      <c r="P20" s="84"/>
      <c r="Q20" s="84">
        <v>0</v>
      </c>
      <c r="R20" s="84"/>
      <c r="S20" s="84"/>
      <c r="T20" s="85"/>
      <c r="U20" s="84"/>
      <c r="V20" s="84"/>
      <c r="W20" s="84"/>
      <c r="X20" s="84"/>
      <c r="Y20" s="84"/>
      <c r="Z20" s="84"/>
      <c r="AA20" s="84">
        <v>0</v>
      </c>
      <c r="AB20" s="84"/>
      <c r="AC20" s="84">
        <v>0</v>
      </c>
      <c r="AD20" s="84"/>
      <c r="AE20" s="84"/>
      <c r="AF20" s="84"/>
      <c r="AG20" s="84"/>
      <c r="AH20" s="84"/>
      <c r="AI20" s="84"/>
      <c r="AJ20" s="84"/>
      <c r="AK20" s="84">
        <v>0</v>
      </c>
      <c r="AL20" s="84"/>
      <c r="AM20" s="84"/>
      <c r="AN20" s="84"/>
      <c r="AO20" s="84"/>
      <c r="AP20" s="84"/>
      <c r="AQ20" s="84"/>
      <c r="AS20" s="84">
        <v>0</v>
      </c>
      <c r="AT20" s="42"/>
      <c r="AU20" s="86"/>
      <c r="AV20" s="24"/>
      <c r="AW20" s="24"/>
      <c r="AX20" s="24"/>
      <c r="AY20" s="32"/>
      <c r="AZ20" s="73"/>
      <c r="BA20" s="73"/>
      <c r="BB20" s="87">
        <f t="shared" si="8"/>
        <v>0</v>
      </c>
      <c r="BE20" s="75"/>
      <c r="BF20" s="75"/>
      <c r="BG20" s="75"/>
      <c r="BI20" s="32"/>
    </row>
    <row r="21" spans="1:61" ht="16.5" thickBot="1" x14ac:dyDescent="0.3">
      <c r="A21" s="21"/>
      <c r="B21" s="22" t="s">
        <v>33</v>
      </c>
      <c r="C21" s="77" t="s">
        <v>31</v>
      </c>
      <c r="D21" s="84"/>
      <c r="E21" s="84"/>
      <c r="F21" s="84"/>
      <c r="G21" s="84"/>
      <c r="H21" s="84">
        <v>18.75</v>
      </c>
      <c r="I21" s="84"/>
      <c r="J21" s="84"/>
      <c r="K21" s="84"/>
      <c r="L21" s="84">
        <v>18.75</v>
      </c>
      <c r="M21" s="84"/>
      <c r="N21" s="84"/>
      <c r="O21" s="84"/>
      <c r="P21" s="84"/>
      <c r="Q21" s="32">
        <v>37.5</v>
      </c>
      <c r="R21" s="84"/>
      <c r="S21" s="84"/>
      <c r="T21" s="85"/>
      <c r="U21" s="32"/>
      <c r="V21" s="84"/>
      <c r="W21" s="84"/>
      <c r="X21" s="84"/>
      <c r="Y21" s="84"/>
      <c r="Z21" s="32"/>
      <c r="AA21" s="84">
        <v>18.75</v>
      </c>
      <c r="AB21" s="84"/>
      <c r="AC21" s="84">
        <v>18.75</v>
      </c>
      <c r="AD21" s="84"/>
      <c r="AE21" s="84"/>
      <c r="AF21" s="84"/>
      <c r="AG21" s="84"/>
      <c r="AH21" s="84"/>
      <c r="AI21" s="84"/>
      <c r="AJ21" s="84"/>
      <c r="AK21" s="84">
        <v>18.75</v>
      </c>
      <c r="AL21" s="84"/>
      <c r="AM21" s="84"/>
      <c r="AN21" s="84"/>
      <c r="AO21" s="84"/>
      <c r="AP21" s="84"/>
      <c r="AQ21" s="84"/>
      <c r="AS21" s="84">
        <v>18.75</v>
      </c>
      <c r="AT21" s="32"/>
      <c r="AU21" s="24"/>
      <c r="AV21" s="24"/>
      <c r="AW21" s="24"/>
      <c r="AX21" s="24"/>
      <c r="AY21" s="32"/>
      <c r="AZ21" s="73"/>
      <c r="BA21" s="73"/>
      <c r="BB21" s="87">
        <f t="shared" si="8"/>
        <v>150</v>
      </c>
      <c r="BE21" s="75"/>
      <c r="BF21" s="75"/>
      <c r="BG21" s="75"/>
      <c r="BI21" s="32"/>
    </row>
    <row r="22" spans="1:61" ht="16.5" thickBot="1" x14ac:dyDescent="0.3">
      <c r="A22" s="88"/>
      <c r="B22" s="89" t="s">
        <v>26</v>
      </c>
      <c r="C22" s="90"/>
      <c r="D22" s="91"/>
      <c r="E22" s="92"/>
      <c r="F22" s="92"/>
      <c r="G22" s="92"/>
      <c r="H22" s="92">
        <f>SUM(H16:H21)</f>
        <v>3850</v>
      </c>
      <c r="I22" s="92"/>
      <c r="J22" s="92">
        <f>SUM(J16:J20)</f>
        <v>0</v>
      </c>
      <c r="K22" s="92"/>
      <c r="L22" s="92">
        <f>SUM(L16:L21)</f>
        <v>3850</v>
      </c>
      <c r="M22" s="92"/>
      <c r="N22" s="92">
        <f>SUM(N16:N21)</f>
        <v>0</v>
      </c>
      <c r="O22" s="92"/>
      <c r="P22" s="92">
        <f>SUM(P16:P21)</f>
        <v>0</v>
      </c>
      <c r="Q22" s="93">
        <f>SUM(Q16:Q21)</f>
        <v>52200</v>
      </c>
      <c r="R22" s="92">
        <f>SUM(R16:R21)</f>
        <v>0</v>
      </c>
      <c r="S22" s="92">
        <f>SUM(S16:S20)</f>
        <v>0</v>
      </c>
      <c r="T22" s="92"/>
      <c r="U22" s="93">
        <f>SUM(U16:U20)</f>
        <v>0</v>
      </c>
      <c r="V22" s="92"/>
      <c r="W22" s="92"/>
      <c r="X22" s="92"/>
      <c r="Y22" s="92">
        <f>SUM(Y16:Y21)</f>
        <v>0</v>
      </c>
      <c r="Z22" s="93"/>
      <c r="AA22" s="92">
        <f>SUM(AA16:AA21)</f>
        <v>3990</v>
      </c>
      <c r="AB22" s="92"/>
      <c r="AC22" s="92">
        <f>SUM(AC16:AC21)</f>
        <v>4000</v>
      </c>
      <c r="AD22" s="92"/>
      <c r="AE22" s="92"/>
      <c r="AF22" s="92">
        <f>SUM(AF16:AF20)</f>
        <v>0</v>
      </c>
      <c r="AG22" s="92"/>
      <c r="AH22" s="92">
        <f>SUM(AH16:AH20)</f>
        <v>0</v>
      </c>
      <c r="AI22" s="92"/>
      <c r="AJ22" s="92"/>
      <c r="AK22" s="92">
        <f>SUM(AK16:AK21)</f>
        <v>3990</v>
      </c>
      <c r="AL22" s="92"/>
      <c r="AM22" s="92"/>
      <c r="AN22" s="92">
        <f>SUM(AN16:AN21)</f>
        <v>0</v>
      </c>
      <c r="AO22" s="92"/>
      <c r="AP22" s="92"/>
      <c r="AQ22" s="92"/>
      <c r="AR22" s="159">
        <v>0</v>
      </c>
      <c r="AS22" s="92">
        <f>SUM(AS16:AS21)</f>
        <v>3990</v>
      </c>
      <c r="AT22" s="94">
        <f>SUM(AT16:AT21)</f>
        <v>0</v>
      </c>
      <c r="AU22" s="95"/>
      <c r="AV22" s="95"/>
      <c r="AW22" s="95"/>
      <c r="AX22" s="95"/>
      <c r="AY22" s="96"/>
      <c r="AZ22" s="97"/>
      <c r="BA22" s="97"/>
      <c r="BB22" s="98">
        <f t="shared" ref="BB22:BB29" si="9">SUM(D22:BA22)</f>
        <v>75870</v>
      </c>
      <c r="BC22" s="94">
        <f t="shared" ref="BC22:BI22" si="10">SUM(BC16:BC19)</f>
        <v>1561.6799999999998</v>
      </c>
      <c r="BD22" s="94">
        <f t="shared" si="10"/>
        <v>8000</v>
      </c>
      <c r="BE22" s="94">
        <f t="shared" si="10"/>
        <v>757.14285714285711</v>
      </c>
      <c r="BF22" s="94">
        <f t="shared" si="10"/>
        <v>1892.8571428571429</v>
      </c>
      <c r="BG22" s="94">
        <f t="shared" si="10"/>
        <v>52056</v>
      </c>
      <c r="BH22" s="94">
        <f t="shared" si="10"/>
        <v>11452.32</v>
      </c>
      <c r="BI22" s="96">
        <f t="shared" si="10"/>
        <v>75720</v>
      </c>
    </row>
    <row r="23" spans="1:61" ht="16.5" thickBot="1" x14ac:dyDescent="0.3">
      <c r="A23" s="185">
        <v>4</v>
      </c>
      <c r="B23" s="99" t="s">
        <v>34</v>
      </c>
      <c r="C23" s="23" t="s">
        <v>24</v>
      </c>
      <c r="D23" s="24">
        <v>813792</v>
      </c>
      <c r="E23" s="24"/>
      <c r="F23" s="24">
        <v>914576</v>
      </c>
      <c r="G23" s="24"/>
      <c r="H23" s="24">
        <v>2286920</v>
      </c>
      <c r="I23" s="24"/>
      <c r="J23" s="24">
        <v>1233984</v>
      </c>
      <c r="K23" s="24"/>
      <c r="L23">
        <v>966720</v>
      </c>
      <c r="M23" s="24"/>
      <c r="N23">
        <v>691440</v>
      </c>
      <c r="O23">
        <v>57408</v>
      </c>
      <c r="P23" s="24"/>
      <c r="Q23">
        <v>696096</v>
      </c>
      <c r="R23" s="24"/>
      <c r="S23">
        <v>343112</v>
      </c>
      <c r="T23">
        <v>185600</v>
      </c>
      <c r="U23" s="24"/>
      <c r="V23">
        <v>1452208</v>
      </c>
      <c r="W23">
        <v>84560</v>
      </c>
      <c r="X23">
        <v>12920</v>
      </c>
      <c r="Y23">
        <v>1356296</v>
      </c>
      <c r="Z23">
        <v>25840</v>
      </c>
      <c r="AA23">
        <v>1539712</v>
      </c>
      <c r="AB23">
        <v>97480</v>
      </c>
      <c r="AC23">
        <v>1737768</v>
      </c>
      <c r="AD23">
        <v>51680</v>
      </c>
      <c r="AE23">
        <v>2194056</v>
      </c>
      <c r="AF23">
        <v>1798256</v>
      </c>
      <c r="AG23">
        <v>38760</v>
      </c>
      <c r="AH23">
        <v>202744</v>
      </c>
      <c r="AI23">
        <v>1391848</v>
      </c>
      <c r="AJ23">
        <v>225200</v>
      </c>
      <c r="AK23">
        <v>1297320</v>
      </c>
      <c r="AL23">
        <v>213600</v>
      </c>
      <c r="AM23">
        <v>669696</v>
      </c>
      <c r="AN23">
        <v>42600</v>
      </c>
      <c r="AO23">
        <v>148552</v>
      </c>
      <c r="AP23">
        <v>79360</v>
      </c>
      <c r="AQ23">
        <v>26520</v>
      </c>
      <c r="AR23">
        <v>84280</v>
      </c>
      <c r="AS23">
        <v>1946688</v>
      </c>
      <c r="AT23">
        <v>155456</v>
      </c>
      <c r="AU23">
        <v>1241000</v>
      </c>
      <c r="AV23">
        <v>129000</v>
      </c>
      <c r="AW23">
        <v>4120</v>
      </c>
      <c r="AX23">
        <v>793824</v>
      </c>
      <c r="AY23" s="24"/>
      <c r="AZ23" s="24"/>
      <c r="BA23" s="32"/>
      <c r="BB23" s="65">
        <f t="shared" si="9"/>
        <v>27230992</v>
      </c>
      <c r="BC23" s="66"/>
      <c r="BD23" s="66"/>
      <c r="BE23" s="66"/>
      <c r="BF23" s="66"/>
      <c r="BG23" s="66"/>
      <c r="BH23" s="66"/>
      <c r="BI23" s="64"/>
    </row>
    <row r="24" spans="1:61" ht="16.5" thickBot="1" x14ac:dyDescent="0.3">
      <c r="A24" s="185"/>
      <c r="B24" s="99" t="s">
        <v>34</v>
      </c>
      <c r="C24" s="23" t="s">
        <v>25</v>
      </c>
      <c r="D24" s="28">
        <f>179034.24+24413.76</f>
        <v>203448</v>
      </c>
      <c r="E24" s="28"/>
      <c r="F24" s="28">
        <f>201206.72+27437.28</f>
        <v>228644</v>
      </c>
      <c r="G24" s="28"/>
      <c r="H24" s="28">
        <f>503122.4+68607.6</f>
        <v>571730</v>
      </c>
      <c r="I24" s="28"/>
      <c r="J24" s="28">
        <f>271476.48+37019.52</f>
        <v>308496</v>
      </c>
      <c r="K24" s="28"/>
      <c r="L24" s="28">
        <f>212678.4+29001.6</f>
        <v>241680</v>
      </c>
      <c r="M24" s="28"/>
      <c r="N24" s="28">
        <f>152116.8+20743.2</f>
        <v>172860</v>
      </c>
      <c r="O24" s="31">
        <f>12629.76+1722.24</f>
        <v>14352</v>
      </c>
      <c r="P24" s="28"/>
      <c r="Q24" s="28">
        <f>153141.12+20882.88</f>
        <v>174024</v>
      </c>
      <c r="R24" s="28"/>
      <c r="S24" s="28">
        <f>75484.64+10293.36</f>
        <v>85778</v>
      </c>
      <c r="T24" s="67">
        <f>40832+5568</f>
        <v>46400</v>
      </c>
      <c r="U24" s="28"/>
      <c r="V24" s="28">
        <f>319485.76+43566.24</f>
        <v>363052</v>
      </c>
      <c r="W24" s="28">
        <f>18603.2+2536.8</f>
        <v>21140</v>
      </c>
      <c r="X24" s="28">
        <f>2842.4+387.6</f>
        <v>3230</v>
      </c>
      <c r="Y24" s="28">
        <f>298385.12+40688.88</f>
        <v>339074</v>
      </c>
      <c r="Z24" s="28">
        <f>5684.8+775.2</f>
        <v>6460</v>
      </c>
      <c r="AA24" s="28">
        <f>338736.64+46191.36</f>
        <v>384928</v>
      </c>
      <c r="AB24" s="28">
        <f>21445.6+2924.4</f>
        <v>24370</v>
      </c>
      <c r="AC24" s="28">
        <f>382308.96+52133.04</f>
        <v>434442</v>
      </c>
      <c r="AD24" s="28">
        <f>11369.6+1550.4</f>
        <v>12920</v>
      </c>
      <c r="AE24" s="28">
        <f>482692.32+65821.68</f>
        <v>548514</v>
      </c>
      <c r="AF24" s="28">
        <f>395616.32+53947.68</f>
        <v>449564</v>
      </c>
      <c r="AG24" s="28">
        <f xml:space="preserve"> 8527.2+1162.8</f>
        <v>9690</v>
      </c>
      <c r="AH24" s="28">
        <f>44603.68+6082.32</f>
        <v>50686</v>
      </c>
      <c r="AI24" s="28">
        <f>306206.56+41755.44</f>
        <v>347962</v>
      </c>
      <c r="AJ24" s="28">
        <f>49544+6756</f>
        <v>56300</v>
      </c>
      <c r="AK24" s="28">
        <f>285410.4+38919.6</f>
        <v>324330</v>
      </c>
      <c r="AL24" s="28">
        <f>46992+6408</f>
        <v>53400</v>
      </c>
      <c r="AM24" s="28">
        <f>147333.12+20090.88</f>
        <v>167424</v>
      </c>
      <c r="AN24" s="28">
        <f>9372+1278</f>
        <v>10650</v>
      </c>
      <c r="AO24" s="28">
        <f>32681.44+4456.56</f>
        <v>37138</v>
      </c>
      <c r="AP24" s="28">
        <f>17459.2+2380.8</f>
        <v>19840</v>
      </c>
      <c r="AQ24" s="28">
        <f>5834.4+795.6</f>
        <v>6630</v>
      </c>
      <c r="AR24" s="28">
        <f>18541.6+2528.4</f>
        <v>21070</v>
      </c>
      <c r="AS24" s="28">
        <f>428271.36+58400.64</f>
        <v>486672</v>
      </c>
      <c r="AT24" s="28">
        <f>34200.32+4663.68</f>
        <v>38864</v>
      </c>
      <c r="AU24" s="34">
        <f>273020+37230</f>
        <v>310250</v>
      </c>
      <c r="AV24" s="34">
        <f>28380+3870</f>
        <v>32250</v>
      </c>
      <c r="AW24" s="34">
        <f>906.4+123.6</f>
        <v>1030</v>
      </c>
      <c r="AX24" s="34">
        <f>174641.28+23814.72</f>
        <v>198456</v>
      </c>
      <c r="AY24" s="28"/>
      <c r="AZ24" s="27"/>
      <c r="BA24" s="27"/>
      <c r="BB24" s="26">
        <f t="shared" si="9"/>
        <v>6807748</v>
      </c>
      <c r="BC24" s="35"/>
      <c r="BD24" s="36"/>
      <c r="BE24" s="36"/>
      <c r="BF24" s="36"/>
      <c r="BG24" s="36"/>
      <c r="BH24" s="35"/>
      <c r="BI24" s="28"/>
    </row>
    <row r="25" spans="1:61" ht="18" customHeight="1" thickBot="1" x14ac:dyDescent="0.3">
      <c r="A25" s="185"/>
      <c r="B25" s="99" t="s">
        <v>34</v>
      </c>
      <c r="C25" s="23" t="s">
        <v>28</v>
      </c>
      <c r="D25" s="28">
        <v>53000</v>
      </c>
      <c r="E25" s="28"/>
      <c r="F25" s="28">
        <v>35000</v>
      </c>
      <c r="G25" s="28"/>
      <c r="H25" s="28">
        <v>48000</v>
      </c>
      <c r="I25" s="28"/>
      <c r="J25" s="28">
        <v>53000</v>
      </c>
      <c r="K25" s="28"/>
      <c r="L25" s="28">
        <v>35000</v>
      </c>
      <c r="M25" s="28"/>
      <c r="N25" s="24">
        <v>27000</v>
      </c>
      <c r="O25" s="31">
        <v>1000</v>
      </c>
      <c r="P25" s="28"/>
      <c r="Q25" s="28">
        <v>29000</v>
      </c>
      <c r="R25" s="28"/>
      <c r="S25" s="24">
        <v>69000</v>
      </c>
      <c r="T25" s="67">
        <v>78000</v>
      </c>
      <c r="U25" s="28"/>
      <c r="V25" s="28">
        <v>122000</v>
      </c>
      <c r="W25" s="28">
        <v>0</v>
      </c>
      <c r="X25" s="28">
        <v>0</v>
      </c>
      <c r="Y25" s="28">
        <v>97000</v>
      </c>
      <c r="Z25" s="28">
        <v>0</v>
      </c>
      <c r="AA25" s="28">
        <v>117000</v>
      </c>
      <c r="AB25" s="28">
        <v>0</v>
      </c>
      <c r="AC25" s="28">
        <v>114000</v>
      </c>
      <c r="AD25" s="28">
        <v>0</v>
      </c>
      <c r="AE25" s="100">
        <v>124000</v>
      </c>
      <c r="AF25" s="28">
        <v>127000</v>
      </c>
      <c r="AG25" s="28">
        <v>0</v>
      </c>
      <c r="AH25" s="28">
        <v>0</v>
      </c>
      <c r="AI25" s="28">
        <v>102000</v>
      </c>
      <c r="AJ25" s="28">
        <v>0</v>
      </c>
      <c r="AK25" s="28">
        <v>96000</v>
      </c>
      <c r="AL25" s="28">
        <v>0</v>
      </c>
      <c r="AM25" s="28">
        <v>61000</v>
      </c>
      <c r="AN25" s="28">
        <v>0</v>
      </c>
      <c r="AO25" s="28">
        <v>7000</v>
      </c>
      <c r="AP25" s="28">
        <v>0</v>
      </c>
      <c r="AQ25" s="28">
        <v>10000</v>
      </c>
      <c r="AR25" s="28">
        <v>0</v>
      </c>
      <c r="AS25" s="28">
        <v>128000</v>
      </c>
      <c r="AT25" s="28">
        <v>0</v>
      </c>
      <c r="AU25" s="34">
        <v>108000</v>
      </c>
      <c r="AV25" s="34">
        <v>0</v>
      </c>
      <c r="AW25" s="24">
        <v>1000</v>
      </c>
      <c r="AX25" s="34">
        <v>71000</v>
      </c>
      <c r="AY25" s="28"/>
      <c r="AZ25" s="27"/>
      <c r="BA25" s="27"/>
      <c r="BB25" s="26">
        <f t="shared" si="9"/>
        <v>1713000</v>
      </c>
      <c r="BC25" s="36"/>
      <c r="BD25" s="35"/>
      <c r="BE25" s="36"/>
      <c r="BF25" s="36"/>
      <c r="BG25" s="36"/>
      <c r="BH25" s="36"/>
      <c r="BI25" s="28"/>
    </row>
    <row r="26" spans="1:61" ht="16.5" thickBot="1" x14ac:dyDescent="0.3">
      <c r="A26" s="185"/>
      <c r="B26" s="99" t="s">
        <v>34</v>
      </c>
      <c r="C26" s="23" t="s">
        <v>29</v>
      </c>
      <c r="D26" s="28">
        <v>28487.5</v>
      </c>
      <c r="E26" s="28"/>
      <c r="F26" s="28">
        <v>23850</v>
      </c>
      <c r="G26" s="28"/>
      <c r="H26" s="28">
        <v>40412.5</v>
      </c>
      <c r="I26" s="28"/>
      <c r="J26" s="28">
        <v>26168.75</v>
      </c>
      <c r="K26" s="28"/>
      <c r="L26" s="28">
        <v>15237.5</v>
      </c>
      <c r="M26" s="28"/>
      <c r="N26" s="28">
        <v>13581.25</v>
      </c>
      <c r="O26" s="31">
        <v>331.25</v>
      </c>
      <c r="P26" s="28"/>
      <c r="Q26" s="28">
        <v>13581.25</v>
      </c>
      <c r="R26" s="28"/>
      <c r="S26" s="28">
        <v>25506.25</v>
      </c>
      <c r="T26" s="67">
        <v>29150</v>
      </c>
      <c r="U26" s="28"/>
      <c r="V26" s="28">
        <v>44056.25</v>
      </c>
      <c r="W26" s="28">
        <v>331.25</v>
      </c>
      <c r="X26" s="28">
        <v>331.25</v>
      </c>
      <c r="Y26" s="28">
        <v>36437.5</v>
      </c>
      <c r="Z26" s="28">
        <v>662.5</v>
      </c>
      <c r="AA26" s="28">
        <v>41075</v>
      </c>
      <c r="AB26" s="28">
        <v>662.5</v>
      </c>
      <c r="AC26" s="28">
        <v>42068.75</v>
      </c>
      <c r="AD26" s="28">
        <v>1325</v>
      </c>
      <c r="AE26" s="28">
        <v>44387.5</v>
      </c>
      <c r="AF26" s="28">
        <v>45712.5</v>
      </c>
      <c r="AG26" s="28">
        <v>993.75</v>
      </c>
      <c r="AH26" s="28">
        <v>2981.25</v>
      </c>
      <c r="AI26" s="28">
        <v>35775</v>
      </c>
      <c r="AJ26" s="28">
        <v>4306.25</v>
      </c>
      <c r="AK26" s="28">
        <v>35443.75</v>
      </c>
      <c r="AL26" s="28">
        <v>4306.25</v>
      </c>
      <c r="AM26" s="28">
        <v>23187.5</v>
      </c>
      <c r="AN26" s="28">
        <v>1656.25</v>
      </c>
      <c r="AO26" s="28">
        <v>2318.75</v>
      </c>
      <c r="AP26" s="28">
        <v>2650</v>
      </c>
      <c r="AQ26" s="28">
        <v>3643.75</v>
      </c>
      <c r="AR26" s="28">
        <v>2981.25</v>
      </c>
      <c r="AS26" s="28">
        <v>47368.75</v>
      </c>
      <c r="AT26" s="28">
        <v>3643.75</v>
      </c>
      <c r="AU26" s="34">
        <v>38425</v>
      </c>
      <c r="AV26" s="34">
        <v>2650</v>
      </c>
      <c r="AW26" s="28">
        <v>331.25</v>
      </c>
      <c r="AX26" s="34">
        <v>24512.5</v>
      </c>
      <c r="AY26" s="28"/>
      <c r="AZ26" s="27"/>
      <c r="BA26" s="27"/>
      <c r="BB26" s="26">
        <f t="shared" si="9"/>
        <v>710531.25</v>
      </c>
      <c r="BC26" s="36"/>
      <c r="BD26" s="36"/>
      <c r="BE26" s="35"/>
      <c r="BF26" s="35"/>
      <c r="BG26" s="35"/>
      <c r="BH26" s="36"/>
      <c r="BI26" s="28"/>
    </row>
    <row r="27" spans="1:61" ht="16.5" thickBot="1" x14ac:dyDescent="0.3">
      <c r="A27" s="21"/>
      <c r="B27" s="99" t="s">
        <v>34</v>
      </c>
      <c r="C27" s="49" t="s">
        <v>30</v>
      </c>
      <c r="D27" s="84">
        <v>0</v>
      </c>
      <c r="E27" s="84"/>
      <c r="F27" s="84">
        <v>0</v>
      </c>
      <c r="G27" s="84"/>
      <c r="H27" s="84">
        <v>0</v>
      </c>
      <c r="I27" s="84"/>
      <c r="J27" s="84">
        <v>0</v>
      </c>
      <c r="K27" s="84"/>
      <c r="L27" s="84">
        <v>0</v>
      </c>
      <c r="M27" s="84"/>
      <c r="N27" s="84">
        <v>0</v>
      </c>
      <c r="O27" s="101">
        <v>0</v>
      </c>
      <c r="P27" s="84"/>
      <c r="Q27" s="84">
        <v>0</v>
      </c>
      <c r="R27" s="84"/>
      <c r="S27" s="84">
        <v>0</v>
      </c>
      <c r="T27" s="85">
        <v>0</v>
      </c>
      <c r="U27" s="84"/>
      <c r="V27" s="84">
        <v>0</v>
      </c>
      <c r="W27" s="84">
        <v>0</v>
      </c>
      <c r="X27" s="84">
        <v>0</v>
      </c>
      <c r="Y27" s="84">
        <v>0</v>
      </c>
      <c r="Z27" s="84">
        <v>0</v>
      </c>
      <c r="AA27" s="84">
        <v>0</v>
      </c>
      <c r="AB27" s="84">
        <v>0</v>
      </c>
      <c r="AC27" s="84">
        <v>0</v>
      </c>
      <c r="AD27" s="84">
        <v>0</v>
      </c>
      <c r="AE27" s="84">
        <v>0</v>
      </c>
      <c r="AF27" s="84">
        <v>0</v>
      </c>
      <c r="AG27" s="84">
        <v>0</v>
      </c>
      <c r="AH27" s="84">
        <v>0</v>
      </c>
      <c r="AI27" s="84">
        <v>0</v>
      </c>
      <c r="AJ27" s="84">
        <v>0</v>
      </c>
      <c r="AK27" s="84">
        <v>0</v>
      </c>
      <c r="AL27" s="84">
        <v>0</v>
      </c>
      <c r="AM27" s="32">
        <v>0</v>
      </c>
      <c r="AN27" s="32">
        <v>0</v>
      </c>
      <c r="AO27" s="84">
        <v>0</v>
      </c>
      <c r="AP27" s="84">
        <v>0</v>
      </c>
      <c r="AQ27" s="84">
        <v>0</v>
      </c>
      <c r="AR27" s="84">
        <v>0</v>
      </c>
      <c r="AS27" s="84">
        <v>0</v>
      </c>
      <c r="AT27" s="32">
        <v>0</v>
      </c>
      <c r="AU27" s="24">
        <v>0</v>
      </c>
      <c r="AV27" s="32">
        <v>0</v>
      </c>
      <c r="AW27" s="24">
        <v>5000</v>
      </c>
      <c r="AX27" s="32">
        <v>0</v>
      </c>
      <c r="AY27" s="32"/>
      <c r="AZ27" s="73"/>
      <c r="BA27" s="73"/>
      <c r="BB27" s="55">
        <f t="shared" si="9"/>
        <v>5000</v>
      </c>
      <c r="BE27" s="75"/>
      <c r="BF27" s="75"/>
      <c r="BG27" s="75"/>
      <c r="BI27" s="32"/>
    </row>
    <row r="28" spans="1:61" ht="15.75" x14ac:dyDescent="0.25">
      <c r="A28" s="21"/>
      <c r="B28" s="99" t="s">
        <v>34</v>
      </c>
      <c r="C28" s="77" t="s">
        <v>31</v>
      </c>
      <c r="D28" s="84">
        <v>1612.5</v>
      </c>
      <c r="E28" s="84"/>
      <c r="F28" s="84">
        <v>1350</v>
      </c>
      <c r="G28" s="84"/>
      <c r="H28" s="84">
        <v>2287.5</v>
      </c>
      <c r="I28" s="84"/>
      <c r="J28" s="84">
        <v>1481.25</v>
      </c>
      <c r="K28" s="84"/>
      <c r="L28" s="84">
        <v>862.5</v>
      </c>
      <c r="M28" s="84"/>
      <c r="N28" s="84">
        <v>768.75</v>
      </c>
      <c r="O28" s="101">
        <v>18.75</v>
      </c>
      <c r="Q28" s="84">
        <v>768.75</v>
      </c>
      <c r="S28" s="84">
        <v>1443.75</v>
      </c>
      <c r="T28" s="76">
        <v>1650</v>
      </c>
      <c r="U28" s="84"/>
      <c r="V28" s="32">
        <v>2493.75</v>
      </c>
      <c r="W28" s="84">
        <v>18.75</v>
      </c>
      <c r="X28" s="32">
        <v>18.75</v>
      </c>
      <c r="Y28" s="84">
        <v>2062.5</v>
      </c>
      <c r="Z28" s="84">
        <v>37.5</v>
      </c>
      <c r="AA28" s="84">
        <v>2325</v>
      </c>
      <c r="AB28" s="25">
        <v>37.5</v>
      </c>
      <c r="AC28" s="84">
        <v>2381.25</v>
      </c>
      <c r="AD28" s="84">
        <v>75</v>
      </c>
      <c r="AE28" s="84">
        <v>2512.5</v>
      </c>
      <c r="AF28" s="24">
        <v>2587.5</v>
      </c>
      <c r="AG28" s="84">
        <v>56.25</v>
      </c>
      <c r="AH28" s="84">
        <v>168.75</v>
      </c>
      <c r="AI28" s="84">
        <v>2025</v>
      </c>
      <c r="AJ28" s="84">
        <v>243.75</v>
      </c>
      <c r="AK28" s="84">
        <v>2006.25</v>
      </c>
      <c r="AL28" s="84">
        <v>243.75</v>
      </c>
      <c r="AM28" s="84">
        <v>1312.5</v>
      </c>
      <c r="AN28" s="84">
        <v>93.75</v>
      </c>
      <c r="AO28" s="84">
        <v>131.25</v>
      </c>
      <c r="AP28" s="84">
        <v>150</v>
      </c>
      <c r="AQ28" s="84">
        <v>206.25</v>
      </c>
      <c r="AR28" s="84">
        <v>168.75</v>
      </c>
      <c r="AS28" s="84">
        <v>2681.25</v>
      </c>
      <c r="AT28" s="32">
        <v>206.25</v>
      </c>
      <c r="AU28" s="24">
        <v>2175</v>
      </c>
      <c r="AV28" s="32">
        <v>150</v>
      </c>
      <c r="AW28" s="24">
        <v>18.75</v>
      </c>
      <c r="AX28" s="32">
        <v>1387.5</v>
      </c>
      <c r="AY28" s="32"/>
      <c r="AZ28" s="73"/>
      <c r="BA28" s="73"/>
      <c r="BB28" s="55">
        <f t="shared" si="9"/>
        <v>40218.75</v>
      </c>
      <c r="BE28" s="75"/>
      <c r="BF28" s="75"/>
      <c r="BG28" s="75"/>
      <c r="BI28" s="32"/>
    </row>
    <row r="29" spans="1:61" ht="16.5" thickBot="1" x14ac:dyDescent="0.3">
      <c r="A29" s="88"/>
      <c r="B29" s="102" t="s">
        <v>26</v>
      </c>
      <c r="C29" s="90"/>
      <c r="D29" s="103">
        <f>SUM(D23:D28)</f>
        <v>1100340</v>
      </c>
      <c r="E29" s="103">
        <f>SUM(E23:E28)</f>
        <v>0</v>
      </c>
      <c r="F29" s="103">
        <f>SUM(F23:F28)</f>
        <v>1203420</v>
      </c>
      <c r="G29" s="103">
        <f>SUM(G23:G28)</f>
        <v>0</v>
      </c>
      <c r="H29" s="103">
        <f>SUM(H23:H28)</f>
        <v>2949350</v>
      </c>
      <c r="I29" s="103">
        <f t="shared" ref="I29:T29" si="11">SUM(I23:I28)</f>
        <v>0</v>
      </c>
      <c r="J29" s="103">
        <f t="shared" si="11"/>
        <v>1623130</v>
      </c>
      <c r="K29" s="103">
        <f t="shared" si="11"/>
        <v>0</v>
      </c>
      <c r="L29" s="103">
        <f t="shared" si="11"/>
        <v>1259500</v>
      </c>
      <c r="M29" s="103">
        <f t="shared" si="11"/>
        <v>0</v>
      </c>
      <c r="N29" s="103">
        <f t="shared" si="11"/>
        <v>905650</v>
      </c>
      <c r="O29" s="103">
        <f t="shared" si="11"/>
        <v>73110</v>
      </c>
      <c r="P29" s="103">
        <f t="shared" si="11"/>
        <v>0</v>
      </c>
      <c r="Q29" s="103">
        <f t="shared" si="11"/>
        <v>913470</v>
      </c>
      <c r="R29" s="103">
        <f t="shared" si="11"/>
        <v>0</v>
      </c>
      <c r="S29" s="103">
        <f t="shared" si="11"/>
        <v>524840</v>
      </c>
      <c r="T29" s="103">
        <f t="shared" si="11"/>
        <v>340800</v>
      </c>
      <c r="U29" s="103">
        <f t="shared" ref="U29:BA29" si="12">SUM(U23:U27)</f>
        <v>0</v>
      </c>
      <c r="V29" s="103">
        <f t="shared" ref="V29:AV29" si="13">SUM(V23:V28)</f>
        <v>1983810</v>
      </c>
      <c r="W29" s="103">
        <f t="shared" si="13"/>
        <v>106050</v>
      </c>
      <c r="X29" s="103">
        <f t="shared" si="13"/>
        <v>16500</v>
      </c>
      <c r="Y29" s="103">
        <f t="shared" si="13"/>
        <v>1830870</v>
      </c>
      <c r="Z29" s="103">
        <f t="shared" si="13"/>
        <v>33000</v>
      </c>
      <c r="AA29" s="103">
        <f t="shared" si="13"/>
        <v>2085040</v>
      </c>
      <c r="AB29" s="103">
        <f t="shared" si="13"/>
        <v>122550</v>
      </c>
      <c r="AC29" s="103">
        <f t="shared" si="13"/>
        <v>2330660</v>
      </c>
      <c r="AD29" s="103">
        <f t="shared" si="13"/>
        <v>66000</v>
      </c>
      <c r="AE29" s="103">
        <f t="shared" si="13"/>
        <v>2913470</v>
      </c>
      <c r="AF29" s="103">
        <f t="shared" si="13"/>
        <v>2423120</v>
      </c>
      <c r="AG29" s="103">
        <f t="shared" si="13"/>
        <v>49500</v>
      </c>
      <c r="AH29" s="103">
        <f t="shared" si="13"/>
        <v>256580</v>
      </c>
      <c r="AI29" s="104">
        <f t="shared" si="13"/>
        <v>1879610</v>
      </c>
      <c r="AJ29" s="103">
        <f t="shared" si="13"/>
        <v>286050</v>
      </c>
      <c r="AK29" s="103">
        <f t="shared" si="13"/>
        <v>1755100</v>
      </c>
      <c r="AL29" s="103">
        <f t="shared" si="13"/>
        <v>271550</v>
      </c>
      <c r="AM29" s="103">
        <f t="shared" si="13"/>
        <v>922620</v>
      </c>
      <c r="AN29" s="103">
        <f t="shared" si="13"/>
        <v>55000</v>
      </c>
      <c r="AO29" s="103">
        <f t="shared" si="13"/>
        <v>195140</v>
      </c>
      <c r="AP29" s="103">
        <f t="shared" si="13"/>
        <v>102000</v>
      </c>
      <c r="AQ29" s="103">
        <f t="shared" si="13"/>
        <v>47000</v>
      </c>
      <c r="AR29" s="103">
        <f t="shared" si="13"/>
        <v>108500</v>
      </c>
      <c r="AS29" s="103">
        <f t="shared" si="13"/>
        <v>2611410</v>
      </c>
      <c r="AT29" s="103">
        <f t="shared" si="13"/>
        <v>198170</v>
      </c>
      <c r="AU29" s="103">
        <f t="shared" si="13"/>
        <v>1699850</v>
      </c>
      <c r="AV29" s="103">
        <f t="shared" si="13"/>
        <v>164050</v>
      </c>
      <c r="AW29" s="103">
        <f>SUM(AW23:AW28)</f>
        <v>11500</v>
      </c>
      <c r="AX29" s="103">
        <f>SUM(AX23:AX28)</f>
        <v>1089180</v>
      </c>
      <c r="AY29" s="103">
        <f t="shared" si="12"/>
        <v>0</v>
      </c>
      <c r="AZ29" s="103">
        <f t="shared" si="12"/>
        <v>0</v>
      </c>
      <c r="BA29" s="103">
        <f t="shared" si="12"/>
        <v>0</v>
      </c>
      <c r="BB29" s="105">
        <f t="shared" si="9"/>
        <v>36507490</v>
      </c>
      <c r="BC29" s="106">
        <f t="shared" ref="BC29:BI29" si="14">SUM(BC23:BC26)</f>
        <v>0</v>
      </c>
      <c r="BD29" s="106">
        <f t="shared" si="14"/>
        <v>0</v>
      </c>
      <c r="BE29" s="106">
        <f t="shared" si="14"/>
        <v>0</v>
      </c>
      <c r="BF29" s="106">
        <f t="shared" si="14"/>
        <v>0</v>
      </c>
      <c r="BG29" s="106">
        <f t="shared" si="14"/>
        <v>0</v>
      </c>
      <c r="BH29" s="106">
        <f t="shared" si="14"/>
        <v>0</v>
      </c>
      <c r="BI29" s="106">
        <f t="shared" si="14"/>
        <v>0</v>
      </c>
    </row>
    <row r="30" spans="1:61" ht="39" customHeight="1" thickBot="1" x14ac:dyDescent="0.3">
      <c r="A30" s="185">
        <v>5</v>
      </c>
      <c r="B30" s="107" t="s">
        <v>35</v>
      </c>
      <c r="C30" s="23" t="s">
        <v>24</v>
      </c>
      <c r="D30" s="28"/>
      <c r="E30" s="32"/>
      <c r="F30" s="24"/>
      <c r="G30" s="28"/>
      <c r="H30" s="28"/>
      <c r="I30" s="28"/>
      <c r="J30" s="28"/>
      <c r="K30" s="28"/>
      <c r="L30" s="24"/>
      <c r="M30" s="28"/>
      <c r="N30" s="28"/>
      <c r="O30" s="28"/>
      <c r="P30" s="28"/>
      <c r="Q30" s="28"/>
      <c r="R30" s="28"/>
      <c r="S30" s="34"/>
      <c r="T30">
        <v>4000</v>
      </c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34"/>
      <c r="AY30" s="28"/>
      <c r="AZ30" s="27"/>
      <c r="BA30" s="73"/>
      <c r="BB30" s="65">
        <v>0</v>
      </c>
      <c r="BC30" s="27"/>
      <c r="BD30" s="27"/>
      <c r="BE30" s="27"/>
      <c r="BF30" s="27"/>
      <c r="BG30" s="27"/>
      <c r="BH30" s="27"/>
      <c r="BI30" s="28"/>
    </row>
    <row r="31" spans="1:61" ht="33.75" customHeight="1" thickBot="1" x14ac:dyDescent="0.3">
      <c r="A31" s="185"/>
      <c r="B31" s="107" t="s">
        <v>35</v>
      </c>
      <c r="C31" s="23" t="s">
        <v>25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>
        <f>880+120</f>
        <v>1000</v>
      </c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34"/>
      <c r="AV31" s="34"/>
      <c r="AW31" s="34"/>
      <c r="AX31" s="34"/>
      <c r="AY31" s="28"/>
      <c r="AZ31" s="27"/>
      <c r="BA31" s="27"/>
      <c r="BB31" s="26">
        <v>0</v>
      </c>
      <c r="BC31" s="35"/>
      <c r="BD31" s="36"/>
      <c r="BE31" s="36"/>
      <c r="BF31" s="36"/>
      <c r="BG31" s="36"/>
      <c r="BH31" s="35"/>
      <c r="BI31" s="28"/>
    </row>
    <row r="32" spans="1:61" ht="33.75" customHeight="1" thickBot="1" x14ac:dyDescent="0.3">
      <c r="A32" s="185"/>
      <c r="B32" s="107" t="s">
        <v>35</v>
      </c>
      <c r="C32" s="23" t="s">
        <v>28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>
        <v>1000</v>
      </c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34"/>
      <c r="AV32" s="34"/>
      <c r="AW32" s="34"/>
      <c r="AX32" s="34"/>
      <c r="AY32" s="28"/>
      <c r="AZ32" s="27"/>
      <c r="BA32" s="27"/>
      <c r="BB32" s="26">
        <v>0</v>
      </c>
      <c r="BC32" s="36"/>
      <c r="BD32" s="35"/>
      <c r="BE32" s="36"/>
      <c r="BF32" s="36"/>
      <c r="BG32" s="36"/>
      <c r="BH32" s="36"/>
      <c r="BI32" s="28"/>
    </row>
    <row r="33" spans="1:61" ht="35.25" customHeight="1" thickBot="1" x14ac:dyDescent="0.3">
      <c r="A33" s="185"/>
      <c r="B33" s="107" t="s">
        <v>35</v>
      </c>
      <c r="C33" s="23" t="s">
        <v>29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>
        <v>331.25</v>
      </c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34"/>
      <c r="AV33" s="34"/>
      <c r="AW33" s="34"/>
      <c r="AX33" s="34"/>
      <c r="AY33" s="28"/>
      <c r="AZ33" s="27"/>
      <c r="BA33" s="27"/>
      <c r="BB33" s="26">
        <v>0</v>
      </c>
      <c r="BC33" s="36"/>
      <c r="BD33" s="36"/>
      <c r="BE33" s="35"/>
      <c r="BF33" s="35"/>
      <c r="BG33" s="35"/>
      <c r="BH33" s="36"/>
      <c r="BI33" s="28"/>
    </row>
    <row r="34" spans="1:61" ht="37.5" customHeight="1" thickBot="1" x14ac:dyDescent="0.3">
      <c r="A34" s="21"/>
      <c r="B34" s="107" t="s">
        <v>35</v>
      </c>
      <c r="C34" s="49" t="s">
        <v>30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>
        <v>0</v>
      </c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24"/>
      <c r="AV34" s="24"/>
      <c r="AW34" s="24"/>
      <c r="AX34" s="24"/>
      <c r="AY34" s="32"/>
      <c r="AZ34" s="73"/>
      <c r="BA34" s="73"/>
      <c r="BB34" s="55">
        <v>0</v>
      </c>
      <c r="BE34" s="75"/>
      <c r="BF34" s="75"/>
      <c r="BG34" s="75"/>
      <c r="BI34" s="32"/>
    </row>
    <row r="35" spans="1:61" ht="32.25" customHeight="1" x14ac:dyDescent="0.25">
      <c r="A35" s="21"/>
      <c r="B35" s="107" t="s">
        <v>35</v>
      </c>
      <c r="C35" s="77" t="s">
        <v>31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T35" s="32">
        <v>18.75</v>
      </c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24"/>
      <c r="AV35" s="24"/>
      <c r="AW35" s="24"/>
      <c r="AX35" s="24"/>
      <c r="AY35" s="32"/>
      <c r="AZ35" s="73"/>
      <c r="BA35" s="73"/>
      <c r="BB35" s="55"/>
      <c r="BE35" s="75"/>
      <c r="BF35" s="75"/>
      <c r="BG35" s="75"/>
      <c r="BI35" s="32"/>
    </row>
    <row r="36" spans="1:61" ht="16.5" thickBot="1" x14ac:dyDescent="0.3">
      <c r="A36" s="108"/>
      <c r="B36" s="109" t="s">
        <v>26</v>
      </c>
      <c r="C36" s="110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>
        <f>SUM(T30:T35)</f>
        <v>6350</v>
      </c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111"/>
      <c r="AV36" s="111"/>
      <c r="AW36" s="111"/>
      <c r="AX36" s="111"/>
      <c r="AY36" s="112"/>
      <c r="AZ36" s="87"/>
      <c r="BA36" s="87"/>
      <c r="BB36" s="113">
        <f>SUM(C36:BA36)</f>
        <v>6350</v>
      </c>
      <c r="BC36" s="87"/>
      <c r="BD36" s="87">
        <f t="shared" ref="BD36:BI36" si="15">SUM(BD30:BD33)</f>
        <v>0</v>
      </c>
      <c r="BE36" s="87">
        <f t="shared" si="15"/>
        <v>0</v>
      </c>
      <c r="BF36" s="87">
        <f t="shared" si="15"/>
        <v>0</v>
      </c>
      <c r="BG36" s="87">
        <f t="shared" si="15"/>
        <v>0</v>
      </c>
      <c r="BH36" s="87">
        <f t="shared" si="15"/>
        <v>0</v>
      </c>
      <c r="BI36" s="87">
        <f t="shared" si="15"/>
        <v>0</v>
      </c>
    </row>
    <row r="37" spans="1:61" ht="28.5" customHeight="1" thickTop="1" thickBot="1" x14ac:dyDescent="0.3">
      <c r="A37" s="185">
        <v>6</v>
      </c>
      <c r="B37" s="107" t="s">
        <v>36</v>
      </c>
      <c r="C37" s="23" t="s">
        <v>24</v>
      </c>
      <c r="D37" s="24"/>
      <c r="E37" s="24"/>
      <c r="F37" s="24"/>
      <c r="G37" s="24">
        <v>56000</v>
      </c>
      <c r="H37" s="28"/>
      <c r="I37" s="24">
        <v>4000</v>
      </c>
      <c r="J37" s="24"/>
      <c r="K37" s="24">
        <v>8000</v>
      </c>
      <c r="L37" s="24"/>
      <c r="M37" s="24"/>
      <c r="N37" s="24"/>
      <c r="O37">
        <v>8000</v>
      </c>
      <c r="P37">
        <v>48000</v>
      </c>
      <c r="Q37" s="24"/>
      <c r="R37">
        <v>248000</v>
      </c>
      <c r="S37" s="24"/>
      <c r="T37" s="24"/>
      <c r="U37">
        <v>392800</v>
      </c>
      <c r="W37">
        <v>592800</v>
      </c>
      <c r="X37">
        <v>640800</v>
      </c>
      <c r="Y37">
        <v>5600</v>
      </c>
      <c r="Z37">
        <v>541600</v>
      </c>
      <c r="AA37">
        <v>5600</v>
      </c>
      <c r="AB37">
        <v>1776000</v>
      </c>
      <c r="AC37" s="24"/>
      <c r="AD37">
        <v>860800</v>
      </c>
      <c r="AE37">
        <v>5600</v>
      </c>
      <c r="AF37">
        <v>11200</v>
      </c>
      <c r="AG37">
        <v>447200</v>
      </c>
      <c r="AH37">
        <v>881600</v>
      </c>
      <c r="AI37" s="24"/>
      <c r="AJ37">
        <v>1550400</v>
      </c>
      <c r="AK37" s="24"/>
      <c r="AL37">
        <v>583200</v>
      </c>
      <c r="AM37">
        <v>11200</v>
      </c>
      <c r="AN37">
        <v>778400</v>
      </c>
      <c r="AO37" s="24"/>
      <c r="AP37">
        <v>374400</v>
      </c>
      <c r="AQ37" s="24"/>
      <c r="AR37">
        <v>22400</v>
      </c>
      <c r="AS37" s="24"/>
      <c r="AT37" s="28"/>
      <c r="AU37" s="24"/>
      <c r="AV37" s="24"/>
      <c r="AW37" s="24"/>
      <c r="AX37" s="24"/>
      <c r="AY37" s="28"/>
      <c r="AZ37" s="24"/>
      <c r="BA37" s="33"/>
      <c r="BB37" s="65">
        <f t="shared" ref="BB37:BB42" si="16">SUM(G37:BA37)</f>
        <v>9853600</v>
      </c>
      <c r="BC37" s="27"/>
      <c r="BD37" s="27"/>
      <c r="BE37" s="27"/>
      <c r="BF37" s="27"/>
      <c r="BG37" s="27"/>
      <c r="BH37" s="27"/>
      <c r="BI37" s="28"/>
    </row>
    <row r="38" spans="1:61" ht="16.5" customHeight="1" thickBot="1" x14ac:dyDescent="0.3">
      <c r="A38" s="185"/>
      <c r="B38" s="107" t="s">
        <v>36</v>
      </c>
      <c r="C38" s="23" t="s">
        <v>25</v>
      </c>
      <c r="D38" s="28"/>
      <c r="E38" s="28"/>
      <c r="F38" s="28"/>
      <c r="G38" s="28">
        <f>12320+1680</f>
        <v>14000</v>
      </c>
      <c r="H38" s="28"/>
      <c r="I38" s="28">
        <f>880+120</f>
        <v>1000</v>
      </c>
      <c r="J38" s="28"/>
      <c r="K38" s="28">
        <f>1760+240</f>
        <v>2000</v>
      </c>
      <c r="L38" s="28"/>
      <c r="M38" s="28"/>
      <c r="N38" s="28"/>
      <c r="O38" s="31">
        <f>1760+240</f>
        <v>2000</v>
      </c>
      <c r="P38" s="31">
        <f>10560+1440</f>
        <v>12000</v>
      </c>
      <c r="Q38" s="28"/>
      <c r="R38" s="28">
        <f>54560+7440</f>
        <v>62000</v>
      </c>
      <c r="S38" s="28"/>
      <c r="T38" s="114"/>
      <c r="U38" s="114">
        <f>86416+11784</f>
        <v>98200</v>
      </c>
      <c r="V38" s="114"/>
      <c r="W38" s="114">
        <f>130416+17784</f>
        <v>148200</v>
      </c>
      <c r="X38" s="28">
        <f>140976+19224</f>
        <v>160200</v>
      </c>
      <c r="Y38" s="28">
        <f>1232+168</f>
        <v>1400</v>
      </c>
      <c r="Z38" s="28">
        <f>119152+16248</f>
        <v>135400</v>
      </c>
      <c r="AA38" s="28">
        <f>1232+168</f>
        <v>1400</v>
      </c>
      <c r="AB38" s="28">
        <f>390720+53280</f>
        <v>444000</v>
      </c>
      <c r="AC38" s="26"/>
      <c r="AD38" s="28">
        <f>189376+25824</f>
        <v>215200</v>
      </c>
      <c r="AE38" s="28">
        <f>1232+168</f>
        <v>1400</v>
      </c>
      <c r="AF38" s="28">
        <f>2464+336</f>
        <v>2800</v>
      </c>
      <c r="AG38" s="28">
        <f>98384+13416</f>
        <v>111800</v>
      </c>
      <c r="AH38" s="28">
        <f>193952+26448</f>
        <v>220400</v>
      </c>
      <c r="AI38" s="28"/>
      <c r="AJ38" s="28">
        <f>341088+46512</f>
        <v>387600</v>
      </c>
      <c r="AK38" s="28"/>
      <c r="AL38" s="28">
        <f>128304+17496</f>
        <v>145800</v>
      </c>
      <c r="AM38" s="28">
        <f>2464+336</f>
        <v>2800</v>
      </c>
      <c r="AN38" s="28">
        <f>171248+23352</f>
        <v>194600</v>
      </c>
      <c r="AO38" s="28"/>
      <c r="AP38" s="28">
        <f>82368+11232</f>
        <v>93600</v>
      </c>
      <c r="AQ38" s="28"/>
      <c r="AR38" s="28">
        <f>4928+672</f>
        <v>5600</v>
      </c>
      <c r="AS38" s="28"/>
      <c r="AT38" s="28"/>
      <c r="AU38" s="28"/>
      <c r="AV38" s="28"/>
      <c r="AW38" s="28"/>
      <c r="AX38" s="28"/>
      <c r="AY38" s="28"/>
      <c r="AZ38" s="28"/>
      <c r="BA38" s="28"/>
      <c r="BB38" s="26">
        <f t="shared" si="16"/>
        <v>2463400</v>
      </c>
      <c r="BC38" s="35"/>
      <c r="BD38" s="36"/>
      <c r="BE38" s="36"/>
      <c r="BF38" s="36"/>
      <c r="BG38" s="36"/>
      <c r="BH38" s="35"/>
      <c r="BI38" s="28"/>
    </row>
    <row r="39" spans="1:61" ht="20.25" customHeight="1" thickBot="1" x14ac:dyDescent="0.3">
      <c r="A39" s="185"/>
      <c r="B39" s="107" t="s">
        <v>36</v>
      </c>
      <c r="C39" s="23" t="s">
        <v>28</v>
      </c>
      <c r="D39" s="28"/>
      <c r="E39" s="28"/>
      <c r="F39" s="28"/>
      <c r="G39" s="28">
        <v>1000</v>
      </c>
      <c r="H39" s="28"/>
      <c r="I39" s="28">
        <v>0</v>
      </c>
      <c r="J39" s="28"/>
      <c r="K39" s="28">
        <v>1000</v>
      </c>
      <c r="L39" s="28"/>
      <c r="M39" s="28"/>
      <c r="N39" s="28"/>
      <c r="O39" s="31">
        <v>1000</v>
      </c>
      <c r="P39" s="31">
        <v>6000</v>
      </c>
      <c r="Q39" s="28"/>
      <c r="R39" s="28">
        <v>31000</v>
      </c>
      <c r="S39" s="28"/>
      <c r="T39" s="114"/>
      <c r="U39" s="114">
        <v>63000</v>
      </c>
      <c r="V39" s="114"/>
      <c r="W39" s="114">
        <v>94000</v>
      </c>
      <c r="X39" s="28">
        <v>100000</v>
      </c>
      <c r="Y39" s="28">
        <v>1000</v>
      </c>
      <c r="Z39" s="28">
        <v>83000</v>
      </c>
      <c r="AA39" s="28">
        <v>1000</v>
      </c>
      <c r="AB39" s="28">
        <v>290000</v>
      </c>
      <c r="AC39" s="26"/>
      <c r="AD39" s="28">
        <v>149000</v>
      </c>
      <c r="AE39" s="28">
        <v>1000</v>
      </c>
      <c r="AF39" s="28">
        <v>2000</v>
      </c>
      <c r="AG39" s="28">
        <v>79000</v>
      </c>
      <c r="AH39" s="28">
        <v>154000</v>
      </c>
      <c r="AI39" s="28"/>
      <c r="AJ39" s="28">
        <v>268000</v>
      </c>
      <c r="AK39" s="28"/>
      <c r="AL39" s="28">
        <v>103000</v>
      </c>
      <c r="AM39" s="28">
        <v>2000</v>
      </c>
      <c r="AN39" s="28">
        <v>139000</v>
      </c>
      <c r="AO39" s="28"/>
      <c r="AP39" s="28">
        <v>66000</v>
      </c>
      <c r="AQ39" s="28"/>
      <c r="AR39" s="28">
        <v>4000</v>
      </c>
      <c r="AS39" s="28"/>
      <c r="AT39" s="28"/>
      <c r="AU39" s="28"/>
      <c r="AV39" s="28"/>
      <c r="AW39" s="28"/>
      <c r="AX39" s="28"/>
      <c r="AY39" s="28"/>
      <c r="AZ39" s="28"/>
      <c r="BA39" s="28"/>
      <c r="BB39" s="26">
        <f t="shared" si="16"/>
        <v>1639000</v>
      </c>
      <c r="BC39" s="36"/>
      <c r="BD39" s="35"/>
      <c r="BE39" s="36"/>
      <c r="BF39" s="36"/>
      <c r="BG39" s="36"/>
      <c r="BH39" s="36"/>
      <c r="BI39" s="28"/>
    </row>
    <row r="40" spans="1:61" ht="18" customHeight="1" thickBot="1" x14ac:dyDescent="0.3">
      <c r="A40" s="185"/>
      <c r="B40" s="107" t="s">
        <v>36</v>
      </c>
      <c r="C40" s="23" t="s">
        <v>29</v>
      </c>
      <c r="D40" s="28"/>
      <c r="E40" s="28"/>
      <c r="F40" s="28"/>
      <c r="G40" s="28">
        <v>331.25</v>
      </c>
      <c r="H40" s="28"/>
      <c r="I40" s="28">
        <v>331.25</v>
      </c>
      <c r="J40" s="28"/>
      <c r="K40" s="28">
        <v>331.25</v>
      </c>
      <c r="L40" s="28"/>
      <c r="M40" s="28"/>
      <c r="N40" s="28"/>
      <c r="O40" s="31">
        <v>331.25</v>
      </c>
      <c r="P40" s="31">
        <v>1987.5</v>
      </c>
      <c r="Q40" s="28"/>
      <c r="R40" s="28">
        <v>10268.75</v>
      </c>
      <c r="S40" s="28"/>
      <c r="T40" s="114"/>
      <c r="U40" s="114">
        <v>21200</v>
      </c>
      <c r="V40" s="114"/>
      <c r="W40" s="114">
        <v>31468.75</v>
      </c>
      <c r="X40" s="28">
        <v>34450</v>
      </c>
      <c r="Y40" s="28">
        <v>331.25</v>
      </c>
      <c r="Z40" s="28">
        <v>31468.75</v>
      </c>
      <c r="AA40" s="28">
        <v>331.25</v>
      </c>
      <c r="AB40" s="28">
        <v>103681.25</v>
      </c>
      <c r="AC40" s="26"/>
      <c r="AD40" s="28">
        <v>49356.25</v>
      </c>
      <c r="AE40" s="28">
        <v>331.25</v>
      </c>
      <c r="AF40" s="28">
        <v>662.5</v>
      </c>
      <c r="AG40" s="28">
        <v>26168.75</v>
      </c>
      <c r="AH40" s="28">
        <v>52006.25</v>
      </c>
      <c r="AI40" s="28"/>
      <c r="AJ40" s="28">
        <v>91093.75</v>
      </c>
      <c r="AK40" s="28"/>
      <c r="AL40" s="28">
        <v>34450</v>
      </c>
      <c r="AM40" s="28">
        <v>662.5</v>
      </c>
      <c r="AN40" s="28">
        <v>46043.75</v>
      </c>
      <c r="AO40" s="28"/>
      <c r="AP40" s="28">
        <v>21862.5</v>
      </c>
      <c r="AQ40" s="28"/>
      <c r="AR40" s="28">
        <v>1325</v>
      </c>
      <c r="AS40" s="28"/>
      <c r="AT40" s="28"/>
      <c r="AU40" s="28"/>
      <c r="AV40" s="28"/>
      <c r="AW40" s="28"/>
      <c r="AX40" s="28"/>
      <c r="AY40" s="28"/>
      <c r="AZ40" s="28"/>
      <c r="BA40" s="28"/>
      <c r="BB40" s="26">
        <f t="shared" si="16"/>
        <v>560475</v>
      </c>
      <c r="BC40" s="36"/>
      <c r="BD40" s="36"/>
      <c r="BE40" s="35"/>
      <c r="BF40" s="35"/>
      <c r="BG40" s="35"/>
      <c r="BH40" s="36"/>
      <c r="BI40" s="28"/>
    </row>
    <row r="41" spans="1:61" ht="17.25" customHeight="1" thickBot="1" x14ac:dyDescent="0.3">
      <c r="A41" s="21"/>
      <c r="B41" s="107" t="s">
        <v>36</v>
      </c>
      <c r="C41" s="49" t="s">
        <v>30</v>
      </c>
      <c r="D41" s="32"/>
      <c r="E41" s="32"/>
      <c r="F41" s="32"/>
      <c r="G41" s="32">
        <v>0</v>
      </c>
      <c r="H41" s="32"/>
      <c r="I41" s="32">
        <v>0</v>
      </c>
      <c r="J41" s="32"/>
      <c r="K41" s="32">
        <v>0</v>
      </c>
      <c r="L41" s="32"/>
      <c r="M41" s="32"/>
      <c r="N41" s="32"/>
      <c r="O41" s="52">
        <v>0</v>
      </c>
      <c r="P41" s="52">
        <v>0</v>
      </c>
      <c r="Q41" s="32"/>
      <c r="R41" s="32">
        <v>0</v>
      </c>
      <c r="S41" s="32"/>
      <c r="T41" s="115"/>
      <c r="U41" s="115">
        <v>0</v>
      </c>
      <c r="V41" s="115"/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87"/>
      <c r="AD41" s="32">
        <v>0</v>
      </c>
      <c r="AE41" s="32">
        <v>0</v>
      </c>
      <c r="AF41" s="32">
        <v>0</v>
      </c>
      <c r="AG41" s="32">
        <v>0</v>
      </c>
      <c r="AH41" s="32">
        <v>0</v>
      </c>
      <c r="AI41" s="32"/>
      <c r="AJ41" s="32">
        <v>0</v>
      </c>
      <c r="AK41" s="32"/>
      <c r="AL41" s="32">
        <v>0</v>
      </c>
      <c r="AM41" s="32">
        <v>0</v>
      </c>
      <c r="AN41" s="32">
        <v>0</v>
      </c>
      <c r="AO41" s="32"/>
      <c r="AP41" s="32">
        <v>0</v>
      </c>
      <c r="AQ41" s="32"/>
      <c r="AR41" s="32">
        <v>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55">
        <f t="shared" si="16"/>
        <v>0</v>
      </c>
      <c r="BE41" s="75"/>
      <c r="BF41" s="75"/>
      <c r="BG41" s="75"/>
      <c r="BI41" s="32"/>
    </row>
    <row r="42" spans="1:61" ht="18" customHeight="1" x14ac:dyDescent="0.25">
      <c r="A42" s="21"/>
      <c r="B42" s="107" t="s">
        <v>36</v>
      </c>
      <c r="C42" s="77" t="s">
        <v>31</v>
      </c>
      <c r="D42" s="32"/>
      <c r="E42" s="32"/>
      <c r="F42" s="32"/>
      <c r="G42" s="32">
        <v>18.75</v>
      </c>
      <c r="H42" s="32"/>
      <c r="I42" s="32">
        <v>18.75</v>
      </c>
      <c r="J42" s="32"/>
      <c r="K42" s="32">
        <v>18.75</v>
      </c>
      <c r="L42" s="32"/>
      <c r="M42" s="32"/>
      <c r="N42" s="32"/>
      <c r="O42" s="52">
        <v>18.75</v>
      </c>
      <c r="P42" s="52">
        <v>112.5</v>
      </c>
      <c r="Q42" s="32"/>
      <c r="R42" s="32">
        <v>581.25</v>
      </c>
      <c r="S42" s="32"/>
      <c r="T42" s="115"/>
      <c r="U42" s="115">
        <v>1200</v>
      </c>
      <c r="V42" s="115"/>
      <c r="W42" s="115">
        <v>1781.25</v>
      </c>
      <c r="X42" s="32">
        <v>1950</v>
      </c>
      <c r="Y42" s="32">
        <v>18.75</v>
      </c>
      <c r="Z42" s="32">
        <v>1781.25</v>
      </c>
      <c r="AA42" s="32">
        <v>18.75</v>
      </c>
      <c r="AB42" s="32">
        <v>5868.75</v>
      </c>
      <c r="AD42" s="32">
        <v>2793.75</v>
      </c>
      <c r="AE42" s="32">
        <v>18.75</v>
      </c>
      <c r="AF42" s="32">
        <v>37.5</v>
      </c>
      <c r="AG42" s="32">
        <v>1481.25</v>
      </c>
      <c r="AH42" s="32">
        <v>2943.75</v>
      </c>
      <c r="AI42" s="32"/>
      <c r="AJ42" s="32">
        <v>5156.25</v>
      </c>
      <c r="AK42" s="32"/>
      <c r="AL42" s="32">
        <v>1950</v>
      </c>
      <c r="AM42" s="32">
        <v>37.5</v>
      </c>
      <c r="AN42" s="32">
        <v>2606.25</v>
      </c>
      <c r="AO42" s="32"/>
      <c r="AP42" s="32">
        <v>1237.5</v>
      </c>
      <c r="AQ42" s="32"/>
      <c r="AR42" s="32">
        <v>75</v>
      </c>
      <c r="AS42" s="32"/>
      <c r="AT42" s="32"/>
      <c r="AU42" s="32"/>
      <c r="AV42" s="32"/>
      <c r="AW42" s="32"/>
      <c r="AX42" s="32"/>
      <c r="AY42" s="32"/>
      <c r="AZ42" s="32"/>
      <c r="BA42" s="32"/>
      <c r="BB42" s="55">
        <f t="shared" si="16"/>
        <v>31725</v>
      </c>
      <c r="BE42" s="75"/>
      <c r="BF42" s="75"/>
      <c r="BG42" s="75"/>
      <c r="BI42" s="32"/>
    </row>
    <row r="43" spans="1:61" ht="19.5" customHeight="1" thickBot="1" x14ac:dyDescent="0.3">
      <c r="A43" s="88"/>
      <c r="B43" s="116" t="s">
        <v>26</v>
      </c>
      <c r="C43" s="117"/>
      <c r="D43" s="118">
        <f>SUM(D37:D42)</f>
        <v>0</v>
      </c>
      <c r="E43" s="118">
        <f t="shared" ref="E43:BA43" si="17">SUM(E37:E42)</f>
        <v>0</v>
      </c>
      <c r="F43" s="118">
        <f t="shared" si="17"/>
        <v>0</v>
      </c>
      <c r="G43" s="118">
        <f t="shared" si="17"/>
        <v>71350</v>
      </c>
      <c r="H43" s="118">
        <f t="shared" si="17"/>
        <v>0</v>
      </c>
      <c r="I43" s="118">
        <f t="shared" si="17"/>
        <v>5350</v>
      </c>
      <c r="J43" s="118">
        <f t="shared" si="17"/>
        <v>0</v>
      </c>
      <c r="K43" s="118">
        <f t="shared" si="17"/>
        <v>11350</v>
      </c>
      <c r="L43" s="118">
        <f t="shared" si="17"/>
        <v>0</v>
      </c>
      <c r="M43" s="118">
        <f t="shared" si="17"/>
        <v>0</v>
      </c>
      <c r="N43" s="118">
        <f t="shared" si="17"/>
        <v>0</v>
      </c>
      <c r="O43" s="118">
        <f t="shared" si="17"/>
        <v>11350</v>
      </c>
      <c r="P43" s="118">
        <f t="shared" si="17"/>
        <v>68100</v>
      </c>
      <c r="Q43" s="118">
        <f t="shared" si="17"/>
        <v>0</v>
      </c>
      <c r="R43" s="118">
        <f t="shared" si="17"/>
        <v>351850</v>
      </c>
      <c r="S43" s="118">
        <f t="shared" si="17"/>
        <v>0</v>
      </c>
      <c r="T43" s="118">
        <f t="shared" si="17"/>
        <v>0</v>
      </c>
      <c r="U43" s="118">
        <f t="shared" si="17"/>
        <v>576400</v>
      </c>
      <c r="V43" s="118">
        <f t="shared" si="17"/>
        <v>0</v>
      </c>
      <c r="W43" s="118">
        <f t="shared" si="17"/>
        <v>868250</v>
      </c>
      <c r="X43" s="118">
        <f t="shared" si="17"/>
        <v>937400</v>
      </c>
      <c r="Y43" s="118">
        <f t="shared" si="17"/>
        <v>8350</v>
      </c>
      <c r="Z43" s="118">
        <f t="shared" si="17"/>
        <v>793250</v>
      </c>
      <c r="AA43" s="118">
        <f>SUM(AA37:AA42)</f>
        <v>8350</v>
      </c>
      <c r="AB43" s="118">
        <f t="shared" si="17"/>
        <v>2619550</v>
      </c>
      <c r="AC43" s="118">
        <f t="shared" si="17"/>
        <v>0</v>
      </c>
      <c r="AD43" s="118">
        <f t="shared" si="17"/>
        <v>1277150</v>
      </c>
      <c r="AE43" s="118">
        <f t="shared" si="17"/>
        <v>8350</v>
      </c>
      <c r="AF43" s="118">
        <f t="shared" si="17"/>
        <v>16700</v>
      </c>
      <c r="AG43" s="118">
        <f t="shared" si="17"/>
        <v>665650</v>
      </c>
      <c r="AH43" s="118">
        <f t="shared" si="17"/>
        <v>1310950</v>
      </c>
      <c r="AI43" s="118">
        <f t="shared" si="17"/>
        <v>0</v>
      </c>
      <c r="AJ43" s="118">
        <f t="shared" si="17"/>
        <v>2302250</v>
      </c>
      <c r="AK43" s="118">
        <f t="shared" si="17"/>
        <v>0</v>
      </c>
      <c r="AL43" s="118">
        <f t="shared" si="17"/>
        <v>868400</v>
      </c>
      <c r="AM43" s="118">
        <f>SUM(AM37:AM42)</f>
        <v>16700</v>
      </c>
      <c r="AN43" s="118">
        <f t="shared" si="17"/>
        <v>1160650</v>
      </c>
      <c r="AO43" s="118">
        <f t="shared" si="17"/>
        <v>0</v>
      </c>
      <c r="AP43" s="118">
        <f t="shared" si="17"/>
        <v>557100</v>
      </c>
      <c r="AQ43" s="118">
        <f t="shared" si="17"/>
        <v>0</v>
      </c>
      <c r="AR43" s="118">
        <f t="shared" si="17"/>
        <v>33400</v>
      </c>
      <c r="AS43" s="118">
        <f t="shared" si="17"/>
        <v>0</v>
      </c>
      <c r="AT43" s="118">
        <f t="shared" si="17"/>
        <v>0</v>
      </c>
      <c r="AU43" s="118">
        <f t="shared" si="17"/>
        <v>0</v>
      </c>
      <c r="AV43" s="118">
        <f t="shared" si="17"/>
        <v>0</v>
      </c>
      <c r="AW43" s="118">
        <f t="shared" si="17"/>
        <v>0</v>
      </c>
      <c r="AX43" s="118">
        <f t="shared" si="17"/>
        <v>0</v>
      </c>
      <c r="AY43" s="118">
        <f t="shared" si="17"/>
        <v>0</v>
      </c>
      <c r="AZ43" s="118">
        <f t="shared" si="17"/>
        <v>0</v>
      </c>
      <c r="BA43" s="118">
        <f t="shared" si="17"/>
        <v>0</v>
      </c>
      <c r="BB43" s="105">
        <f>SUM(D43:BA43)</f>
        <v>14548200</v>
      </c>
      <c r="BC43" s="106">
        <f t="shared" ref="BC43:BI43" si="18">SUM(BC37:BC40)</f>
        <v>0</v>
      </c>
      <c r="BD43" s="106">
        <f t="shared" si="18"/>
        <v>0</v>
      </c>
      <c r="BE43" s="106">
        <f t="shared" si="18"/>
        <v>0</v>
      </c>
      <c r="BF43" s="106">
        <f t="shared" si="18"/>
        <v>0</v>
      </c>
      <c r="BG43" s="106">
        <f t="shared" si="18"/>
        <v>0</v>
      </c>
      <c r="BH43" s="106">
        <f t="shared" si="18"/>
        <v>0</v>
      </c>
      <c r="BI43" s="106">
        <f t="shared" si="18"/>
        <v>0</v>
      </c>
    </row>
    <row r="44" spans="1:61" ht="19.5" customHeight="1" thickTop="1" thickBot="1" x14ac:dyDescent="0.3">
      <c r="A44" s="185">
        <v>7</v>
      </c>
      <c r="B44" s="107" t="s">
        <v>37</v>
      </c>
      <c r="C44" s="23" t="s">
        <v>24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20"/>
      <c r="Q44" s="119"/>
      <c r="R44" s="119"/>
      <c r="S44" s="119"/>
      <c r="T44" s="121"/>
      <c r="U44" s="120"/>
      <c r="V44" s="119"/>
      <c r="W44" s="119"/>
      <c r="X44" s="120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20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22"/>
      <c r="AV44" s="122"/>
      <c r="AW44" s="122"/>
      <c r="AX44" s="122"/>
      <c r="AY44" s="119"/>
      <c r="AZ44" s="119"/>
      <c r="BA44" s="119"/>
      <c r="BB44" s="123">
        <f>SUM(Q44:BA44)</f>
        <v>0</v>
      </c>
      <c r="BC44" s="27"/>
      <c r="BD44" s="27"/>
      <c r="BE44" s="27"/>
      <c r="BF44" s="27"/>
      <c r="BG44" s="27"/>
      <c r="BH44" s="27"/>
      <c r="BI44" s="28"/>
    </row>
    <row r="45" spans="1:61" ht="17.25" customHeight="1" thickBot="1" x14ac:dyDescent="0.3">
      <c r="A45" s="185"/>
      <c r="B45" s="107" t="s">
        <v>37</v>
      </c>
      <c r="C45" s="23" t="s">
        <v>25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67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34"/>
      <c r="AV45" s="34"/>
      <c r="AW45" s="34"/>
      <c r="AX45" s="34"/>
      <c r="AY45" s="28"/>
      <c r="AZ45" s="27"/>
      <c r="BA45" s="27"/>
      <c r="BB45" s="26"/>
      <c r="BC45" s="35"/>
      <c r="BD45" s="36"/>
      <c r="BE45" s="36"/>
      <c r="BF45" s="36"/>
      <c r="BG45" s="36"/>
      <c r="BH45" s="35"/>
      <c r="BI45" s="28"/>
    </row>
    <row r="46" spans="1:61" ht="18" customHeight="1" thickBot="1" x14ac:dyDescent="0.3">
      <c r="A46" s="185"/>
      <c r="B46" s="107" t="s">
        <v>37</v>
      </c>
      <c r="C46" s="23" t="s">
        <v>28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67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34"/>
      <c r="AV46" s="34"/>
      <c r="AW46" s="34"/>
      <c r="AX46" s="34"/>
      <c r="AY46" s="28"/>
      <c r="AZ46" s="27"/>
      <c r="BA46" s="27"/>
      <c r="BB46" s="26"/>
      <c r="BC46" s="36"/>
      <c r="BD46" s="35"/>
      <c r="BE46" s="36"/>
      <c r="BF46" s="36"/>
      <c r="BG46" s="36"/>
      <c r="BH46" s="36"/>
      <c r="BI46" s="28"/>
    </row>
    <row r="47" spans="1:61" ht="18.75" customHeight="1" thickBot="1" x14ac:dyDescent="0.3">
      <c r="A47" s="185"/>
      <c r="B47" s="124" t="s">
        <v>37</v>
      </c>
      <c r="C47" s="23" t="s">
        <v>29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67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34"/>
      <c r="AV47" s="34"/>
      <c r="AW47" s="34"/>
      <c r="AX47" s="34"/>
      <c r="AY47" s="28"/>
      <c r="AZ47" s="27"/>
      <c r="BA47" s="27"/>
      <c r="BB47" s="26"/>
      <c r="BC47" s="36"/>
      <c r="BD47" s="36"/>
      <c r="BE47" s="35"/>
      <c r="BF47" s="35"/>
      <c r="BG47" s="35"/>
      <c r="BH47" s="36"/>
      <c r="BI47" s="28"/>
    </row>
    <row r="48" spans="1:61" ht="16.5" customHeight="1" thickBot="1" x14ac:dyDescent="0.3">
      <c r="A48" s="21"/>
      <c r="B48" s="124" t="s">
        <v>37</v>
      </c>
      <c r="C48" s="49" t="s">
        <v>30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76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24"/>
      <c r="AV48" s="24"/>
      <c r="AW48" s="24"/>
      <c r="AX48" s="24"/>
      <c r="AY48" s="32"/>
      <c r="AZ48" s="73"/>
      <c r="BA48" s="73"/>
      <c r="BB48" s="87"/>
      <c r="BE48" s="75"/>
      <c r="BF48" s="75"/>
      <c r="BG48" s="75"/>
      <c r="BI48" s="32"/>
    </row>
    <row r="49" spans="1:61" ht="19.5" customHeight="1" thickBot="1" x14ac:dyDescent="0.3">
      <c r="A49" s="21"/>
      <c r="B49" s="124" t="s">
        <v>37</v>
      </c>
      <c r="C49" s="77" t="s">
        <v>31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24"/>
      <c r="AV49" s="24"/>
      <c r="AW49" s="24"/>
      <c r="AX49" s="24"/>
      <c r="AY49" s="32"/>
      <c r="AZ49" s="73"/>
      <c r="BA49" s="73"/>
      <c r="BB49" s="87">
        <f>SUM(BB44:BB48)</f>
        <v>0</v>
      </c>
      <c r="BE49" s="75"/>
      <c r="BF49" s="75"/>
      <c r="BG49" s="75"/>
      <c r="BI49" s="32"/>
    </row>
    <row r="50" spans="1:61" ht="16.5" thickBot="1" x14ac:dyDescent="0.3">
      <c r="A50" s="88"/>
      <c r="B50" s="116" t="s">
        <v>26</v>
      </c>
      <c r="C50" s="117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93"/>
      <c r="R50" s="106"/>
      <c r="S50" s="106"/>
      <c r="T50" s="106"/>
      <c r="U50" s="106">
        <f>SUM(U44:U48)</f>
        <v>0</v>
      </c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25"/>
      <c r="AV50" s="125"/>
      <c r="AW50" s="125"/>
      <c r="AX50" s="125"/>
      <c r="AY50" s="126"/>
      <c r="AZ50" s="127"/>
      <c r="BA50" s="127"/>
      <c r="BB50" s="106">
        <f>SUM(Q50:BA50)</f>
        <v>0</v>
      </c>
      <c r="BC50" s="106">
        <f t="shared" ref="BC50:BI50" si="19">SUM(BC44:BC47)</f>
        <v>0</v>
      </c>
      <c r="BD50" s="106">
        <f t="shared" si="19"/>
        <v>0</v>
      </c>
      <c r="BE50" s="106">
        <f t="shared" si="19"/>
        <v>0</v>
      </c>
      <c r="BF50" s="106">
        <f t="shared" si="19"/>
        <v>0</v>
      </c>
      <c r="BG50" s="106">
        <f t="shared" si="19"/>
        <v>0</v>
      </c>
      <c r="BH50" s="106">
        <f t="shared" si="19"/>
        <v>0</v>
      </c>
      <c r="BI50" s="106">
        <f t="shared" si="19"/>
        <v>0</v>
      </c>
    </row>
    <row r="51" spans="1:61" ht="21.75" customHeight="1" thickBot="1" x14ac:dyDescent="0.3">
      <c r="A51" s="185">
        <v>8</v>
      </c>
      <c r="B51" s="107" t="s">
        <v>38</v>
      </c>
      <c r="C51" s="23" t="s">
        <v>24</v>
      </c>
      <c r="D51" s="24"/>
      <c r="E51" s="24"/>
      <c r="F51" s="24">
        <v>126400</v>
      </c>
      <c r="G51" s="24"/>
      <c r="H51" s="24">
        <v>268800</v>
      </c>
      <c r="I51" s="24"/>
      <c r="J51" s="24"/>
      <c r="K51" s="24"/>
      <c r="L51">
        <v>126400</v>
      </c>
      <c r="M51" s="24"/>
      <c r="N51" s="24"/>
      <c r="O51" s="24"/>
      <c r="P51" s="24"/>
      <c r="Q51">
        <v>111200</v>
      </c>
      <c r="R51" s="24"/>
      <c r="S51">
        <v>126400</v>
      </c>
      <c r="T51">
        <v>380800</v>
      </c>
      <c r="U51" s="24"/>
      <c r="V51" s="32"/>
      <c r="W51" s="24"/>
      <c r="X51" s="24"/>
      <c r="Y51">
        <v>144000</v>
      </c>
      <c r="Z51" s="24"/>
      <c r="AA51" s="24"/>
      <c r="AB51" s="24"/>
      <c r="AC51" s="24"/>
      <c r="AD51" s="24"/>
      <c r="AE51" s="24"/>
      <c r="AF51" s="24"/>
      <c r="AG51" s="28"/>
      <c r="AH51" s="24"/>
      <c r="AI51" s="24"/>
      <c r="AJ51" s="24"/>
      <c r="AK51" s="28"/>
      <c r="AL51" s="24"/>
      <c r="AM51" s="24"/>
      <c r="AN51" s="24"/>
      <c r="AO51" s="24"/>
      <c r="AP51" s="24"/>
      <c r="AQ51" s="24"/>
      <c r="AS51">
        <v>117360</v>
      </c>
      <c r="AT51" s="28"/>
      <c r="AU51">
        <v>273840</v>
      </c>
      <c r="AV51" s="24"/>
      <c r="AW51" s="24"/>
      <c r="AX51">
        <v>456400</v>
      </c>
      <c r="AY51" s="28"/>
      <c r="AZ51" s="24"/>
      <c r="BA51" s="24"/>
      <c r="BB51" s="26">
        <f t="shared" ref="BB51:BB56" si="20">SUM(F51:BA51)</f>
        <v>2131600</v>
      </c>
      <c r="BC51" s="27"/>
      <c r="BD51" s="27"/>
      <c r="BE51" s="27"/>
      <c r="BF51" s="27"/>
      <c r="BG51" s="27"/>
      <c r="BH51" s="27"/>
      <c r="BI51" s="28"/>
    </row>
    <row r="52" spans="1:61" ht="21" customHeight="1" thickBot="1" x14ac:dyDescent="0.3">
      <c r="A52" s="185"/>
      <c r="B52" s="107" t="s">
        <v>38</v>
      </c>
      <c r="C52" s="23" t="s">
        <v>25</v>
      </c>
      <c r="D52" s="28"/>
      <c r="E52" s="28"/>
      <c r="F52" s="28">
        <f>27808+3792</f>
        <v>31600</v>
      </c>
      <c r="G52" s="28"/>
      <c r="H52" s="28">
        <f>59136+8064</f>
        <v>67200</v>
      </c>
      <c r="I52" s="28"/>
      <c r="J52" s="28"/>
      <c r="K52" s="28"/>
      <c r="L52" s="28">
        <f>27808+3792</f>
        <v>31600</v>
      </c>
      <c r="M52" s="28"/>
      <c r="N52" s="28"/>
      <c r="O52" s="28"/>
      <c r="P52" s="28"/>
      <c r="Q52" s="28">
        <f>24464+3336</f>
        <v>27800</v>
      </c>
      <c r="R52" s="28"/>
      <c r="S52" s="28">
        <f>27808+3792</f>
        <v>31600</v>
      </c>
      <c r="T52" s="67">
        <f>83776+11424</f>
        <v>95200</v>
      </c>
      <c r="U52" s="28"/>
      <c r="V52" s="28"/>
      <c r="W52" s="28"/>
      <c r="X52" s="28"/>
      <c r="Y52" s="28">
        <f>31680+4320</f>
        <v>36000</v>
      </c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S52" s="28">
        <f>11475.2+14344+1564.8+1956</f>
        <v>29340</v>
      </c>
      <c r="AT52" s="28"/>
      <c r="AU52" s="34">
        <v>68460</v>
      </c>
      <c r="AV52" s="34"/>
      <c r="AW52" s="34"/>
      <c r="AX52" s="34">
        <f>100408+13692</f>
        <v>114100</v>
      </c>
      <c r="AY52" s="28"/>
      <c r="AZ52" s="27"/>
      <c r="BA52" s="27"/>
      <c r="BB52" s="26">
        <f t="shared" si="20"/>
        <v>532900</v>
      </c>
      <c r="BC52" s="35"/>
      <c r="BD52" s="36"/>
      <c r="BE52" s="36"/>
      <c r="BF52" s="36"/>
      <c r="BG52" s="36"/>
      <c r="BH52" s="35"/>
      <c r="BI52" s="28"/>
    </row>
    <row r="53" spans="1:61" ht="21" customHeight="1" thickBot="1" x14ac:dyDescent="0.3">
      <c r="A53" s="185"/>
      <c r="B53" s="107" t="s">
        <v>38</v>
      </c>
      <c r="C53" s="23" t="s">
        <v>28</v>
      </c>
      <c r="D53" s="28"/>
      <c r="E53" s="28"/>
      <c r="F53" s="28">
        <v>4000</v>
      </c>
      <c r="G53" s="28"/>
      <c r="H53" s="28">
        <v>9000</v>
      </c>
      <c r="I53" s="28"/>
      <c r="J53" s="28"/>
      <c r="K53" s="28"/>
      <c r="L53" s="28">
        <v>4000</v>
      </c>
      <c r="M53" s="28"/>
      <c r="N53" s="28"/>
      <c r="O53" s="28"/>
      <c r="P53" s="28"/>
      <c r="Q53" s="28">
        <v>5000</v>
      </c>
      <c r="R53" s="28"/>
      <c r="S53" s="28">
        <v>4000</v>
      </c>
      <c r="T53" s="67">
        <v>8000</v>
      </c>
      <c r="U53" s="28"/>
      <c r="V53" s="28"/>
      <c r="W53" s="28"/>
      <c r="X53" s="28"/>
      <c r="Y53" s="28">
        <v>5000</v>
      </c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S53" s="28">
        <v>18000</v>
      </c>
      <c r="AT53" s="28"/>
      <c r="AU53" s="34">
        <v>42000</v>
      </c>
      <c r="AV53" s="34"/>
      <c r="AW53" s="34"/>
      <c r="AX53" s="34">
        <v>70000</v>
      </c>
      <c r="AY53" s="28"/>
      <c r="AZ53" s="27"/>
      <c r="BA53" s="27"/>
      <c r="BB53" s="26">
        <f t="shared" si="20"/>
        <v>169000</v>
      </c>
      <c r="BC53" s="36"/>
      <c r="BD53" s="35"/>
      <c r="BE53" s="36"/>
      <c r="BF53" s="36"/>
      <c r="BG53" s="36"/>
      <c r="BH53" s="36"/>
      <c r="BI53" s="28"/>
    </row>
    <row r="54" spans="1:61" ht="16.5" thickBot="1" x14ac:dyDescent="0.3">
      <c r="A54" s="185"/>
      <c r="B54" s="107" t="s">
        <v>38</v>
      </c>
      <c r="C54" s="39" t="s">
        <v>29</v>
      </c>
      <c r="D54" s="28"/>
      <c r="E54" s="28"/>
      <c r="F54" s="28">
        <v>1325</v>
      </c>
      <c r="G54" s="28"/>
      <c r="H54" s="28">
        <v>2981.25</v>
      </c>
      <c r="I54" s="28"/>
      <c r="J54" s="28"/>
      <c r="K54" s="28"/>
      <c r="L54" s="28">
        <v>1325</v>
      </c>
      <c r="M54" s="28"/>
      <c r="N54" s="28"/>
      <c r="O54" s="28"/>
      <c r="P54" s="28"/>
      <c r="Q54" s="28">
        <v>1656.25</v>
      </c>
      <c r="R54" s="28"/>
      <c r="S54" s="28">
        <v>1325</v>
      </c>
      <c r="T54" s="67">
        <v>2650</v>
      </c>
      <c r="U54" s="28"/>
      <c r="V54" s="28"/>
      <c r="W54" s="28"/>
      <c r="X54" s="28"/>
      <c r="Y54" s="28">
        <v>1656.25</v>
      </c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S54" s="28">
        <v>5962.5</v>
      </c>
      <c r="AT54" s="28"/>
      <c r="AU54" s="34">
        <v>13912.5</v>
      </c>
      <c r="AV54" s="34"/>
      <c r="AW54" s="34"/>
      <c r="AX54" s="34">
        <v>23187.5</v>
      </c>
      <c r="AY54" s="28"/>
      <c r="AZ54" s="27"/>
      <c r="BA54" s="27"/>
      <c r="BB54" s="26">
        <f t="shared" si="20"/>
        <v>55981.25</v>
      </c>
      <c r="BC54" s="36"/>
      <c r="BD54" s="36"/>
      <c r="BE54" s="35"/>
      <c r="BF54" s="35"/>
      <c r="BG54" s="35"/>
      <c r="BH54" s="36"/>
      <c r="BI54" s="28"/>
    </row>
    <row r="55" spans="1:61" ht="18.75" customHeight="1" thickBot="1" x14ac:dyDescent="0.3">
      <c r="A55" s="21"/>
      <c r="B55" s="107" t="s">
        <v>38</v>
      </c>
      <c r="C55" s="49" t="s">
        <v>30</v>
      </c>
      <c r="D55" s="32"/>
      <c r="E55" s="32"/>
      <c r="F55" s="32">
        <v>0</v>
      </c>
      <c r="G55" s="32"/>
      <c r="H55" s="32">
        <v>0</v>
      </c>
      <c r="I55" s="32"/>
      <c r="J55" s="32"/>
      <c r="K55" s="32"/>
      <c r="L55" s="32">
        <v>0</v>
      </c>
      <c r="M55" s="32"/>
      <c r="N55" s="32"/>
      <c r="O55" s="32"/>
      <c r="P55" s="32"/>
      <c r="Q55" s="32">
        <v>0</v>
      </c>
      <c r="R55" s="32"/>
      <c r="S55" s="32">
        <v>0</v>
      </c>
      <c r="T55" s="76">
        <v>0</v>
      </c>
      <c r="U55" s="32"/>
      <c r="V55" s="32"/>
      <c r="W55" s="32"/>
      <c r="X55" s="32"/>
      <c r="Y55" s="32">
        <v>0</v>
      </c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S55" s="32">
        <v>0</v>
      </c>
      <c r="AT55" s="32"/>
      <c r="AU55" s="24">
        <v>0</v>
      </c>
      <c r="AV55" s="24"/>
      <c r="AW55" s="32"/>
      <c r="AX55" s="32">
        <v>0</v>
      </c>
      <c r="AY55" s="32"/>
      <c r="AZ55" s="73"/>
      <c r="BA55" s="73"/>
      <c r="BB55" s="87">
        <f t="shared" si="20"/>
        <v>0</v>
      </c>
      <c r="BE55" s="75"/>
      <c r="BF55" s="75"/>
      <c r="BG55" s="75"/>
      <c r="BI55" s="32"/>
    </row>
    <row r="56" spans="1:61" ht="15.75" x14ac:dyDescent="0.25">
      <c r="A56" s="21"/>
      <c r="B56" s="107" t="s">
        <v>38</v>
      </c>
      <c r="C56" s="49" t="s">
        <v>31</v>
      </c>
      <c r="D56" s="32"/>
      <c r="E56" s="32"/>
      <c r="F56" s="32">
        <v>75</v>
      </c>
      <c r="G56" s="32"/>
      <c r="H56" s="32">
        <v>168.75</v>
      </c>
      <c r="I56" s="32"/>
      <c r="J56" s="32"/>
      <c r="K56" s="32"/>
      <c r="L56" s="32">
        <v>75</v>
      </c>
      <c r="M56" s="32"/>
      <c r="N56" s="32"/>
      <c r="O56" s="32"/>
      <c r="P56" s="32"/>
      <c r="Q56" s="32">
        <v>93.75</v>
      </c>
      <c r="R56" s="32"/>
      <c r="S56" s="32">
        <v>75</v>
      </c>
      <c r="T56" s="76">
        <v>150</v>
      </c>
      <c r="U56" s="32"/>
      <c r="V56" s="32"/>
      <c r="W56" s="32"/>
      <c r="Y56" s="32">
        <v>93.75</v>
      </c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S56" s="32">
        <v>337.5</v>
      </c>
      <c r="AT56" s="32"/>
      <c r="AU56" s="24">
        <v>787.5</v>
      </c>
      <c r="AV56" s="24"/>
      <c r="AW56" s="32"/>
      <c r="AX56" s="32">
        <v>1312.5</v>
      </c>
      <c r="AY56" s="32"/>
      <c r="AZ56" s="73"/>
      <c r="BA56" s="73"/>
      <c r="BB56" s="87">
        <f t="shared" si="20"/>
        <v>3168.75</v>
      </c>
      <c r="BE56" s="75"/>
      <c r="BF56" s="75"/>
      <c r="BG56" s="75"/>
      <c r="BI56" s="32"/>
    </row>
    <row r="57" spans="1:61" ht="16.5" thickBot="1" x14ac:dyDescent="0.3">
      <c r="A57" s="88"/>
      <c r="B57" s="116" t="s">
        <v>26</v>
      </c>
      <c r="C57" s="117"/>
      <c r="D57" s="106"/>
      <c r="E57" s="106">
        <f>SUM(E51:E56)</f>
        <v>0</v>
      </c>
      <c r="F57" s="106">
        <f>SUM(F51:F56)</f>
        <v>163400</v>
      </c>
      <c r="G57" s="106"/>
      <c r="H57" s="106">
        <f>SUM(H51:H56)</f>
        <v>348150</v>
      </c>
      <c r="I57" s="106">
        <f>SUM(I51:I56)</f>
        <v>0</v>
      </c>
      <c r="J57" s="106">
        <f>SUM(J51:J56)</f>
        <v>0</v>
      </c>
      <c r="K57" s="106">
        <f>SUM(K51:K56)</f>
        <v>0</v>
      </c>
      <c r="L57" s="106">
        <f>SUM(L51:L56)</f>
        <v>163400</v>
      </c>
      <c r="M57" s="106"/>
      <c r="N57" s="106"/>
      <c r="O57" s="106"/>
      <c r="P57" s="106">
        <f>SUM(P51:P56)</f>
        <v>0</v>
      </c>
      <c r="Q57" s="106">
        <f>SUM(Q51:Q56)</f>
        <v>145750</v>
      </c>
      <c r="R57" s="106"/>
      <c r="S57" s="106">
        <f>SUM(S51:S56)</f>
        <v>163400</v>
      </c>
      <c r="T57" s="106">
        <f>SUM(T51:T56)</f>
        <v>486800</v>
      </c>
      <c r="U57" s="106">
        <f>SUM(U51:U56)</f>
        <v>0</v>
      </c>
      <c r="V57" s="106"/>
      <c r="W57" s="106"/>
      <c r="X57" s="106">
        <f>SUM(X51:X56)</f>
        <v>0</v>
      </c>
      <c r="Y57" s="106">
        <f>SUM(Y51:Y56)</f>
        <v>186750</v>
      </c>
      <c r="Z57" s="106">
        <f>SUM(Z51:Z56)</f>
        <v>0</v>
      </c>
      <c r="AA57" s="106">
        <f>SUM(AA51:AA56)</f>
        <v>0</v>
      </c>
      <c r="AB57" s="106">
        <f>SUM(AB51:AB56)</f>
        <v>0</v>
      </c>
      <c r="AC57" s="106"/>
      <c r="AD57" s="106"/>
      <c r="AE57" s="106"/>
      <c r="AF57" s="106">
        <f>SUM(AF51:AF56)</f>
        <v>0</v>
      </c>
      <c r="AG57" s="106"/>
      <c r="AH57" s="106">
        <f>SUM(AH51:AH56)</f>
        <v>0</v>
      </c>
      <c r="AI57" s="106"/>
      <c r="AJ57" s="106">
        <f>SUM(AJ51:AJ56)</f>
        <v>0</v>
      </c>
      <c r="AK57" s="106"/>
      <c r="AL57" s="106">
        <f>SUM(AL51:AL56)</f>
        <v>0</v>
      </c>
      <c r="AM57" s="106"/>
      <c r="AN57" s="106"/>
      <c r="AO57" s="106">
        <f>SUM(AO51:AO56)</f>
        <v>0</v>
      </c>
      <c r="AP57" s="106">
        <f>SUM(AP51:AP56)</f>
        <v>0</v>
      </c>
      <c r="AQ57" s="106">
        <f>SUM(AQ51:AQ56)</f>
        <v>0</v>
      </c>
      <c r="AR57" s="106">
        <f>SUM(AR51:AR56)</f>
        <v>0</v>
      </c>
      <c r="AS57" s="106">
        <f>SUM(AS51:AS56)</f>
        <v>171000</v>
      </c>
      <c r="AT57" s="106"/>
      <c r="AU57" s="125">
        <f>SUM(AU51:AU56)</f>
        <v>399000</v>
      </c>
      <c r="AV57" s="125"/>
      <c r="AW57" s="125">
        <f>SUM(AW51:AW55)</f>
        <v>0</v>
      </c>
      <c r="AX57" s="125">
        <f>SUM(AX51:AX56)</f>
        <v>665000</v>
      </c>
      <c r="AY57" s="126"/>
      <c r="AZ57" s="106">
        <f t="shared" ref="AZ57:BA57" si="21">SUM(AZ51:AZ55)</f>
        <v>0</v>
      </c>
      <c r="BA57" s="106">
        <f t="shared" si="21"/>
        <v>0</v>
      </c>
      <c r="BB57" s="128">
        <f>SUM(D57:BA57)</f>
        <v>2892650</v>
      </c>
      <c r="BC57" s="106">
        <f t="shared" ref="BC57:BI57" si="22">SUM(BC51:BC54)</f>
        <v>0</v>
      </c>
      <c r="BD57" s="106">
        <f t="shared" si="22"/>
        <v>0</v>
      </c>
      <c r="BE57" s="106">
        <f t="shared" si="22"/>
        <v>0</v>
      </c>
      <c r="BF57" s="106">
        <f t="shared" si="22"/>
        <v>0</v>
      </c>
      <c r="BG57" s="106">
        <f t="shared" si="22"/>
        <v>0</v>
      </c>
      <c r="BH57" s="106">
        <f t="shared" si="22"/>
        <v>0</v>
      </c>
      <c r="BI57" s="106">
        <f t="shared" si="22"/>
        <v>0</v>
      </c>
    </row>
    <row r="58" spans="1:61" ht="17.25" customHeight="1" thickTop="1" thickBot="1" x14ac:dyDescent="0.3">
      <c r="A58" s="185">
        <v>9</v>
      </c>
      <c r="B58" s="107" t="s">
        <v>39</v>
      </c>
      <c r="C58" s="23" t="s">
        <v>24</v>
      </c>
      <c r="D58" s="24"/>
      <c r="E58" s="24">
        <v>65200</v>
      </c>
      <c r="F58" s="24"/>
      <c r="G58" s="24">
        <v>63440</v>
      </c>
      <c r="H58" s="24">
        <v>4960</v>
      </c>
      <c r="I58" s="28"/>
      <c r="J58" s="24"/>
      <c r="K58" s="24">
        <v>417840</v>
      </c>
      <c r="L58" s="24"/>
      <c r="M58">
        <v>231440</v>
      </c>
      <c r="N58" s="24"/>
      <c r="O58">
        <v>167200</v>
      </c>
      <c r="P58">
        <v>219920</v>
      </c>
      <c r="Q58" s="24"/>
      <c r="R58" s="24"/>
      <c r="S58" s="24"/>
      <c r="T58" s="24"/>
      <c r="U58">
        <v>234160</v>
      </c>
      <c r="W58">
        <v>118720</v>
      </c>
      <c r="X58">
        <v>36760</v>
      </c>
      <c r="Y58" s="24"/>
      <c r="Z58">
        <v>166880</v>
      </c>
      <c r="AA58" s="24"/>
      <c r="AB58" s="24"/>
      <c r="AC58" s="24"/>
      <c r="AD58">
        <v>127200</v>
      </c>
      <c r="AE58" s="24"/>
      <c r="AF58" s="24"/>
      <c r="AG58">
        <v>122880</v>
      </c>
      <c r="AH58">
        <v>161600</v>
      </c>
      <c r="AI58" s="24"/>
      <c r="AJ58">
        <v>83360</v>
      </c>
      <c r="AK58" s="24"/>
      <c r="AL58" s="24"/>
      <c r="AM58" s="24"/>
      <c r="AN58" s="24"/>
      <c r="AO58" s="24"/>
      <c r="AP58" s="24"/>
      <c r="AQ58" s="24"/>
      <c r="AR58">
        <v>65880</v>
      </c>
      <c r="AS58" s="24"/>
      <c r="AT58" s="24"/>
      <c r="AU58" s="24"/>
      <c r="AV58" s="34"/>
      <c r="AW58" s="24"/>
      <c r="AX58" s="34"/>
      <c r="AY58" s="28"/>
      <c r="AZ58" s="24"/>
      <c r="BA58" s="28"/>
      <c r="BB58" s="65">
        <f t="shared" ref="BB58:BB63" si="23">SUM(E58:BA58)</f>
        <v>2287440</v>
      </c>
      <c r="BC58" s="27">
        <v>0</v>
      </c>
      <c r="BD58" s="27">
        <v>0</v>
      </c>
      <c r="BE58" s="27">
        <v>0</v>
      </c>
      <c r="BF58" s="27">
        <v>0</v>
      </c>
      <c r="BG58" s="27">
        <f>BB58</f>
        <v>2287440</v>
      </c>
      <c r="BH58" s="27">
        <v>0</v>
      </c>
      <c r="BI58" s="28">
        <f>SUM(BC58:BH58)</f>
        <v>2287440</v>
      </c>
    </row>
    <row r="59" spans="1:61" ht="22.5" customHeight="1" thickBot="1" x14ac:dyDescent="0.3">
      <c r="A59" s="185"/>
      <c r="B59" s="107" t="s">
        <v>39</v>
      </c>
      <c r="C59" s="23" t="s">
        <v>25</v>
      </c>
      <c r="D59" s="28"/>
      <c r="E59" s="28">
        <f>14344+1956</f>
        <v>16300</v>
      </c>
      <c r="F59" s="28"/>
      <c r="G59" s="28">
        <f>13956.8+1903.2</f>
        <v>15860</v>
      </c>
      <c r="H59" s="28">
        <f>1091.2+148.8</f>
        <v>1240</v>
      </c>
      <c r="I59" s="28"/>
      <c r="J59" s="28"/>
      <c r="K59" s="28">
        <f>91924.8+12535.2</f>
        <v>104460</v>
      </c>
      <c r="L59" s="28"/>
      <c r="M59" s="28">
        <f>50916.8+6943.2</f>
        <v>57860</v>
      </c>
      <c r="N59" s="28"/>
      <c r="O59" s="28">
        <f>36784+5016</f>
        <v>41800</v>
      </c>
      <c r="P59" s="28">
        <f>48382.4+6597.6</f>
        <v>54980</v>
      </c>
      <c r="Q59" s="28"/>
      <c r="R59" s="28"/>
      <c r="S59" s="28"/>
      <c r="T59" s="67"/>
      <c r="U59" s="28">
        <f>51515.2+7024.8</f>
        <v>58540</v>
      </c>
      <c r="V59" s="32"/>
      <c r="W59" s="32">
        <f>26118.4+3561.6</f>
        <v>29680</v>
      </c>
      <c r="X59" s="28">
        <f>8087.2+1102.8</f>
        <v>9190</v>
      </c>
      <c r="Y59" s="28"/>
      <c r="Z59" s="28">
        <f>36713.6+5006.4</f>
        <v>41720</v>
      </c>
      <c r="AA59" s="28"/>
      <c r="AB59" s="28"/>
      <c r="AC59" s="28"/>
      <c r="AD59" s="28">
        <f>27984+3816</f>
        <v>31800</v>
      </c>
      <c r="AE59" s="28"/>
      <c r="AF59" s="28"/>
      <c r="AG59" s="28">
        <f>27033.6+3686.4</f>
        <v>30720</v>
      </c>
      <c r="AH59" s="28">
        <f>35552+4848</f>
        <v>40400</v>
      </c>
      <c r="AI59" s="28"/>
      <c r="AJ59" s="28">
        <f>18339.2+2500.8</f>
        <v>20840</v>
      </c>
      <c r="AK59" s="28"/>
      <c r="AL59" s="28"/>
      <c r="AM59" s="28"/>
      <c r="AN59" s="28"/>
      <c r="AO59" s="28"/>
      <c r="AP59" s="28"/>
      <c r="AQ59" s="28"/>
      <c r="AR59" s="28">
        <f>14493.6+1976.4</f>
        <v>16470</v>
      </c>
      <c r="AS59" s="28"/>
      <c r="AT59" s="28"/>
      <c r="AU59" s="34"/>
      <c r="AV59" s="34"/>
      <c r="AW59" s="34"/>
      <c r="AX59" s="34"/>
      <c r="AY59" s="28"/>
      <c r="AZ59" s="27"/>
      <c r="BA59" s="27"/>
      <c r="BB59" s="26">
        <f t="shared" si="23"/>
        <v>571860</v>
      </c>
      <c r="BC59" s="35">
        <f>BB59*0.12</f>
        <v>68623.199999999997</v>
      </c>
      <c r="BD59" s="36"/>
      <c r="BE59" s="36"/>
      <c r="BF59" s="36"/>
      <c r="BG59" s="36"/>
      <c r="BH59" s="35">
        <f>0.88*BB59</f>
        <v>503236.8</v>
      </c>
      <c r="BI59" s="28">
        <f>SUM(BC59:BH59)</f>
        <v>571860</v>
      </c>
    </row>
    <row r="60" spans="1:61" ht="19.5" customHeight="1" thickBot="1" x14ac:dyDescent="0.3">
      <c r="A60" s="185"/>
      <c r="B60" s="107" t="s">
        <v>39</v>
      </c>
      <c r="C60" s="23" t="s">
        <v>28</v>
      </c>
      <c r="D60" s="28"/>
      <c r="E60" s="28">
        <v>3000</v>
      </c>
      <c r="F60" s="28"/>
      <c r="G60" s="28">
        <v>3000</v>
      </c>
      <c r="H60" s="28">
        <v>2000</v>
      </c>
      <c r="I60" s="28"/>
      <c r="J60" s="28"/>
      <c r="K60" s="28">
        <v>20000</v>
      </c>
      <c r="L60" s="28"/>
      <c r="M60" s="28">
        <v>11000</v>
      </c>
      <c r="N60" s="28"/>
      <c r="O60" s="28">
        <v>8000</v>
      </c>
      <c r="P60" s="28">
        <v>11000</v>
      </c>
      <c r="Q60" s="28"/>
      <c r="R60" s="28"/>
      <c r="S60" s="28"/>
      <c r="T60" s="67"/>
      <c r="U60" s="28">
        <v>11000</v>
      </c>
      <c r="V60" s="32"/>
      <c r="W60" s="32">
        <v>6000</v>
      </c>
      <c r="X60" s="28">
        <v>2000</v>
      </c>
      <c r="Y60" s="28"/>
      <c r="Z60" s="28">
        <v>8000</v>
      </c>
      <c r="AA60" s="28"/>
      <c r="AB60" s="28"/>
      <c r="AC60" s="28"/>
      <c r="AD60" s="28">
        <v>6000</v>
      </c>
      <c r="AE60" s="28"/>
      <c r="AF60" s="28"/>
      <c r="AG60" s="28">
        <v>6000</v>
      </c>
      <c r="AH60" s="28">
        <v>8000</v>
      </c>
      <c r="AI60" s="28"/>
      <c r="AJ60" s="28">
        <v>4000</v>
      </c>
      <c r="AK60" s="28"/>
      <c r="AL60" s="28"/>
      <c r="AM60" s="28"/>
      <c r="AN60" s="28"/>
      <c r="AO60" s="28"/>
      <c r="AP60" s="28"/>
      <c r="AQ60" s="28"/>
      <c r="AR60" s="28">
        <v>3000</v>
      </c>
      <c r="AT60" s="28"/>
      <c r="AU60" s="34"/>
      <c r="AV60" s="34"/>
      <c r="AW60" s="34"/>
      <c r="AX60" s="34"/>
      <c r="AY60" s="28"/>
      <c r="AZ60" s="27"/>
      <c r="BA60" s="27"/>
      <c r="BB60" s="26">
        <f t="shared" si="23"/>
        <v>112000</v>
      </c>
      <c r="BC60" s="36"/>
      <c r="BD60" s="35">
        <f>BB60</f>
        <v>112000</v>
      </c>
      <c r="BE60" s="36"/>
      <c r="BF60" s="36"/>
      <c r="BG60" s="36"/>
      <c r="BH60" s="36"/>
      <c r="BI60" s="28">
        <f>SUM(BC60:BH60)</f>
        <v>112000</v>
      </c>
    </row>
    <row r="61" spans="1:61" ht="18.75" customHeight="1" thickBot="1" x14ac:dyDescent="0.3">
      <c r="A61" s="185"/>
      <c r="B61" s="129" t="s">
        <v>39</v>
      </c>
      <c r="C61" s="69" t="s">
        <v>29</v>
      </c>
      <c r="D61" s="130"/>
      <c r="E61" s="70">
        <v>1987.5</v>
      </c>
      <c r="F61" s="70"/>
      <c r="G61" s="70">
        <v>1987.5</v>
      </c>
      <c r="H61" s="70">
        <v>662.5</v>
      </c>
      <c r="I61" s="70"/>
      <c r="J61" s="70"/>
      <c r="K61" s="70">
        <v>7618.75</v>
      </c>
      <c r="L61" s="70"/>
      <c r="M61" s="70">
        <v>4306.25</v>
      </c>
      <c r="N61" s="70"/>
      <c r="O61" s="70">
        <v>2650</v>
      </c>
      <c r="P61" s="70">
        <v>4968.75</v>
      </c>
      <c r="Q61" s="70"/>
      <c r="R61" s="70"/>
      <c r="S61" s="70"/>
      <c r="T61" s="131"/>
      <c r="U61" s="70">
        <v>4637.5</v>
      </c>
      <c r="V61" s="32"/>
      <c r="W61" s="32">
        <v>2318.75</v>
      </c>
      <c r="X61" s="70">
        <v>662.5</v>
      </c>
      <c r="Y61" s="70"/>
      <c r="Z61" s="70">
        <v>2650</v>
      </c>
      <c r="AA61" s="70"/>
      <c r="AB61" s="70"/>
      <c r="AC61" s="70"/>
      <c r="AD61" s="70">
        <v>2650</v>
      </c>
      <c r="AE61" s="70"/>
      <c r="AF61" s="70"/>
      <c r="AG61" s="70">
        <v>2318.75</v>
      </c>
      <c r="AH61" s="70">
        <v>2650</v>
      </c>
      <c r="AI61" s="70"/>
      <c r="AJ61" s="70">
        <v>1656.25</v>
      </c>
      <c r="AK61" s="70"/>
      <c r="AL61" s="70"/>
      <c r="AM61" s="70"/>
      <c r="AN61" s="70"/>
      <c r="AO61" s="70"/>
      <c r="AP61" s="70"/>
      <c r="AQ61" s="70"/>
      <c r="AR61" s="42">
        <v>993.75</v>
      </c>
      <c r="AS61" s="28"/>
      <c r="AT61" s="70"/>
      <c r="AU61" s="72"/>
      <c r="AV61" s="72"/>
      <c r="AW61" s="72"/>
      <c r="AX61" s="72"/>
      <c r="AY61" s="70"/>
      <c r="AZ61" s="73"/>
      <c r="BA61" s="73"/>
      <c r="BB61" s="74">
        <f t="shared" si="23"/>
        <v>44718.75</v>
      </c>
      <c r="BE61" s="75">
        <f>100/350*BB61</f>
        <v>12776.785714285714</v>
      </c>
      <c r="BF61" s="75">
        <f>250/350*BB61</f>
        <v>31941.964285714286</v>
      </c>
      <c r="BG61" s="75"/>
      <c r="BI61" s="33">
        <f>SUM(BC61:BH61)</f>
        <v>44718.75</v>
      </c>
    </row>
    <row r="62" spans="1:61" ht="20.25" customHeight="1" thickBot="1" x14ac:dyDescent="0.3">
      <c r="A62" s="21"/>
      <c r="B62" s="129" t="s">
        <v>39</v>
      </c>
      <c r="C62" s="49" t="s">
        <v>30</v>
      </c>
      <c r="D62" s="70"/>
      <c r="E62" s="70">
        <v>0</v>
      </c>
      <c r="F62" s="70"/>
      <c r="G62" s="70">
        <v>0</v>
      </c>
      <c r="H62" s="70">
        <v>0</v>
      </c>
      <c r="I62" s="70"/>
      <c r="J62" s="70"/>
      <c r="K62" s="70">
        <v>0</v>
      </c>
      <c r="L62" s="70"/>
      <c r="M62" s="70">
        <v>0</v>
      </c>
      <c r="N62" s="70"/>
      <c r="O62" s="70">
        <v>0</v>
      </c>
      <c r="P62" s="70">
        <v>0</v>
      </c>
      <c r="Q62" s="70"/>
      <c r="R62" s="70"/>
      <c r="S62" s="70"/>
      <c r="T62" s="71"/>
      <c r="U62" s="70">
        <v>0</v>
      </c>
      <c r="V62" s="70"/>
      <c r="W62" s="70">
        <v>0</v>
      </c>
      <c r="X62" s="70">
        <v>0</v>
      </c>
      <c r="Y62" s="70"/>
      <c r="Z62" s="70">
        <v>0</v>
      </c>
      <c r="AA62" s="70"/>
      <c r="AB62" s="70"/>
      <c r="AC62" s="70"/>
      <c r="AD62" s="70">
        <v>0</v>
      </c>
      <c r="AE62" s="70"/>
      <c r="AF62" s="70"/>
      <c r="AG62" s="70">
        <v>0</v>
      </c>
      <c r="AH62" s="70">
        <v>0</v>
      </c>
      <c r="AI62" s="70"/>
      <c r="AJ62" s="70">
        <v>0</v>
      </c>
      <c r="AK62" s="70"/>
      <c r="AL62" s="70"/>
      <c r="AM62" s="70"/>
      <c r="AN62" s="70"/>
      <c r="AO62" s="70"/>
      <c r="AP62" s="70"/>
      <c r="AQ62" s="70"/>
      <c r="AR62" s="84">
        <v>0</v>
      </c>
      <c r="AS62" s="70"/>
      <c r="AT62" s="70"/>
      <c r="AU62" s="72"/>
      <c r="AV62" s="72"/>
      <c r="AW62" s="72"/>
      <c r="AX62" s="72"/>
      <c r="AY62" s="70"/>
      <c r="AZ62" s="73"/>
      <c r="BA62" s="73"/>
      <c r="BB62" s="74">
        <f t="shared" si="23"/>
        <v>0</v>
      </c>
      <c r="BE62" s="75"/>
      <c r="BF62" s="75"/>
      <c r="BG62" s="75"/>
      <c r="BI62" s="33"/>
    </row>
    <row r="63" spans="1:61" ht="19.5" customHeight="1" thickBot="1" x14ac:dyDescent="0.3">
      <c r="A63" s="21"/>
      <c r="B63" s="129" t="s">
        <v>39</v>
      </c>
      <c r="C63" s="77" t="s">
        <v>31</v>
      </c>
      <c r="D63" s="70"/>
      <c r="E63" s="70">
        <v>112.5</v>
      </c>
      <c r="F63" s="70"/>
      <c r="G63" s="70">
        <v>112.5</v>
      </c>
      <c r="H63" s="70">
        <v>37.5</v>
      </c>
      <c r="I63" s="70"/>
      <c r="J63" s="70"/>
      <c r="K63" s="70">
        <v>431.25</v>
      </c>
      <c r="L63" s="70"/>
      <c r="M63" s="70">
        <v>243.75</v>
      </c>
      <c r="N63" s="70"/>
      <c r="O63" s="70">
        <v>150</v>
      </c>
      <c r="P63" s="70">
        <v>281.25</v>
      </c>
      <c r="Q63" s="70"/>
      <c r="R63" s="70"/>
      <c r="S63" s="70"/>
      <c r="T63" s="71"/>
      <c r="U63" s="70">
        <v>262.5</v>
      </c>
      <c r="V63" s="70"/>
      <c r="W63" s="70">
        <v>131.25</v>
      </c>
      <c r="X63" s="70">
        <v>37.5</v>
      </c>
      <c r="Y63" s="70"/>
      <c r="Z63" s="70">
        <v>150</v>
      </c>
      <c r="AA63" s="70"/>
      <c r="AB63" s="70"/>
      <c r="AD63" s="70">
        <v>150</v>
      </c>
      <c r="AE63" s="70"/>
      <c r="AF63" s="70"/>
      <c r="AG63" s="70">
        <v>131.25</v>
      </c>
      <c r="AH63" s="70">
        <v>150</v>
      </c>
      <c r="AI63" s="70"/>
      <c r="AJ63" s="70">
        <v>93.75</v>
      </c>
      <c r="AK63" s="70"/>
      <c r="AL63" s="70"/>
      <c r="AM63" s="70"/>
      <c r="AN63" s="70"/>
      <c r="AO63" s="70"/>
      <c r="AP63" s="70"/>
      <c r="AQ63" s="70"/>
      <c r="AR63" s="84">
        <v>56.25</v>
      </c>
      <c r="AS63" s="70"/>
      <c r="AT63" s="70"/>
      <c r="AU63" s="72"/>
      <c r="AV63" s="72"/>
      <c r="AW63" s="72"/>
      <c r="AX63" s="72"/>
      <c r="AY63" s="70"/>
      <c r="AZ63" s="73"/>
      <c r="BA63" s="73"/>
      <c r="BB63" s="74">
        <f t="shared" si="23"/>
        <v>2531.25</v>
      </c>
      <c r="BE63" s="75"/>
      <c r="BF63" s="75"/>
      <c r="BG63" s="75"/>
      <c r="BI63" s="33"/>
    </row>
    <row r="64" spans="1:61" ht="16.5" thickBot="1" x14ac:dyDescent="0.3">
      <c r="A64" s="88"/>
      <c r="B64" s="116" t="s">
        <v>26</v>
      </c>
      <c r="C64" s="117"/>
      <c r="D64" s="132">
        <f>SUM(D58:D63)</f>
        <v>0</v>
      </c>
      <c r="E64" s="132">
        <f>SUM(E58:E63)</f>
        <v>86600</v>
      </c>
      <c r="F64" s="132">
        <f>SUM(F58:F63)</f>
        <v>0</v>
      </c>
      <c r="G64" s="132">
        <f>SUM(G58:G63)</f>
        <v>84400</v>
      </c>
      <c r="H64" s="132">
        <f>SUM(H58:H63)</f>
        <v>8900</v>
      </c>
      <c r="I64" s="132"/>
      <c r="J64" s="132"/>
      <c r="K64" s="132">
        <f t="shared" ref="K64:P64" si="24">SUM(K58:K63)</f>
        <v>550350</v>
      </c>
      <c r="L64" s="132">
        <f t="shared" si="24"/>
        <v>0</v>
      </c>
      <c r="M64" s="132">
        <f t="shared" si="24"/>
        <v>304850</v>
      </c>
      <c r="N64" s="132">
        <f t="shared" si="24"/>
        <v>0</v>
      </c>
      <c r="O64" s="132">
        <f t="shared" si="24"/>
        <v>219800</v>
      </c>
      <c r="P64" s="132">
        <f t="shared" si="24"/>
        <v>291150</v>
      </c>
      <c r="Q64" s="132">
        <f>SUM(Q58:Q62)</f>
        <v>0</v>
      </c>
      <c r="R64" s="132">
        <f>SUM(R58:R63)</f>
        <v>0</v>
      </c>
      <c r="S64" s="132">
        <f>SUM(S58:S62)</f>
        <v>0</v>
      </c>
      <c r="T64" s="132">
        <f t="shared" ref="T64:Y64" si="25">SUM(T58:T63)</f>
        <v>0</v>
      </c>
      <c r="U64" s="132">
        <f t="shared" si="25"/>
        <v>308600</v>
      </c>
      <c r="V64" s="132">
        <f t="shared" si="25"/>
        <v>0</v>
      </c>
      <c r="W64" s="132">
        <f t="shared" si="25"/>
        <v>156850</v>
      </c>
      <c r="X64" s="132">
        <f t="shared" si="25"/>
        <v>48650</v>
      </c>
      <c r="Y64" s="132">
        <f t="shared" si="25"/>
        <v>0</v>
      </c>
      <c r="Z64" s="132">
        <f>SUM(Z58:Z63)</f>
        <v>219400</v>
      </c>
      <c r="AA64" s="132">
        <f>SUM(AA58:AA62)</f>
        <v>0</v>
      </c>
      <c r="AB64" s="132">
        <f>SUM(AB58:AB63)</f>
        <v>0</v>
      </c>
      <c r="AC64" s="132">
        <f>SUM(AC58:AC63)</f>
        <v>0</v>
      </c>
      <c r="AD64" s="132">
        <f>SUM(AD58:AD63)</f>
        <v>167800</v>
      </c>
      <c r="AE64" s="132">
        <f>SUM(AE58:AE63)</f>
        <v>0</v>
      </c>
      <c r="AF64" s="132"/>
      <c r="AG64" s="132">
        <f t="shared" ref="AG64:AL64" si="26">SUM(AG58:AG63)</f>
        <v>162050</v>
      </c>
      <c r="AH64" s="132">
        <f t="shared" si="26"/>
        <v>212800</v>
      </c>
      <c r="AI64" s="132">
        <f t="shared" si="26"/>
        <v>0</v>
      </c>
      <c r="AJ64" s="132">
        <f t="shared" si="26"/>
        <v>109950</v>
      </c>
      <c r="AK64" s="132">
        <f t="shared" si="26"/>
        <v>0</v>
      </c>
      <c r="AL64" s="132">
        <f t="shared" si="26"/>
        <v>0</v>
      </c>
      <c r="AM64" s="132"/>
      <c r="AN64" s="132"/>
      <c r="AO64" s="132">
        <f>SUM(AO58:AO63)</f>
        <v>0</v>
      </c>
      <c r="AP64" s="132">
        <f>SUM(AP58:AP62)</f>
        <v>0</v>
      </c>
      <c r="AQ64" s="132">
        <f>SUM(AQ58:AQ63)</f>
        <v>0</v>
      </c>
      <c r="AR64" s="132">
        <f>SUM(AR58:AR63)</f>
        <v>86400</v>
      </c>
      <c r="AS64" s="132">
        <f>SUM(AS58:AS63)</f>
        <v>0</v>
      </c>
      <c r="AT64" s="132"/>
      <c r="AU64" s="133">
        <f>SUM(AU58:AU63)</f>
        <v>0</v>
      </c>
      <c r="AV64" s="134"/>
      <c r="AW64" s="95">
        <f>SUM(AW58:AW63)</f>
        <v>0</v>
      </c>
      <c r="AX64" s="134"/>
      <c r="AY64" s="135"/>
      <c r="AZ64" s="97">
        <f>SUM(AZ58:AZ62)</f>
        <v>0</v>
      </c>
      <c r="BA64" s="97"/>
      <c r="BB64" s="136">
        <f>SUM(D64:BA64)</f>
        <v>3018550</v>
      </c>
      <c r="BC64" s="94">
        <f t="shared" ref="BC64:BI64" si="27">SUM(BC58:BC61)</f>
        <v>68623.199999999997</v>
      </c>
      <c r="BD64" s="94">
        <f t="shared" si="27"/>
        <v>112000</v>
      </c>
      <c r="BE64" s="94">
        <f t="shared" si="27"/>
        <v>12776.785714285714</v>
      </c>
      <c r="BF64" s="94">
        <f t="shared" si="27"/>
        <v>31941.964285714286</v>
      </c>
      <c r="BG64" s="94">
        <f t="shared" si="27"/>
        <v>2287440</v>
      </c>
      <c r="BH64" s="94">
        <f t="shared" si="27"/>
        <v>503236.8</v>
      </c>
      <c r="BI64" s="94">
        <f t="shared" si="27"/>
        <v>3016018.75</v>
      </c>
    </row>
    <row r="65" spans="1:61" ht="16.5" thickBot="1" x14ac:dyDescent="0.3">
      <c r="A65" s="25"/>
      <c r="B65" s="137"/>
      <c r="C65" s="77"/>
      <c r="D65" s="32"/>
      <c r="E65" s="32"/>
      <c r="F65" s="138"/>
      <c r="G65" s="138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Y65" s="73"/>
      <c r="AZ65" s="73"/>
      <c r="BA65" s="73"/>
      <c r="BB65" s="138"/>
    </row>
    <row r="66" spans="1:61" ht="15.75" thickBot="1" x14ac:dyDescent="0.3">
      <c r="A66" s="139"/>
      <c r="B66" s="140" t="s">
        <v>40</v>
      </c>
      <c r="C66" s="141"/>
      <c r="D66" s="142">
        <f>SUM(D8+D15+D22+D29+D36+D43+D57+D64)</f>
        <v>1633390</v>
      </c>
      <c r="E66" s="142">
        <f t="shared" ref="E66:BA66" si="28">SUM(E8+E15+E22+E29+E36+E43+E57+E64)</f>
        <v>93300</v>
      </c>
      <c r="F66" s="142">
        <f t="shared" si="28"/>
        <v>1556120</v>
      </c>
      <c r="G66" s="142">
        <f t="shared" si="28"/>
        <v>246950</v>
      </c>
      <c r="H66" s="142">
        <f t="shared" si="28"/>
        <v>3573350</v>
      </c>
      <c r="I66" s="142">
        <f t="shared" si="28"/>
        <v>161550</v>
      </c>
      <c r="J66" s="142">
        <f t="shared" si="28"/>
        <v>1765580</v>
      </c>
      <c r="K66" s="142">
        <f t="shared" si="28"/>
        <v>847050</v>
      </c>
      <c r="L66" s="142">
        <f t="shared" si="28"/>
        <v>1648900</v>
      </c>
      <c r="M66" s="142">
        <f t="shared" si="28"/>
        <v>420250</v>
      </c>
      <c r="N66" s="142">
        <f t="shared" si="28"/>
        <v>1006050</v>
      </c>
      <c r="O66" s="142">
        <f t="shared" si="28"/>
        <v>352810</v>
      </c>
      <c r="P66" s="142">
        <f t="shared" si="28"/>
        <v>543100</v>
      </c>
      <c r="Q66" s="142">
        <f t="shared" si="28"/>
        <v>1332070</v>
      </c>
      <c r="R66" s="142">
        <f t="shared" si="28"/>
        <v>442650</v>
      </c>
      <c r="S66" s="142">
        <f t="shared" si="28"/>
        <v>3470740</v>
      </c>
      <c r="T66" s="142">
        <f t="shared" si="28"/>
        <v>1517600</v>
      </c>
      <c r="U66" s="142">
        <f t="shared" si="28"/>
        <v>993250</v>
      </c>
      <c r="V66" s="142">
        <f t="shared" si="28"/>
        <v>2965410</v>
      </c>
      <c r="W66" s="142">
        <f t="shared" si="28"/>
        <v>1182500</v>
      </c>
      <c r="X66" s="142">
        <f t="shared" si="28"/>
        <v>1135400</v>
      </c>
      <c r="Y66" s="142">
        <f t="shared" si="28"/>
        <v>2798420</v>
      </c>
      <c r="Z66" s="142">
        <f t="shared" si="28"/>
        <v>1063450</v>
      </c>
      <c r="AA66" s="142">
        <f t="shared" si="28"/>
        <v>2692780</v>
      </c>
      <c r="AB66" s="142">
        <f t="shared" si="28"/>
        <v>2827850</v>
      </c>
      <c r="AC66" s="142">
        <f t="shared" si="28"/>
        <v>3380300.75</v>
      </c>
      <c r="AD66" s="142">
        <f t="shared" si="28"/>
        <v>1587300</v>
      </c>
      <c r="AE66" s="142">
        <f t="shared" si="28"/>
        <v>3404470</v>
      </c>
      <c r="AF66" s="142">
        <f t="shared" si="28"/>
        <v>3725470</v>
      </c>
      <c r="AG66" s="142">
        <f t="shared" si="28"/>
        <v>910450</v>
      </c>
      <c r="AH66" s="142">
        <f t="shared" si="28"/>
        <v>1823930</v>
      </c>
      <c r="AI66" s="143">
        <f t="shared" si="28"/>
        <v>2592960</v>
      </c>
      <c r="AJ66" s="142">
        <f t="shared" si="28"/>
        <v>2788450</v>
      </c>
      <c r="AK66" s="142">
        <f t="shared" si="28"/>
        <v>2574240</v>
      </c>
      <c r="AL66" s="142">
        <f t="shared" si="28"/>
        <v>1189750</v>
      </c>
      <c r="AM66" s="142">
        <f>SUM(AM43+AM8+AM15+AM29)</f>
        <v>1716320</v>
      </c>
      <c r="AN66" s="142">
        <f t="shared" si="28"/>
        <v>1215650</v>
      </c>
      <c r="AO66" s="142">
        <f t="shared" si="28"/>
        <v>285190</v>
      </c>
      <c r="AP66" s="142">
        <f t="shared" si="28"/>
        <v>665150</v>
      </c>
      <c r="AQ66" s="142">
        <f t="shared" si="28"/>
        <v>105550</v>
      </c>
      <c r="AR66" s="142">
        <f t="shared" si="28"/>
        <v>332350</v>
      </c>
      <c r="AS66" s="142">
        <f t="shared" si="28"/>
        <v>3298150</v>
      </c>
      <c r="AT66" s="142">
        <f t="shared" si="28"/>
        <v>267920</v>
      </c>
      <c r="AU66" s="142">
        <f t="shared" si="28"/>
        <v>2419400</v>
      </c>
      <c r="AV66" s="142">
        <f t="shared" si="28"/>
        <v>180150</v>
      </c>
      <c r="AW66" s="142">
        <f t="shared" si="28"/>
        <v>11500</v>
      </c>
      <c r="AX66" s="142">
        <f t="shared" si="28"/>
        <v>2652380</v>
      </c>
      <c r="AY66" s="142">
        <f t="shared" si="28"/>
        <v>0</v>
      </c>
      <c r="AZ66" s="142">
        <f t="shared" si="28"/>
        <v>0</v>
      </c>
      <c r="BA66" s="142">
        <f t="shared" si="28"/>
        <v>0</v>
      </c>
      <c r="BB66" s="144">
        <f>SUM(BB8+BB15+BB22+BB29+BB36+BB43+BB49+BB57+BB64)</f>
        <v>73397550.75</v>
      </c>
      <c r="BC66" s="144">
        <f t="shared" ref="BC66:BI66" si="29">BC8+BC15+BC22+BC29+BC36+BC43+BC50+BC57+BC64</f>
        <v>176153.05799999999</v>
      </c>
      <c r="BD66" s="144">
        <f t="shared" si="29"/>
        <v>721000</v>
      </c>
      <c r="BE66" s="144">
        <f t="shared" si="29"/>
        <v>115842.85714285713</v>
      </c>
      <c r="BF66" s="144">
        <f t="shared" si="29"/>
        <v>289607.14285714284</v>
      </c>
      <c r="BG66" s="144">
        <f t="shared" si="29"/>
        <v>5871768.5999999996</v>
      </c>
      <c r="BH66" s="145">
        <f t="shared" si="29"/>
        <v>1291789.0919999999</v>
      </c>
      <c r="BI66" s="146">
        <f t="shared" si="29"/>
        <v>8466160.75</v>
      </c>
    </row>
    <row r="67" spans="1:61" x14ac:dyDescent="0.25">
      <c r="A67" s="147"/>
      <c r="B67" s="147"/>
      <c r="C67" s="147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50"/>
    </row>
    <row r="68" spans="1:61" x14ac:dyDescent="0.25">
      <c r="A68" s="147"/>
      <c r="B68" s="147"/>
      <c r="C68" s="151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  <c r="AT68" s="148"/>
      <c r="AU68" s="148"/>
      <c r="AV68" s="148"/>
      <c r="AW68" s="148"/>
      <c r="AX68" s="148"/>
      <c r="AY68" s="148"/>
      <c r="AZ68" s="148"/>
      <c r="BA68" s="148"/>
      <c r="BB68" s="150"/>
    </row>
    <row r="69" spans="1:61" x14ac:dyDescent="0.25">
      <c r="A69" s="147"/>
      <c r="B69" s="147"/>
      <c r="C69" s="151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</row>
    <row r="70" spans="1:61" x14ac:dyDescent="0.25">
      <c r="A70" s="152">
        <v>10</v>
      </c>
      <c r="B70" s="4" t="s">
        <v>41</v>
      </c>
      <c r="C70" s="4"/>
      <c r="D70" s="1">
        <f>734892.74+110000</f>
        <v>844892.74</v>
      </c>
      <c r="E70" s="2"/>
      <c r="F70" s="1">
        <f>5737323.37</f>
        <v>5737323.3700000001</v>
      </c>
      <c r="G70" s="1"/>
      <c r="H70" s="1">
        <f>1153998.88+318424.4</f>
        <v>1472423.2799999998</v>
      </c>
      <c r="I70" s="3"/>
      <c r="J70" s="4">
        <f>583811.15</f>
        <v>583811.15</v>
      </c>
      <c r="K70" s="5">
        <f>80771.67</f>
        <v>80771.67</v>
      </c>
      <c r="L70" s="6">
        <f>1984269.22+232781.25</f>
        <v>2217050.4699999997</v>
      </c>
      <c r="M70" s="1"/>
      <c r="N70" s="1">
        <v>105000</v>
      </c>
      <c r="O70" s="3">
        <f>25753.11+4998611.08</f>
        <v>5024364.1900000004</v>
      </c>
      <c r="P70" s="6">
        <f>40872</f>
        <v>40872</v>
      </c>
      <c r="Q70" s="7">
        <f>1151525.71</f>
        <v>1151525.71</v>
      </c>
      <c r="R70" s="4">
        <v>140000</v>
      </c>
      <c r="S70" s="3">
        <f>1825624.11+45000</f>
        <v>1870624.11</v>
      </c>
      <c r="T70" s="2">
        <f>1058644.67</f>
        <v>1058644.67</v>
      </c>
      <c r="U70" s="2">
        <v>11193.1</v>
      </c>
      <c r="V70" s="2">
        <f>614915.32</f>
        <v>614915.31999999995</v>
      </c>
      <c r="W70" s="2">
        <f>11000+4276850.57</f>
        <v>4287850.57</v>
      </c>
      <c r="X70">
        <f>2000+2848370.04</f>
        <v>2850370.04</v>
      </c>
      <c r="Y70" s="3">
        <v>1750</v>
      </c>
      <c r="Z70" s="6">
        <f>6208.81+227922.82</f>
        <v>234131.63</v>
      </c>
      <c r="AA70" s="1">
        <f>28350</f>
        <v>28350</v>
      </c>
      <c r="AB70" s="1">
        <f>1211906.1</f>
        <v>1211906.1000000001</v>
      </c>
      <c r="AC70" s="3">
        <f>50000</f>
        <v>50000</v>
      </c>
      <c r="AD70" s="1">
        <f>635285.29</f>
        <v>635285.29</v>
      </c>
      <c r="AE70" s="5">
        <f>93350</f>
        <v>93350</v>
      </c>
      <c r="AF70" s="6">
        <f>1256313.58+371660.1</f>
        <v>1627973.6800000002</v>
      </c>
      <c r="AG70" s="8">
        <v>1084237.06</v>
      </c>
      <c r="AH70" s="1">
        <f>2927786.37</f>
        <v>2927786.37</v>
      </c>
      <c r="AI70" s="5">
        <f>19614.4+319555</f>
        <v>339169.4</v>
      </c>
      <c r="AJ70" s="1">
        <f>876696.86+10301.55</f>
        <v>886998.41</v>
      </c>
      <c r="AK70" s="5">
        <f>448100</f>
        <v>448100</v>
      </c>
      <c r="AL70" s="6">
        <f>499069.23+25753.11</f>
        <v>524822.34</v>
      </c>
      <c r="AM70" s="6"/>
      <c r="AN70" s="5"/>
      <c r="AO70" s="6"/>
      <c r="AP70" s="5"/>
      <c r="AQ70" s="6"/>
      <c r="AR70" s="3">
        <f>1239274.5</f>
        <v>1239274.5</v>
      </c>
      <c r="AS70" s="6"/>
      <c r="AT70" s="3">
        <f>20000+187912.63</f>
        <v>207912.63</v>
      </c>
      <c r="AU70" s="6">
        <f>396200</f>
        <v>396200</v>
      </c>
      <c r="AV70" s="9">
        <f>286000+12369.06</f>
        <v>298369.06</v>
      </c>
      <c r="AW70" s="6">
        <f>3852525.33</f>
        <v>3852525.33</v>
      </c>
      <c r="AX70" s="6">
        <v>67000</v>
      </c>
      <c r="AY70" s="6">
        <v>0</v>
      </c>
      <c r="AZ70" s="6">
        <v>0</v>
      </c>
      <c r="BA70" s="6">
        <v>0</v>
      </c>
      <c r="BB70" s="6">
        <f>SUM(D70:BA70)</f>
        <v>44246774.189999998</v>
      </c>
      <c r="BC70" s="153">
        <v>0</v>
      </c>
      <c r="BD70" s="153">
        <f>SUM(D70:BB70)</f>
        <v>88493548.379999995</v>
      </c>
      <c r="BE70" s="153"/>
      <c r="BF70" s="153"/>
      <c r="BG70" s="153"/>
      <c r="BH70" s="153"/>
      <c r="BI70" s="153"/>
    </row>
    <row r="71" spans="1:61" ht="15.75" thickBot="1" x14ac:dyDescent="0.3">
      <c r="A71" s="154"/>
      <c r="B71" s="155"/>
      <c r="C71" s="155"/>
      <c r="D71" s="2">
        <f>SUM(D66+D70)</f>
        <v>2478282.7400000002</v>
      </c>
      <c r="E71" s="2">
        <f t="shared" ref="E71:BA71" si="30">SUM(E66+E70)</f>
        <v>93300</v>
      </c>
      <c r="F71" s="156">
        <f t="shared" si="30"/>
        <v>7293443.3700000001</v>
      </c>
      <c r="G71" s="156">
        <f t="shared" si="30"/>
        <v>246950</v>
      </c>
      <c r="H71" s="156">
        <f t="shared" si="30"/>
        <v>5045773.2799999993</v>
      </c>
      <c r="I71" s="156">
        <f t="shared" si="30"/>
        <v>161550</v>
      </c>
      <c r="J71" s="156">
        <f t="shared" si="30"/>
        <v>2349391.15</v>
      </c>
      <c r="K71" s="156">
        <f t="shared" si="30"/>
        <v>927821.67</v>
      </c>
      <c r="L71" s="156">
        <f t="shared" si="30"/>
        <v>3865950.4699999997</v>
      </c>
      <c r="M71" s="156">
        <f t="shared" si="30"/>
        <v>420250</v>
      </c>
      <c r="N71" s="156">
        <f t="shared" si="30"/>
        <v>1111050</v>
      </c>
      <c r="O71" s="156">
        <f t="shared" si="30"/>
        <v>5377174.1900000004</v>
      </c>
      <c r="P71" s="156">
        <f t="shared" si="30"/>
        <v>583972</v>
      </c>
      <c r="Q71" s="156">
        <f t="shared" si="30"/>
        <v>2483595.71</v>
      </c>
      <c r="R71" s="156">
        <f t="shared" si="30"/>
        <v>582650</v>
      </c>
      <c r="S71" s="156">
        <f t="shared" si="30"/>
        <v>5341364.1100000003</v>
      </c>
      <c r="T71" s="156">
        <f t="shared" si="30"/>
        <v>2576244.67</v>
      </c>
      <c r="U71" s="156">
        <f t="shared" si="30"/>
        <v>1004443.1</v>
      </c>
      <c r="V71" s="156">
        <f t="shared" si="30"/>
        <v>3580325.32</v>
      </c>
      <c r="W71" s="156">
        <f t="shared" si="30"/>
        <v>5470350.5700000003</v>
      </c>
      <c r="X71" s="156">
        <f t="shared" si="30"/>
        <v>3985770.04</v>
      </c>
      <c r="Y71" s="156">
        <f t="shared" si="30"/>
        <v>2800170</v>
      </c>
      <c r="Z71" s="156">
        <f t="shared" si="30"/>
        <v>1297581.6299999999</v>
      </c>
      <c r="AA71" s="156">
        <f t="shared" si="30"/>
        <v>2721130</v>
      </c>
      <c r="AB71" s="156">
        <f t="shared" si="30"/>
        <v>4039756.1</v>
      </c>
      <c r="AC71" s="156">
        <f t="shared" si="30"/>
        <v>3430300.75</v>
      </c>
      <c r="AD71" s="156">
        <f t="shared" si="30"/>
        <v>2222585.29</v>
      </c>
      <c r="AE71" s="156">
        <f t="shared" si="30"/>
        <v>3497820</v>
      </c>
      <c r="AF71" s="156">
        <f t="shared" si="30"/>
        <v>5353443.68</v>
      </c>
      <c r="AG71" s="156">
        <f t="shared" si="30"/>
        <v>1994687.06</v>
      </c>
      <c r="AH71" s="156">
        <f t="shared" si="30"/>
        <v>4751716.37</v>
      </c>
      <c r="AI71" s="156">
        <f t="shared" si="30"/>
        <v>2932129.4</v>
      </c>
      <c r="AJ71" s="156">
        <f t="shared" si="30"/>
        <v>3675448.41</v>
      </c>
      <c r="AK71" s="156">
        <f t="shared" si="30"/>
        <v>3022340</v>
      </c>
      <c r="AL71" s="156">
        <f t="shared" si="30"/>
        <v>1714572.3399999999</v>
      </c>
      <c r="AM71" s="156"/>
      <c r="AN71" s="156">
        <f t="shared" si="30"/>
        <v>1215650</v>
      </c>
      <c r="AO71" s="156">
        <f t="shared" si="30"/>
        <v>285190</v>
      </c>
      <c r="AP71" s="156">
        <f t="shared" si="30"/>
        <v>665150</v>
      </c>
      <c r="AQ71" s="156">
        <f t="shared" si="30"/>
        <v>105550</v>
      </c>
      <c r="AR71" s="156">
        <f t="shared" si="30"/>
        <v>1571624.5</v>
      </c>
      <c r="AS71" s="156">
        <f t="shared" si="30"/>
        <v>3298150</v>
      </c>
      <c r="AT71" s="156">
        <f>SUM(AT66+AT70)</f>
        <v>475832.63</v>
      </c>
      <c r="AU71" s="156">
        <f t="shared" si="30"/>
        <v>2815600</v>
      </c>
      <c r="AV71" s="156">
        <f t="shared" si="30"/>
        <v>478519.06</v>
      </c>
      <c r="AW71" s="156">
        <f t="shared" si="30"/>
        <v>3864025.33</v>
      </c>
      <c r="AX71" s="156">
        <f t="shared" si="30"/>
        <v>2719380</v>
      </c>
      <c r="AY71" s="156">
        <f t="shared" si="30"/>
        <v>0</v>
      </c>
      <c r="AZ71" s="156">
        <f t="shared" si="30"/>
        <v>0</v>
      </c>
      <c r="BA71" s="157">
        <f t="shared" si="30"/>
        <v>0</v>
      </c>
      <c r="BB71" s="146">
        <f>SUM(D71:BA71)</f>
        <v>115928004.94000001</v>
      </c>
      <c r="BC71" s="158">
        <f t="shared" ref="BC71:BI71" si="31">BC66+BC70</f>
        <v>176153.05799999999</v>
      </c>
      <c r="BD71" s="158">
        <f t="shared" si="31"/>
        <v>89214548.379999995</v>
      </c>
      <c r="BE71" s="158">
        <f t="shared" si="31"/>
        <v>115842.85714285713</v>
      </c>
      <c r="BF71" s="158">
        <f t="shared" si="31"/>
        <v>289607.14285714284</v>
      </c>
      <c r="BG71" s="158">
        <f t="shared" si="31"/>
        <v>5871768.5999999996</v>
      </c>
      <c r="BH71" s="158">
        <f t="shared" si="31"/>
        <v>1291789.0919999999</v>
      </c>
      <c r="BI71" s="158">
        <f t="shared" si="31"/>
        <v>8466160.75</v>
      </c>
    </row>
    <row r="72" spans="1:61" ht="15.75" thickTop="1" x14ac:dyDescent="0.25"/>
  </sheetData>
  <mergeCells count="9">
    <mergeCell ref="A44:A47"/>
    <mergeCell ref="A51:A54"/>
    <mergeCell ref="A58:A61"/>
    <mergeCell ref="A2:A8"/>
    <mergeCell ref="A9:A12"/>
    <mergeCell ref="A16:A19"/>
    <mergeCell ref="A23:A26"/>
    <mergeCell ref="A30:A33"/>
    <mergeCell ref="A37:A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B70D-A30E-4581-8020-30738D7D45F0}">
  <dimension ref="A1:CH72"/>
  <sheetViews>
    <sheetView tabSelected="1" zoomScale="90" zoomScaleNormal="90" workbookViewId="0">
      <pane xSplit="7" ySplit="10" topLeftCell="AU20" activePane="bottomRight" state="frozen"/>
      <selection pane="topRight" activeCell="G1" sqref="G1"/>
      <selection pane="bottomLeft" activeCell="A11" sqref="A11"/>
      <selection pane="bottomRight" activeCell="AW8" sqref="AW8"/>
    </sheetView>
  </sheetViews>
  <sheetFormatPr defaultRowHeight="15" x14ac:dyDescent="0.25"/>
  <cols>
    <col min="2" max="2" width="35.28515625" bestFit="1" customWidth="1"/>
    <col min="3" max="3" width="14.42578125" bestFit="1" customWidth="1"/>
    <col min="4" max="5" width="19.28515625" customWidth="1"/>
    <col min="6" max="6" width="16.85546875" customWidth="1"/>
    <col min="7" max="7" width="14" customWidth="1"/>
    <col min="8" max="8" width="15.7109375" customWidth="1"/>
    <col min="9" max="9" width="13.85546875" customWidth="1"/>
    <col min="10" max="10" width="14.5703125" customWidth="1"/>
    <col min="11" max="11" width="14.140625" customWidth="1"/>
    <col min="12" max="12" width="14.85546875" customWidth="1"/>
    <col min="13" max="15" width="13.7109375" customWidth="1"/>
    <col min="16" max="16" width="14.28515625" customWidth="1"/>
    <col min="17" max="17" width="13.85546875" customWidth="1"/>
    <col min="18" max="18" width="13.7109375" customWidth="1"/>
    <col min="19" max="19" width="13.42578125" customWidth="1"/>
    <col min="20" max="20" width="14" customWidth="1"/>
    <col min="21" max="21" width="16.140625" customWidth="1"/>
    <col min="22" max="23" width="14.140625" customWidth="1"/>
    <col min="24" max="24" width="13.85546875" customWidth="1"/>
    <col min="25" max="25" width="14" customWidth="1"/>
    <col min="26" max="26" width="14.85546875" customWidth="1"/>
    <col min="27" max="27" width="13.7109375" customWidth="1"/>
    <col min="28" max="28" width="14" customWidth="1"/>
    <col min="29" max="29" width="13.5703125" customWidth="1"/>
    <col min="30" max="30" width="14.85546875" customWidth="1"/>
    <col min="31" max="31" width="13.5703125" customWidth="1"/>
    <col min="32" max="32" width="14.42578125" customWidth="1"/>
    <col min="33" max="33" width="14.140625" customWidth="1"/>
    <col min="34" max="36" width="13.5703125" customWidth="1"/>
    <col min="37" max="37" width="14.5703125" customWidth="1"/>
    <col min="38" max="38" width="13.42578125" customWidth="1"/>
    <col min="39" max="39" width="15.28515625" customWidth="1"/>
    <col min="40" max="40" width="14" customWidth="1"/>
    <col min="41" max="41" width="14.140625" customWidth="1"/>
    <col min="42" max="42" width="14.42578125" customWidth="1"/>
    <col min="43" max="43" width="14.140625" customWidth="1"/>
    <col min="44" max="45" width="14.42578125" customWidth="1"/>
    <col min="46" max="46" width="14.140625" customWidth="1"/>
    <col min="47" max="47" width="17.140625" customWidth="1"/>
    <col min="48" max="48" width="13.7109375" customWidth="1"/>
    <col min="49" max="49" width="14.42578125" customWidth="1"/>
    <col min="50" max="50" width="14" customWidth="1"/>
    <col min="51" max="51" width="13.5703125" customWidth="1"/>
    <col min="52" max="52" width="14.5703125" customWidth="1"/>
    <col min="53" max="53" width="14.28515625" customWidth="1"/>
    <col min="54" max="54" width="14.140625" customWidth="1"/>
    <col min="55" max="62" width="15.85546875" customWidth="1"/>
    <col min="63" max="63" width="13.5703125" customWidth="1"/>
    <col min="64" max="64" width="16.28515625" customWidth="1"/>
    <col min="72" max="72" width="11.42578125" customWidth="1"/>
  </cols>
  <sheetData>
    <row r="1" spans="1:86" ht="64.5" x14ac:dyDescent="0.25">
      <c r="A1" s="10" t="s">
        <v>0</v>
      </c>
      <c r="B1" s="11" t="s">
        <v>1</v>
      </c>
      <c r="C1" s="11" t="s">
        <v>2</v>
      </c>
      <c r="D1" s="11" t="s">
        <v>54</v>
      </c>
      <c r="E1" s="12">
        <v>44931</v>
      </c>
      <c r="F1" s="12">
        <v>44962</v>
      </c>
      <c r="G1" s="13">
        <v>44962</v>
      </c>
      <c r="H1" s="12">
        <v>44990</v>
      </c>
      <c r="I1" s="14">
        <v>44990</v>
      </c>
      <c r="J1" s="14">
        <v>45021</v>
      </c>
      <c r="K1" s="12">
        <v>45021</v>
      </c>
      <c r="L1" s="14">
        <v>45021</v>
      </c>
      <c r="M1" s="12">
        <v>45051</v>
      </c>
      <c r="N1" s="14">
        <v>45051</v>
      </c>
      <c r="O1" s="12">
        <v>45082</v>
      </c>
      <c r="P1" s="14">
        <v>45143</v>
      </c>
      <c r="Q1" s="12">
        <v>45143</v>
      </c>
      <c r="R1" s="14">
        <v>45174</v>
      </c>
      <c r="S1" s="12">
        <v>45174</v>
      </c>
      <c r="T1" s="14">
        <v>45204</v>
      </c>
      <c r="U1" s="12">
        <v>45204</v>
      </c>
      <c r="V1" s="14">
        <v>45235</v>
      </c>
      <c r="W1" s="12">
        <v>45235</v>
      </c>
      <c r="X1" s="14">
        <v>45265</v>
      </c>
      <c r="Y1" s="12">
        <v>45265</v>
      </c>
      <c r="Z1" s="13" t="s">
        <v>50</v>
      </c>
      <c r="AA1" s="15" t="s">
        <v>51</v>
      </c>
      <c r="AB1" s="12" t="s">
        <v>52</v>
      </c>
      <c r="AC1" s="14" t="s">
        <v>52</v>
      </c>
      <c r="AD1" s="16" t="s">
        <v>53</v>
      </c>
      <c r="AE1" s="12" t="s">
        <v>53</v>
      </c>
      <c r="AF1" s="16" t="s">
        <v>55</v>
      </c>
      <c r="AG1" s="17" t="s">
        <v>55</v>
      </c>
      <c r="AH1" s="17" t="s">
        <v>56</v>
      </c>
      <c r="AI1" s="17" t="s">
        <v>56</v>
      </c>
      <c r="AJ1" s="16" t="s">
        <v>57</v>
      </c>
      <c r="AK1" s="16" t="s">
        <v>57</v>
      </c>
      <c r="AL1" s="14" t="s">
        <v>58</v>
      </c>
      <c r="AM1" s="16" t="s">
        <v>58</v>
      </c>
      <c r="AN1" s="17" t="s">
        <v>59</v>
      </c>
      <c r="AO1" s="16" t="s">
        <v>59</v>
      </c>
      <c r="AP1" s="16" t="s">
        <v>61</v>
      </c>
      <c r="AQ1" s="17" t="s">
        <v>61</v>
      </c>
      <c r="AR1" s="16" t="s">
        <v>62</v>
      </c>
      <c r="AS1" s="14" t="s">
        <v>62</v>
      </c>
      <c r="AT1" s="14" t="s">
        <v>63</v>
      </c>
      <c r="AU1" s="12" t="s">
        <v>63</v>
      </c>
      <c r="AV1" s="17" t="s">
        <v>64</v>
      </c>
      <c r="AW1" s="12" t="s">
        <v>65</v>
      </c>
      <c r="AX1" s="17" t="s">
        <v>49</v>
      </c>
      <c r="AY1" s="16" t="s">
        <v>49</v>
      </c>
      <c r="AZ1" s="16" t="s">
        <v>49</v>
      </c>
      <c r="BA1" s="17" t="s">
        <v>43</v>
      </c>
      <c r="BB1" s="12" t="s">
        <v>44</v>
      </c>
      <c r="BC1" s="17" t="s">
        <v>44</v>
      </c>
      <c r="BD1" s="18" t="s">
        <v>44</v>
      </c>
      <c r="BE1" s="18" t="s">
        <v>45</v>
      </c>
      <c r="BF1" s="18" t="s">
        <v>45</v>
      </c>
      <c r="BG1" s="18" t="s">
        <v>45</v>
      </c>
      <c r="BH1" s="18" t="s">
        <v>46</v>
      </c>
      <c r="BI1" s="18" t="s">
        <v>47</v>
      </c>
      <c r="BJ1" s="18" t="s">
        <v>47</v>
      </c>
      <c r="BK1" s="18" t="s">
        <v>48</v>
      </c>
      <c r="BL1" s="19" t="s">
        <v>48</v>
      </c>
      <c r="BM1" s="20" t="s">
        <v>19</v>
      </c>
      <c r="BN1" s="18" t="s">
        <v>20</v>
      </c>
      <c r="BO1" s="18" t="s">
        <v>21</v>
      </c>
      <c r="BP1" s="18" t="s">
        <v>22</v>
      </c>
      <c r="BQ1" s="18" t="s">
        <v>23</v>
      </c>
      <c r="BR1" s="18" t="s">
        <v>24</v>
      </c>
      <c r="BS1" s="18" t="s">
        <v>25</v>
      </c>
      <c r="BT1" s="18" t="s">
        <v>26</v>
      </c>
      <c r="BU1" s="160"/>
      <c r="BV1" s="160"/>
      <c r="BW1" s="160"/>
      <c r="BX1" s="160"/>
      <c r="BY1" s="160"/>
      <c r="BZ1" s="160"/>
      <c r="CA1" s="160"/>
      <c r="CB1" s="160"/>
      <c r="CC1" s="160"/>
      <c r="CD1" s="160"/>
      <c r="CE1" s="160"/>
      <c r="CF1" s="160"/>
      <c r="CG1" s="160"/>
      <c r="CH1" s="160"/>
    </row>
    <row r="2" spans="1:86" ht="15.75" x14ac:dyDescent="0.25">
      <c r="A2" s="185">
        <v>1</v>
      </c>
      <c r="B2" s="22" t="s">
        <v>27</v>
      </c>
      <c r="C2" s="23" t="s">
        <v>24</v>
      </c>
      <c r="D2" s="77"/>
      <c r="E2">
        <v>31800</v>
      </c>
      <c r="G2">
        <v>67000</v>
      </c>
      <c r="H2">
        <v>77760</v>
      </c>
      <c r="I2">
        <v>537920</v>
      </c>
      <c r="K2">
        <v>220360</v>
      </c>
      <c r="L2">
        <v>465000</v>
      </c>
      <c r="M2">
        <v>335120</v>
      </c>
      <c r="N2">
        <v>657320</v>
      </c>
      <c r="P2">
        <v>146160</v>
      </c>
      <c r="Q2">
        <v>385880</v>
      </c>
      <c r="R2">
        <v>688960</v>
      </c>
      <c r="S2">
        <v>709680</v>
      </c>
      <c r="T2">
        <v>424400</v>
      </c>
      <c r="U2">
        <v>735520</v>
      </c>
      <c r="V2">
        <v>270720</v>
      </c>
      <c r="W2">
        <v>430680</v>
      </c>
      <c r="X2">
        <v>211000</v>
      </c>
      <c r="Y2">
        <v>445040</v>
      </c>
      <c r="Z2">
        <v>93480</v>
      </c>
      <c r="AA2">
        <v>530600</v>
      </c>
      <c r="AB2">
        <v>405320</v>
      </c>
      <c r="AC2">
        <v>578920</v>
      </c>
      <c r="AD2">
        <v>412320</v>
      </c>
      <c r="AE2">
        <v>632966.70400000003</v>
      </c>
      <c r="AF2">
        <v>265640</v>
      </c>
      <c r="AG2">
        <v>445120</v>
      </c>
      <c r="AH2">
        <v>301360</v>
      </c>
      <c r="AI2">
        <v>603600</v>
      </c>
      <c r="AK2">
        <v>174760</v>
      </c>
      <c r="AL2">
        <v>553640</v>
      </c>
      <c r="AM2">
        <v>494680</v>
      </c>
      <c r="AN2">
        <v>242840</v>
      </c>
      <c r="AO2">
        <v>419120</v>
      </c>
      <c r="AP2">
        <v>332520</v>
      </c>
      <c r="AQ2">
        <v>210680</v>
      </c>
      <c r="AR2">
        <v>127160</v>
      </c>
      <c r="AS2">
        <v>470040</v>
      </c>
      <c r="AT2">
        <v>177520</v>
      </c>
      <c r="AU2">
        <v>359840</v>
      </c>
      <c r="AW2">
        <v>6000</v>
      </c>
      <c r="BL2" s="26">
        <f>SUM(E2:BK2)</f>
        <v>14678446.704</v>
      </c>
      <c r="BM2" s="27"/>
      <c r="BN2" s="27"/>
      <c r="BO2" s="27"/>
      <c r="BP2" s="27"/>
      <c r="BQ2" s="27"/>
      <c r="BR2" s="27"/>
      <c r="BS2" s="28"/>
    </row>
    <row r="3" spans="1:86" ht="15.75" x14ac:dyDescent="0.25">
      <c r="A3" s="185"/>
      <c r="B3" s="22" t="s">
        <v>27</v>
      </c>
      <c r="C3" s="23" t="s">
        <v>25</v>
      </c>
      <c r="D3" s="183"/>
      <c r="E3" s="29">
        <f>6996+954</f>
        <v>7950</v>
      </c>
      <c r="F3" s="28"/>
      <c r="G3" s="28">
        <f>14740+2010</f>
        <v>16750</v>
      </c>
      <c r="H3" s="30">
        <f>17107.2+2332.8</f>
        <v>19440</v>
      </c>
      <c r="I3" s="28">
        <f>118342.4+16137.6</f>
        <v>134480</v>
      </c>
      <c r="J3" s="28"/>
      <c r="K3" s="28">
        <f>48479.2+6610.8</f>
        <v>55090</v>
      </c>
      <c r="L3" s="28">
        <f>102300+13950</f>
        <v>116250</v>
      </c>
      <c r="M3" s="28">
        <f>73726.4+10053.6</f>
        <v>83780</v>
      </c>
      <c r="N3" s="28">
        <f>144610.4+19719.6</f>
        <v>164330</v>
      </c>
      <c r="O3" s="28"/>
      <c r="P3" s="28">
        <f>32155.2+4384.8</f>
        <v>36540</v>
      </c>
      <c r="Q3" s="28">
        <f>84893.6+11576.4</f>
        <v>96470</v>
      </c>
      <c r="R3" s="28">
        <f>151571.2+20668.8</f>
        <v>172240</v>
      </c>
      <c r="S3" s="28">
        <f>156129.6+21290.4</f>
        <v>177420</v>
      </c>
      <c r="T3" s="28">
        <f>93368+12732</f>
        <v>106100</v>
      </c>
      <c r="U3" s="31">
        <f>161814.4+22065.6</f>
        <v>183880</v>
      </c>
      <c r="V3" s="32">
        <f>59558.4+8121.6</f>
        <v>67680</v>
      </c>
      <c r="W3" s="32">
        <f>94749.6+12920.4</f>
        <v>107670</v>
      </c>
      <c r="X3" s="32">
        <f>46420+6330</f>
        <v>52750</v>
      </c>
      <c r="Y3" s="28">
        <f>97908.8+13351.2</f>
        <v>111260</v>
      </c>
      <c r="Z3" s="28">
        <f>20565.6+2804.4</f>
        <v>23370</v>
      </c>
      <c r="AA3">
        <f>116732+15918</f>
        <v>132650</v>
      </c>
      <c r="AB3" s="28">
        <f>89170.4+12159.6</f>
        <v>101330</v>
      </c>
      <c r="AC3" s="28">
        <f>127362.4+17367.6</f>
        <v>144730</v>
      </c>
      <c r="AD3" s="28">
        <f>90710.4+12369.6</f>
        <v>103080</v>
      </c>
      <c r="AE3" s="33">
        <f>139252.6749+18989.00112</f>
        <v>158241.67602000001</v>
      </c>
      <c r="AF3" s="28">
        <f>58440.8+7969.2</f>
        <v>66410</v>
      </c>
      <c r="AG3" s="28">
        <f>97926.4+13353.6</f>
        <v>111280</v>
      </c>
      <c r="AH3" s="28">
        <f>66299.2+9040.8</f>
        <v>75340</v>
      </c>
      <c r="AI3" s="28">
        <f>132792+18108</f>
        <v>150900</v>
      </c>
      <c r="AK3" s="28">
        <f>38447.2+5242.8</f>
        <v>43690</v>
      </c>
      <c r="AL3" s="28">
        <f>121800.8+16609.2</f>
        <v>138410</v>
      </c>
      <c r="AM3" s="28">
        <f>108829.6+14840.4</f>
        <v>123670</v>
      </c>
      <c r="AN3" s="28">
        <f>53424.8+7285.2</f>
        <v>60710</v>
      </c>
      <c r="AO3" s="28">
        <f>92206.4+12573.6</f>
        <v>104780</v>
      </c>
      <c r="AP3" s="28">
        <f>73154.4+9975.6</f>
        <v>83130</v>
      </c>
      <c r="AQ3" s="28">
        <f>46349.6+6320.4</f>
        <v>52670</v>
      </c>
      <c r="AR3" s="28">
        <f>27975.2+3814.8</f>
        <v>31790</v>
      </c>
      <c r="AS3" s="28">
        <f xml:space="preserve"> 103408.8+14101.2</f>
        <v>117510</v>
      </c>
      <c r="AT3" s="28">
        <f>39054.4+5325.6</f>
        <v>44380</v>
      </c>
      <c r="AU3" s="28">
        <f>79164.8+10795.2</f>
        <v>89960</v>
      </c>
      <c r="AV3" s="28"/>
      <c r="AW3" s="28">
        <f>1320+180</f>
        <v>1500</v>
      </c>
      <c r="AX3" s="34"/>
      <c r="AY3" s="34"/>
      <c r="AZ3" s="34"/>
      <c r="BA3" s="28"/>
      <c r="BB3" s="28"/>
      <c r="BC3" s="27"/>
      <c r="BD3" s="27"/>
      <c r="BF3" s="27"/>
      <c r="BG3" s="27"/>
      <c r="BH3" s="27"/>
      <c r="BI3" s="27"/>
      <c r="BJ3" s="27"/>
      <c r="BK3" s="27"/>
      <c r="BL3" s="26">
        <f t="shared" ref="BL3:BL49" si="0">SUM(E3:BK3)</f>
        <v>3669611.6760200001</v>
      </c>
      <c r="BM3" s="35"/>
      <c r="BN3" s="36"/>
      <c r="BO3" s="36"/>
      <c r="BP3" s="36"/>
      <c r="BQ3" s="36"/>
      <c r="BR3" s="35"/>
      <c r="BS3" s="28"/>
    </row>
    <row r="4" spans="1:86" ht="15.75" x14ac:dyDescent="0.25">
      <c r="A4" s="185"/>
      <c r="B4" s="22" t="s">
        <v>27</v>
      </c>
      <c r="C4" s="23" t="s">
        <v>28</v>
      </c>
      <c r="D4" s="183"/>
      <c r="E4" s="29">
        <v>5000</v>
      </c>
      <c r="F4" s="28"/>
      <c r="G4" s="28">
        <v>5000</v>
      </c>
      <c r="H4" s="30">
        <v>2000</v>
      </c>
      <c r="I4" s="28">
        <v>16000</v>
      </c>
      <c r="J4" s="28"/>
      <c r="K4" s="28">
        <v>11000</v>
      </c>
      <c r="L4" s="28">
        <v>14000</v>
      </c>
      <c r="M4" s="28">
        <v>11000</v>
      </c>
      <c r="N4" s="28">
        <v>23000</v>
      </c>
      <c r="O4" s="28"/>
      <c r="P4" s="28">
        <v>16000</v>
      </c>
      <c r="Q4" s="28">
        <v>20000</v>
      </c>
      <c r="R4" s="28">
        <v>24000</v>
      </c>
      <c r="S4" s="28">
        <v>27000</v>
      </c>
      <c r="T4" s="24">
        <v>22000</v>
      </c>
      <c r="U4" s="31">
        <v>23000</v>
      </c>
      <c r="V4" s="32">
        <v>18000</v>
      </c>
      <c r="W4" s="32">
        <v>16000</v>
      </c>
      <c r="X4" s="32">
        <v>12000</v>
      </c>
      <c r="Y4" s="28">
        <v>14000</v>
      </c>
      <c r="Z4" s="28">
        <v>11000</v>
      </c>
      <c r="AA4" s="28">
        <v>20000</v>
      </c>
      <c r="AB4" s="28">
        <v>17000</v>
      </c>
      <c r="AC4" s="28">
        <v>23000</v>
      </c>
      <c r="AD4" s="28">
        <v>25000</v>
      </c>
      <c r="AE4" s="37">
        <v>22000</v>
      </c>
      <c r="AF4" s="37">
        <v>13000</v>
      </c>
      <c r="AG4" s="28">
        <v>17000</v>
      </c>
      <c r="AH4" s="28">
        <v>11000</v>
      </c>
      <c r="AI4" s="28">
        <v>21000</v>
      </c>
      <c r="AK4" s="28">
        <v>6000</v>
      </c>
      <c r="AL4" s="28">
        <v>22000</v>
      </c>
      <c r="AM4" s="28">
        <v>25000</v>
      </c>
      <c r="AN4" s="28">
        <v>15000</v>
      </c>
      <c r="AO4" s="28">
        <v>17000</v>
      </c>
      <c r="AP4" s="28">
        <v>13000</v>
      </c>
      <c r="AQ4" s="28">
        <v>7000</v>
      </c>
      <c r="AR4" s="28">
        <v>6000</v>
      </c>
      <c r="AS4" s="28">
        <v>14000</v>
      </c>
      <c r="AT4" s="28">
        <v>5000</v>
      </c>
      <c r="AU4" s="28">
        <v>17000</v>
      </c>
      <c r="AV4" s="28"/>
      <c r="AW4" s="28">
        <v>0</v>
      </c>
      <c r="AX4" s="28"/>
      <c r="AY4" s="28"/>
      <c r="AZ4" s="28"/>
      <c r="BA4" s="28"/>
      <c r="BB4" s="28"/>
      <c r="BC4" s="27"/>
      <c r="BD4" s="27"/>
      <c r="BE4" s="37"/>
      <c r="BF4" s="27"/>
      <c r="BG4" s="27"/>
      <c r="BH4" s="27"/>
      <c r="BI4" s="27"/>
      <c r="BJ4" s="27"/>
      <c r="BK4" s="27"/>
      <c r="BL4" s="26">
        <f t="shared" si="0"/>
        <v>606000</v>
      </c>
      <c r="BM4" s="36"/>
      <c r="BN4" s="35"/>
      <c r="BO4" s="36"/>
      <c r="BP4" s="36"/>
      <c r="BQ4" s="36"/>
      <c r="BR4" s="36"/>
      <c r="BS4" s="28"/>
    </row>
    <row r="5" spans="1:86" ht="15.75" x14ac:dyDescent="0.25">
      <c r="A5" s="185"/>
      <c r="B5" s="38" t="s">
        <v>27</v>
      </c>
      <c r="C5" s="39" t="s">
        <v>29</v>
      </c>
      <c r="D5" s="184"/>
      <c r="E5" s="40">
        <v>5631.25</v>
      </c>
      <c r="F5" s="28"/>
      <c r="G5" s="28">
        <v>10931.25</v>
      </c>
      <c r="H5" s="41">
        <v>11593.75</v>
      </c>
      <c r="I5" s="42">
        <v>35443.75</v>
      </c>
      <c r="J5" s="42"/>
      <c r="K5" s="42">
        <v>8943.75</v>
      </c>
      <c r="L5" s="42">
        <v>21862.5</v>
      </c>
      <c r="M5" s="42">
        <v>7287.5</v>
      </c>
      <c r="N5" s="42">
        <v>21200</v>
      </c>
      <c r="O5" s="42"/>
      <c r="P5" s="42">
        <v>7618.75</v>
      </c>
      <c r="Q5" s="42">
        <v>14575</v>
      </c>
      <c r="R5" s="42">
        <v>20206.25</v>
      </c>
      <c r="S5" s="42">
        <v>41737.5</v>
      </c>
      <c r="T5" s="42">
        <v>10268.75</v>
      </c>
      <c r="U5" s="43">
        <v>28156.25</v>
      </c>
      <c r="V5" s="32">
        <v>6625</v>
      </c>
      <c r="W5" s="32">
        <v>20206.25</v>
      </c>
      <c r="X5" s="32">
        <v>4968.75</v>
      </c>
      <c r="Y5" s="42">
        <v>16231.25</v>
      </c>
      <c r="Z5" s="42">
        <v>5300</v>
      </c>
      <c r="AA5" s="42">
        <v>15568.75</v>
      </c>
      <c r="AB5" s="42">
        <v>13912.5</v>
      </c>
      <c r="AC5" s="42">
        <v>32793.75</v>
      </c>
      <c r="AD5" s="42">
        <v>14575</v>
      </c>
      <c r="AE5" s="33">
        <v>19543.75</v>
      </c>
      <c r="AF5" s="28">
        <v>10931.25</v>
      </c>
      <c r="AG5" s="42">
        <v>12918.75</v>
      </c>
      <c r="AH5" s="42">
        <v>8281.25</v>
      </c>
      <c r="AI5" s="42">
        <v>16893.75</v>
      </c>
      <c r="AK5" s="42">
        <v>6625</v>
      </c>
      <c r="AL5" s="42">
        <v>11925</v>
      </c>
      <c r="AM5" s="42">
        <v>23518.75</v>
      </c>
      <c r="AN5" s="37">
        <v>9937.5</v>
      </c>
      <c r="AO5" s="37">
        <v>17225</v>
      </c>
      <c r="AP5" s="42">
        <v>10268.75</v>
      </c>
      <c r="AQ5" s="42">
        <v>9275</v>
      </c>
      <c r="AR5" s="42">
        <v>5631.25</v>
      </c>
      <c r="AS5" s="42">
        <v>18218.75</v>
      </c>
      <c r="AT5" s="28">
        <v>5631.25</v>
      </c>
      <c r="AU5" s="42">
        <v>13912.5</v>
      </c>
      <c r="AV5" s="42"/>
      <c r="AW5" s="42">
        <v>993.75</v>
      </c>
      <c r="AX5" s="44"/>
      <c r="AY5" s="44"/>
      <c r="AZ5" s="44"/>
      <c r="BA5" s="42"/>
      <c r="BB5" s="42"/>
      <c r="BC5" s="45"/>
      <c r="BD5" s="45"/>
      <c r="BE5" s="37"/>
      <c r="BF5" s="45"/>
      <c r="BG5" s="45"/>
      <c r="BH5" s="45"/>
      <c r="BI5" s="45"/>
      <c r="BJ5" s="45"/>
      <c r="BK5" s="45"/>
      <c r="BL5" s="26">
        <f t="shared" si="0"/>
        <v>577368.75</v>
      </c>
      <c r="BM5" s="47"/>
      <c r="BN5" s="47"/>
      <c r="BO5" s="48"/>
      <c r="BP5" s="48"/>
      <c r="BQ5" s="48"/>
      <c r="BR5" s="47"/>
      <c r="BS5" s="42"/>
    </row>
    <row r="6" spans="1:86" ht="15.75" x14ac:dyDescent="0.25">
      <c r="A6" s="185"/>
      <c r="B6" s="38" t="s">
        <v>27</v>
      </c>
      <c r="C6" s="49" t="s">
        <v>30</v>
      </c>
      <c r="D6" s="49"/>
      <c r="E6" s="50">
        <v>0</v>
      </c>
      <c r="F6" s="28"/>
      <c r="G6" s="28">
        <v>0</v>
      </c>
      <c r="H6" s="50">
        <v>0</v>
      </c>
      <c r="I6" s="50">
        <v>24000</v>
      </c>
      <c r="J6" s="50"/>
      <c r="K6" s="50">
        <v>12000</v>
      </c>
      <c r="L6" s="50">
        <v>18000</v>
      </c>
      <c r="M6" s="50">
        <v>18000</v>
      </c>
      <c r="N6" s="50">
        <v>36000</v>
      </c>
      <c r="O6" s="51"/>
      <c r="P6" s="50">
        <v>8000</v>
      </c>
      <c r="Q6" s="50">
        <v>21000</v>
      </c>
      <c r="R6" s="50">
        <v>42000</v>
      </c>
      <c r="S6" s="50">
        <v>30000</v>
      </c>
      <c r="T6" s="50">
        <v>24000</v>
      </c>
      <c r="U6" s="52">
        <v>36000</v>
      </c>
      <c r="V6" s="32">
        <v>20000</v>
      </c>
      <c r="W6" s="32">
        <v>22000</v>
      </c>
      <c r="X6" s="32">
        <v>14000</v>
      </c>
      <c r="Y6" s="32">
        <v>20000</v>
      </c>
      <c r="Z6" s="32">
        <v>4000</v>
      </c>
      <c r="AA6" s="50">
        <v>26000</v>
      </c>
      <c r="AB6" s="50">
        <v>24000</v>
      </c>
      <c r="AC6" s="50">
        <v>24000</v>
      </c>
      <c r="AD6" s="50">
        <v>22000</v>
      </c>
      <c r="AE6" s="33">
        <v>34000</v>
      </c>
      <c r="AF6" s="50">
        <v>12000</v>
      </c>
      <c r="AG6" s="50">
        <v>26000</v>
      </c>
      <c r="AH6" s="50">
        <v>18000</v>
      </c>
      <c r="AI6" s="50">
        <v>30000</v>
      </c>
      <c r="AK6" s="50">
        <v>10000</v>
      </c>
      <c r="AL6" s="24">
        <v>34000</v>
      </c>
      <c r="AM6" s="50">
        <v>28000</v>
      </c>
      <c r="AN6" s="42">
        <v>12000</v>
      </c>
      <c r="AO6" s="50">
        <v>22000</v>
      </c>
      <c r="AP6" s="50">
        <v>20000</v>
      </c>
      <c r="AQ6" s="50">
        <v>8000</v>
      </c>
      <c r="AR6" s="50">
        <v>6000</v>
      </c>
      <c r="AS6" s="50">
        <v>22000</v>
      </c>
      <c r="AT6" s="50">
        <v>10000</v>
      </c>
      <c r="AU6" s="50">
        <v>18000</v>
      </c>
      <c r="AV6" s="50"/>
      <c r="AW6" s="50">
        <v>0</v>
      </c>
      <c r="AX6" s="53"/>
      <c r="AY6" s="53"/>
      <c r="AZ6" s="53"/>
      <c r="BA6" s="50"/>
      <c r="BB6" s="24"/>
      <c r="BC6" s="54"/>
      <c r="BD6" s="54"/>
      <c r="BE6" s="24"/>
      <c r="BF6" s="54"/>
      <c r="BG6" s="54"/>
      <c r="BH6" s="54"/>
      <c r="BI6" s="54"/>
      <c r="BJ6" s="54"/>
      <c r="BK6" s="54"/>
      <c r="BL6" s="26">
        <f t="shared" si="0"/>
        <v>755000</v>
      </c>
      <c r="BM6" s="56"/>
      <c r="BN6" s="56"/>
      <c r="BO6" s="57"/>
      <c r="BP6" s="57"/>
      <c r="BQ6" s="57"/>
      <c r="BR6" s="56"/>
      <c r="BS6" s="50"/>
    </row>
    <row r="7" spans="1:86" ht="15.75" x14ac:dyDescent="0.25">
      <c r="A7" s="185"/>
      <c r="B7" s="38" t="s">
        <v>27</v>
      </c>
      <c r="C7" s="49" t="s">
        <v>31</v>
      </c>
      <c r="D7" s="49"/>
      <c r="E7" s="50">
        <v>318.75</v>
      </c>
      <c r="F7" s="41"/>
      <c r="G7" s="41">
        <v>618.75</v>
      </c>
      <c r="H7" s="50">
        <v>656.25</v>
      </c>
      <c r="I7" s="50">
        <v>2006.25</v>
      </c>
      <c r="J7" s="50"/>
      <c r="K7" s="50">
        <v>506.25</v>
      </c>
      <c r="L7" s="50">
        <v>1237.5</v>
      </c>
      <c r="M7" s="50">
        <v>412.5</v>
      </c>
      <c r="N7" s="50">
        <v>1200</v>
      </c>
      <c r="O7" s="32"/>
      <c r="P7" s="50">
        <v>431.25</v>
      </c>
      <c r="Q7" s="32">
        <v>825</v>
      </c>
      <c r="R7" s="50">
        <v>1143.75</v>
      </c>
      <c r="S7" s="50">
        <v>2362.5</v>
      </c>
      <c r="T7" s="25">
        <v>581.25</v>
      </c>
      <c r="U7" s="52">
        <v>1593.75</v>
      </c>
      <c r="V7" s="32">
        <v>375</v>
      </c>
      <c r="W7" s="32">
        <v>1143.75</v>
      </c>
      <c r="X7" s="32">
        <v>281.25</v>
      </c>
      <c r="Y7" s="32">
        <v>918.75</v>
      </c>
      <c r="Z7" s="32">
        <v>300</v>
      </c>
      <c r="AA7" s="25">
        <v>881.25</v>
      </c>
      <c r="AB7" s="25">
        <v>787.5</v>
      </c>
      <c r="AC7" s="32">
        <v>1856.25</v>
      </c>
      <c r="AD7" s="50">
        <v>825</v>
      </c>
      <c r="AE7" s="33">
        <v>1106.25</v>
      </c>
      <c r="AF7" s="50">
        <v>618.75</v>
      </c>
      <c r="AG7" s="50">
        <v>731.25</v>
      </c>
      <c r="AH7" s="50">
        <v>468.75</v>
      </c>
      <c r="AI7" s="50">
        <v>956.25</v>
      </c>
      <c r="AK7" s="50">
        <v>375</v>
      </c>
      <c r="AL7" s="24">
        <v>675</v>
      </c>
      <c r="AM7" s="50">
        <v>1331.25</v>
      </c>
      <c r="AN7" s="50">
        <v>562.5</v>
      </c>
      <c r="AO7" s="50">
        <v>975</v>
      </c>
      <c r="AP7" s="50">
        <v>581.25</v>
      </c>
      <c r="AQ7" s="50">
        <v>525</v>
      </c>
      <c r="AR7" s="50">
        <v>318.75</v>
      </c>
      <c r="AS7" s="32">
        <v>1031.25</v>
      </c>
      <c r="AT7" s="84">
        <v>318.75</v>
      </c>
      <c r="AU7" s="50">
        <v>787.5</v>
      </c>
      <c r="AV7" s="50"/>
      <c r="AW7" s="50">
        <v>56.25</v>
      </c>
      <c r="AX7" s="53"/>
      <c r="AY7" s="53"/>
      <c r="AZ7" s="24"/>
      <c r="BA7" s="24"/>
      <c r="BB7" s="24"/>
      <c r="BC7" s="54"/>
      <c r="BD7" s="54"/>
      <c r="BE7" s="32"/>
      <c r="BF7" s="54"/>
      <c r="BG7" s="54"/>
      <c r="BH7" s="54"/>
      <c r="BI7" s="54"/>
      <c r="BJ7" s="54"/>
      <c r="BK7" s="54"/>
      <c r="BL7" s="26">
        <f t="shared" si="0"/>
        <v>32681.25</v>
      </c>
      <c r="BM7" s="56"/>
      <c r="BN7" s="56"/>
      <c r="BO7" s="57"/>
      <c r="BP7" s="57"/>
      <c r="BQ7" s="57"/>
      <c r="BR7" s="56"/>
      <c r="BS7" s="50"/>
    </row>
    <row r="8" spans="1:86" ht="16.5" thickBot="1" x14ac:dyDescent="0.3">
      <c r="A8" s="185"/>
      <c r="B8" s="58" t="s">
        <v>26</v>
      </c>
      <c r="C8" s="59"/>
      <c r="D8" s="60">
        <f>SUM(D2:D7)</f>
        <v>0</v>
      </c>
      <c r="E8" s="60">
        <f>SUM(E2:E7)</f>
        <v>50700</v>
      </c>
      <c r="F8" s="60">
        <f t="shared" ref="F8:BJ8" si="1">SUM(F2:F7)</f>
        <v>0</v>
      </c>
      <c r="G8" s="60">
        <f t="shared" si="1"/>
        <v>100300</v>
      </c>
      <c r="H8" s="60">
        <f t="shared" si="1"/>
        <v>111450</v>
      </c>
      <c r="I8" s="60">
        <f t="shared" si="1"/>
        <v>749850</v>
      </c>
      <c r="J8" s="60">
        <f t="shared" si="1"/>
        <v>0</v>
      </c>
      <c r="K8" s="60">
        <f t="shared" si="1"/>
        <v>307900</v>
      </c>
      <c r="L8" s="60">
        <f t="shared" si="1"/>
        <v>636350</v>
      </c>
      <c r="M8" s="60">
        <f t="shared" si="1"/>
        <v>455600</v>
      </c>
      <c r="N8" s="60">
        <f>SUM(N2:N7)</f>
        <v>903050</v>
      </c>
      <c r="O8" s="60">
        <f t="shared" si="1"/>
        <v>0</v>
      </c>
      <c r="P8" s="60">
        <f t="shared" si="1"/>
        <v>214750</v>
      </c>
      <c r="Q8" s="60">
        <f t="shared" si="1"/>
        <v>538750</v>
      </c>
      <c r="R8" s="60">
        <f t="shared" si="1"/>
        <v>948550</v>
      </c>
      <c r="S8" s="60">
        <f t="shared" si="1"/>
        <v>988200</v>
      </c>
      <c r="T8" s="60">
        <f t="shared" si="1"/>
        <v>587350</v>
      </c>
      <c r="U8" s="60">
        <f t="shared" si="1"/>
        <v>1008150</v>
      </c>
      <c r="V8" s="60">
        <f t="shared" si="1"/>
        <v>383400</v>
      </c>
      <c r="W8" s="60">
        <f t="shared" si="1"/>
        <v>597700</v>
      </c>
      <c r="X8" s="60">
        <f t="shared" si="1"/>
        <v>295000</v>
      </c>
      <c r="Y8" s="60">
        <f t="shared" si="1"/>
        <v>607450</v>
      </c>
      <c r="Z8" s="60">
        <f t="shared" si="1"/>
        <v>137450</v>
      </c>
      <c r="AA8" s="60">
        <f t="shared" si="1"/>
        <v>725700</v>
      </c>
      <c r="AB8" s="60">
        <f t="shared" si="1"/>
        <v>562350</v>
      </c>
      <c r="AC8" s="60">
        <f t="shared" si="1"/>
        <v>805300</v>
      </c>
      <c r="AD8" s="60">
        <f t="shared" si="1"/>
        <v>577800</v>
      </c>
      <c r="AE8" s="60">
        <f t="shared" si="1"/>
        <v>867858.38002000004</v>
      </c>
      <c r="AF8" s="60">
        <f t="shared" si="1"/>
        <v>368600</v>
      </c>
      <c r="AG8" s="60">
        <f t="shared" si="1"/>
        <v>613050</v>
      </c>
      <c r="AH8" s="60">
        <f t="shared" si="1"/>
        <v>414450</v>
      </c>
      <c r="AI8" s="60">
        <f t="shared" si="1"/>
        <v>823350</v>
      </c>
      <c r="AJ8" s="60">
        <f t="shared" si="1"/>
        <v>0</v>
      </c>
      <c r="AK8" s="60">
        <f>SUM(AK2:AK7)</f>
        <v>241450</v>
      </c>
      <c r="AL8" s="60">
        <f t="shared" si="1"/>
        <v>760650</v>
      </c>
      <c r="AM8" s="60">
        <f t="shared" si="1"/>
        <v>696200</v>
      </c>
      <c r="AN8" s="60">
        <f t="shared" si="1"/>
        <v>341050</v>
      </c>
      <c r="AO8" s="60">
        <f t="shared" si="1"/>
        <v>581100</v>
      </c>
      <c r="AP8" s="60">
        <f t="shared" si="1"/>
        <v>459500</v>
      </c>
      <c r="AQ8" s="60">
        <f>SUM(AQ2:AQ7)</f>
        <v>288150</v>
      </c>
      <c r="AR8" s="60">
        <f t="shared" si="1"/>
        <v>176900</v>
      </c>
      <c r="AS8" s="60">
        <f t="shared" si="1"/>
        <v>642800</v>
      </c>
      <c r="AT8" s="60">
        <f t="shared" si="1"/>
        <v>242850</v>
      </c>
      <c r="AU8" s="60">
        <f t="shared" si="1"/>
        <v>499500</v>
      </c>
      <c r="AV8" s="60">
        <f t="shared" si="1"/>
        <v>0</v>
      </c>
      <c r="AW8" s="60">
        <f t="shared" si="1"/>
        <v>8550</v>
      </c>
      <c r="AX8" s="60">
        <f t="shared" si="1"/>
        <v>0</v>
      </c>
      <c r="AY8" s="60">
        <f t="shared" si="1"/>
        <v>0</v>
      </c>
      <c r="AZ8" s="60">
        <f t="shared" si="1"/>
        <v>0</v>
      </c>
      <c r="BA8" s="60">
        <f t="shared" si="1"/>
        <v>0</v>
      </c>
      <c r="BB8" s="60">
        <f t="shared" si="1"/>
        <v>0</v>
      </c>
      <c r="BC8" s="60">
        <f t="shared" si="1"/>
        <v>0</v>
      </c>
      <c r="BD8" s="60">
        <f t="shared" si="1"/>
        <v>0</v>
      </c>
      <c r="BE8" s="60">
        <f t="shared" si="1"/>
        <v>0</v>
      </c>
      <c r="BF8" s="60">
        <f t="shared" si="1"/>
        <v>0</v>
      </c>
      <c r="BG8" s="60">
        <f t="shared" si="1"/>
        <v>0</v>
      </c>
      <c r="BH8" s="60">
        <f t="shared" si="1"/>
        <v>0</v>
      </c>
      <c r="BI8" s="60">
        <f t="shared" si="1"/>
        <v>0</v>
      </c>
      <c r="BJ8" s="60">
        <f t="shared" si="1"/>
        <v>0</v>
      </c>
      <c r="BK8" s="60">
        <f>SUM(BK2:BK7)</f>
        <v>0</v>
      </c>
      <c r="BL8" s="60">
        <f>SUM(BL2:BL7)</f>
        <v>20319108.38002</v>
      </c>
      <c r="BM8" s="61"/>
      <c r="BN8" s="61"/>
      <c r="BO8" s="61"/>
      <c r="BP8" s="61"/>
      <c r="BQ8" s="61"/>
      <c r="BR8" s="61"/>
      <c r="BS8" s="61"/>
    </row>
    <row r="9" spans="1:86" ht="15.75" x14ac:dyDescent="0.25">
      <c r="A9" s="185">
        <v>2</v>
      </c>
      <c r="B9" s="62" t="s">
        <v>32</v>
      </c>
      <c r="C9" s="63" t="s">
        <v>24</v>
      </c>
      <c r="D9" s="77"/>
      <c r="E9" s="24"/>
      <c r="G9">
        <v>48192</v>
      </c>
      <c r="H9" s="24"/>
      <c r="I9">
        <v>133992</v>
      </c>
      <c r="K9" s="24"/>
      <c r="L9">
        <v>170624</v>
      </c>
      <c r="N9">
        <v>120144</v>
      </c>
      <c r="Q9">
        <v>253976</v>
      </c>
      <c r="R9" s="24"/>
      <c r="U9">
        <v>9800</v>
      </c>
      <c r="W9">
        <v>5800</v>
      </c>
      <c r="Y9">
        <v>8200</v>
      </c>
      <c r="AA9">
        <v>47592</v>
      </c>
      <c r="AC9">
        <v>15800</v>
      </c>
      <c r="AE9">
        <v>5800</v>
      </c>
      <c r="AG9">
        <v>26000</v>
      </c>
      <c r="AI9">
        <v>21600</v>
      </c>
      <c r="AM9">
        <v>13200</v>
      </c>
      <c r="AN9" s="24"/>
      <c r="AO9">
        <v>8200</v>
      </c>
      <c r="AP9" s="32"/>
      <c r="AQ9">
        <v>14800</v>
      </c>
      <c r="AS9">
        <v>19800</v>
      </c>
      <c r="AU9">
        <v>41200</v>
      </c>
      <c r="AV9">
        <v>43640</v>
      </c>
      <c r="AZ9" s="24"/>
      <c r="BB9" s="24"/>
      <c r="BC9" s="64"/>
      <c r="BD9" s="32"/>
      <c r="BE9" s="32"/>
      <c r="BF9" s="32"/>
      <c r="BG9" s="32"/>
      <c r="BH9" s="32"/>
      <c r="BJ9" s="32"/>
      <c r="BK9" s="24"/>
      <c r="BL9" s="26">
        <f t="shared" si="0"/>
        <v>1008360</v>
      </c>
      <c r="BM9" s="66"/>
      <c r="BN9" s="66"/>
      <c r="BO9" s="66"/>
      <c r="BP9" s="66"/>
      <c r="BQ9" s="66"/>
      <c r="BR9" s="66"/>
      <c r="BS9" s="64"/>
    </row>
    <row r="10" spans="1:86" ht="15.75" x14ac:dyDescent="0.25">
      <c r="A10" s="185"/>
      <c r="B10" s="22" t="s">
        <v>32</v>
      </c>
      <c r="C10" s="23" t="s">
        <v>25</v>
      </c>
      <c r="D10" s="23"/>
      <c r="E10" s="28"/>
      <c r="F10" s="28"/>
      <c r="G10" s="28">
        <f>10602.24+1445.76</f>
        <v>12048</v>
      </c>
      <c r="H10" s="28"/>
      <c r="I10" s="28">
        <f>29478.24+4019.76</f>
        <v>33498</v>
      </c>
      <c r="J10" s="28"/>
      <c r="K10" s="28"/>
      <c r="L10" s="28">
        <f>37537.28+5118.72</f>
        <v>42656</v>
      </c>
      <c r="M10" s="28"/>
      <c r="N10" s="28">
        <f>26431.68+3604.32</f>
        <v>30036</v>
      </c>
      <c r="O10" s="28"/>
      <c r="P10" s="28"/>
      <c r="Q10" s="28">
        <f>55874.72+7619.28</f>
        <v>63494</v>
      </c>
      <c r="R10" s="28"/>
      <c r="S10" s="28"/>
      <c r="T10" s="28"/>
      <c r="U10" s="67">
        <f>2156+294</f>
        <v>2450</v>
      </c>
      <c r="V10" s="28"/>
      <c r="W10" s="28">
        <f>1276+174</f>
        <v>1450</v>
      </c>
      <c r="X10" s="28"/>
      <c r="Y10" s="28">
        <f>1804+246</f>
        <v>2050</v>
      </c>
      <c r="Z10" s="28"/>
      <c r="AA10" s="28">
        <f>10470.24+1427.76</f>
        <v>11898</v>
      </c>
      <c r="AB10" s="28"/>
      <c r="AC10" s="28">
        <f>3476+474</f>
        <v>3950</v>
      </c>
      <c r="AD10" s="64"/>
      <c r="AE10" s="28">
        <f>1276+174</f>
        <v>1450</v>
      </c>
      <c r="AF10" s="28"/>
      <c r="AG10" s="28">
        <f>5720+780</f>
        <v>6500</v>
      </c>
      <c r="AH10" s="28"/>
      <c r="AI10">
        <f>4752+648</f>
        <v>5400</v>
      </c>
      <c r="AK10" s="28"/>
      <c r="AL10" s="28"/>
      <c r="AM10" s="28">
        <f>2904+396</f>
        <v>3300</v>
      </c>
      <c r="AN10" s="28"/>
      <c r="AO10" s="28">
        <f>1804+246</f>
        <v>2050</v>
      </c>
      <c r="AP10" s="28"/>
      <c r="AQ10">
        <f>3256+444</f>
        <v>3700</v>
      </c>
      <c r="AR10" s="28"/>
      <c r="AS10" s="28">
        <f>4356+594</f>
        <v>4950</v>
      </c>
      <c r="AT10" s="28"/>
      <c r="AU10" s="28">
        <f>9064+1236</f>
        <v>10300</v>
      </c>
      <c r="AV10" s="28">
        <f>9600.8+1309.2</f>
        <v>10910</v>
      </c>
      <c r="AW10" s="28"/>
      <c r="AX10" s="34"/>
      <c r="AY10" s="34"/>
      <c r="AZ10" s="34"/>
      <c r="BA10" s="34"/>
      <c r="BB10" s="28"/>
      <c r="BC10" s="27"/>
      <c r="BD10" s="27"/>
      <c r="BE10" s="27"/>
      <c r="BF10" s="27"/>
      <c r="BG10" s="27"/>
      <c r="BH10" s="27"/>
      <c r="BI10" s="27"/>
      <c r="BJ10" s="27"/>
      <c r="BK10" s="27"/>
      <c r="BL10" s="26">
        <f t="shared" si="0"/>
        <v>252090</v>
      </c>
      <c r="BM10" s="35"/>
      <c r="BN10" s="36"/>
      <c r="BO10" s="36"/>
      <c r="BP10" s="36"/>
      <c r="BQ10" s="36"/>
      <c r="BR10" s="35"/>
      <c r="BS10" s="28"/>
    </row>
    <row r="11" spans="1:86" ht="15.75" x14ac:dyDescent="0.25">
      <c r="A11" s="185"/>
      <c r="B11" s="22" t="s">
        <v>32</v>
      </c>
      <c r="C11" s="23" t="s">
        <v>28</v>
      </c>
      <c r="D11" s="23"/>
      <c r="E11" s="28"/>
      <c r="F11" s="28"/>
      <c r="G11" s="28">
        <v>1000</v>
      </c>
      <c r="H11" s="28"/>
      <c r="I11" s="28">
        <v>4000</v>
      </c>
      <c r="J11" s="28"/>
      <c r="K11" s="28"/>
      <c r="L11" s="28">
        <v>5000</v>
      </c>
      <c r="M11" s="28"/>
      <c r="N11" s="28">
        <v>4000</v>
      </c>
      <c r="O11" s="28"/>
      <c r="P11" s="28"/>
      <c r="Q11" s="28">
        <v>7000</v>
      </c>
      <c r="R11" s="28"/>
      <c r="S11" s="28"/>
      <c r="T11" s="28"/>
      <c r="U11" s="67">
        <v>1000</v>
      </c>
      <c r="V11" s="28"/>
      <c r="W11" s="28">
        <v>1000</v>
      </c>
      <c r="X11" s="28"/>
      <c r="Y11" s="28">
        <v>1000</v>
      </c>
      <c r="Z11" s="28"/>
      <c r="AA11" s="28">
        <v>2000</v>
      </c>
      <c r="AB11" s="28"/>
      <c r="AC11" s="28">
        <v>2000</v>
      </c>
      <c r="AD11" s="28"/>
      <c r="AE11" s="28">
        <v>1000</v>
      </c>
      <c r="AF11" s="28"/>
      <c r="AG11" s="28">
        <v>3000</v>
      </c>
      <c r="AH11" s="28"/>
      <c r="AI11">
        <v>2000</v>
      </c>
      <c r="AK11" s="28"/>
      <c r="AL11" s="28"/>
      <c r="AM11" s="28">
        <v>2000</v>
      </c>
      <c r="AN11" s="28"/>
      <c r="AO11" s="28">
        <v>1000</v>
      </c>
      <c r="AP11" s="28"/>
      <c r="AQ11">
        <v>2000</v>
      </c>
      <c r="AR11" s="28"/>
      <c r="AS11" s="28">
        <v>2000</v>
      </c>
      <c r="AT11" s="28"/>
      <c r="AU11" s="28">
        <v>4000</v>
      </c>
      <c r="AV11" s="28">
        <v>2000</v>
      </c>
      <c r="AW11" s="28"/>
      <c r="AX11" s="34"/>
      <c r="AY11" s="34"/>
      <c r="AZ11" s="34"/>
      <c r="BA11" s="34"/>
      <c r="BB11" s="28"/>
      <c r="BC11" s="27"/>
      <c r="BD11" s="27"/>
      <c r="BE11" s="27"/>
      <c r="BF11" s="27"/>
      <c r="BG11" s="27"/>
      <c r="BH11" s="27"/>
      <c r="BI11" s="27"/>
      <c r="BJ11" s="27"/>
      <c r="BK11" s="27"/>
      <c r="BL11" s="26">
        <f t="shared" si="0"/>
        <v>47000</v>
      </c>
      <c r="BM11" s="36"/>
      <c r="BN11" s="35"/>
      <c r="BO11" s="36"/>
      <c r="BP11" s="36"/>
      <c r="BQ11" s="36"/>
      <c r="BR11" s="36"/>
      <c r="BS11" s="28"/>
    </row>
    <row r="12" spans="1:86" ht="16.5" thickBot="1" x14ac:dyDescent="0.3">
      <c r="A12" s="185"/>
      <c r="B12" s="68" t="s">
        <v>32</v>
      </c>
      <c r="C12" s="69" t="s">
        <v>29</v>
      </c>
      <c r="D12" s="77"/>
      <c r="E12" s="70"/>
      <c r="F12" s="70"/>
      <c r="G12" s="70">
        <v>1325</v>
      </c>
      <c r="H12" s="70"/>
      <c r="I12" s="70">
        <v>2650</v>
      </c>
      <c r="J12" s="70"/>
      <c r="K12" s="70"/>
      <c r="L12" s="70">
        <v>2650</v>
      </c>
      <c r="M12" s="70"/>
      <c r="N12" s="70">
        <v>2318.75</v>
      </c>
      <c r="O12" s="70"/>
      <c r="P12" s="70"/>
      <c r="Q12" s="70">
        <v>3643.75</v>
      </c>
      <c r="R12" s="70"/>
      <c r="S12" s="70"/>
      <c r="T12" s="70"/>
      <c r="U12" s="71">
        <v>662.5</v>
      </c>
      <c r="V12" s="70"/>
      <c r="W12" s="70">
        <v>331.25</v>
      </c>
      <c r="X12" s="70"/>
      <c r="Y12" s="70">
        <v>331.25</v>
      </c>
      <c r="Z12" s="70"/>
      <c r="AA12" s="70">
        <v>662.5</v>
      </c>
      <c r="AB12" s="70"/>
      <c r="AC12" s="70">
        <v>662.5</v>
      </c>
      <c r="AD12" s="70"/>
      <c r="AE12" s="70">
        <v>331.25</v>
      </c>
      <c r="AF12" s="70"/>
      <c r="AG12" s="70">
        <v>993.75</v>
      </c>
      <c r="AH12" s="70"/>
      <c r="AI12">
        <v>662.5</v>
      </c>
      <c r="AK12" s="70"/>
      <c r="AL12" s="70"/>
      <c r="AM12" s="70">
        <v>662.5</v>
      </c>
      <c r="AN12" s="70"/>
      <c r="AO12" s="70">
        <v>331.25</v>
      </c>
      <c r="AP12" s="70"/>
      <c r="AQ12">
        <v>662.5</v>
      </c>
      <c r="AR12" s="70"/>
      <c r="AS12" s="70">
        <v>662.5</v>
      </c>
      <c r="AT12" s="70"/>
      <c r="AU12" s="70">
        <v>1325</v>
      </c>
      <c r="AV12" s="70">
        <v>662.5</v>
      </c>
      <c r="AW12" s="70"/>
      <c r="AX12" s="72"/>
      <c r="AY12" s="72"/>
      <c r="AZ12" s="72"/>
      <c r="BA12" s="72"/>
      <c r="BB12" s="70"/>
      <c r="BC12" s="73"/>
      <c r="BD12" s="73"/>
      <c r="BE12" s="73"/>
      <c r="BF12" s="73"/>
      <c r="BG12" s="73"/>
      <c r="BH12" s="73"/>
      <c r="BI12" s="73"/>
      <c r="BJ12" s="73"/>
      <c r="BK12" s="73"/>
      <c r="BL12" s="26">
        <f t="shared" si="0"/>
        <v>21531.25</v>
      </c>
      <c r="BO12" s="75"/>
      <c r="BP12" s="75"/>
      <c r="BQ12" s="75"/>
      <c r="BS12" s="33"/>
    </row>
    <row r="13" spans="1:86" ht="15.75" x14ac:dyDescent="0.25">
      <c r="A13" s="21"/>
      <c r="B13" s="68" t="s">
        <v>32</v>
      </c>
      <c r="C13" s="49" t="s">
        <v>30</v>
      </c>
      <c r="D13" s="77"/>
      <c r="E13" s="32"/>
      <c r="F13" s="32"/>
      <c r="G13" s="32">
        <v>5000</v>
      </c>
      <c r="H13" s="32"/>
      <c r="I13" s="32">
        <v>17000</v>
      </c>
      <c r="J13" s="32"/>
      <c r="K13" s="32"/>
      <c r="L13" s="32">
        <v>22000</v>
      </c>
      <c r="M13" s="32"/>
      <c r="N13" s="32">
        <v>14000</v>
      </c>
      <c r="O13" s="32"/>
      <c r="P13" s="32"/>
      <c r="Q13" s="32">
        <v>32000</v>
      </c>
      <c r="R13" s="32"/>
      <c r="S13" s="32"/>
      <c r="T13" s="32"/>
      <c r="U13" s="76">
        <v>2000</v>
      </c>
      <c r="V13" s="32"/>
      <c r="W13" s="32">
        <v>2000</v>
      </c>
      <c r="X13" s="32"/>
      <c r="Y13" s="32">
        <v>2000</v>
      </c>
      <c r="Z13" s="32"/>
      <c r="AA13" s="32">
        <v>4000</v>
      </c>
      <c r="AB13" s="32"/>
      <c r="AC13" s="32">
        <v>4000</v>
      </c>
      <c r="AD13" s="32"/>
      <c r="AE13" s="32">
        <v>2000</v>
      </c>
      <c r="AF13" s="32"/>
      <c r="AG13" s="32">
        <v>6000</v>
      </c>
      <c r="AH13" s="32"/>
      <c r="AI13">
        <v>4000</v>
      </c>
      <c r="AK13" s="32"/>
      <c r="AL13" s="32"/>
      <c r="AM13" s="32">
        <v>4000</v>
      </c>
      <c r="AN13" s="32"/>
      <c r="AO13" s="32">
        <v>2000</v>
      </c>
      <c r="AP13" s="32"/>
      <c r="AQ13">
        <v>4000</v>
      </c>
      <c r="AR13" s="32"/>
      <c r="AS13" s="32">
        <v>4000</v>
      </c>
      <c r="AT13" s="32"/>
      <c r="AU13" s="32">
        <v>8000</v>
      </c>
      <c r="AV13" s="32">
        <v>4000</v>
      </c>
      <c r="AW13" s="32"/>
      <c r="AX13" s="24"/>
      <c r="AY13" s="24"/>
      <c r="AZ13" s="24"/>
      <c r="BA13" s="24"/>
      <c r="BB13" s="32"/>
      <c r="BC13" s="73"/>
      <c r="BD13" s="73"/>
      <c r="BE13" s="73"/>
      <c r="BF13" s="73"/>
      <c r="BG13" s="73"/>
      <c r="BH13" s="73"/>
      <c r="BI13" s="73"/>
      <c r="BJ13" s="73"/>
      <c r="BK13" s="73"/>
      <c r="BL13" s="26">
        <f t="shared" si="0"/>
        <v>142000</v>
      </c>
      <c r="BO13" s="75"/>
      <c r="BP13" s="75"/>
      <c r="BQ13" s="75"/>
      <c r="BS13" s="33"/>
    </row>
    <row r="14" spans="1:86" ht="16.5" thickBot="1" x14ac:dyDescent="0.3">
      <c r="A14" s="21"/>
      <c r="B14" s="68" t="s">
        <v>32</v>
      </c>
      <c r="C14" s="77" t="s">
        <v>31</v>
      </c>
      <c r="D14" s="77"/>
      <c r="E14" s="32"/>
      <c r="F14" s="32"/>
      <c r="G14" s="32">
        <v>75</v>
      </c>
      <c r="H14" s="32"/>
      <c r="I14" s="32">
        <v>150</v>
      </c>
      <c r="J14" s="32"/>
      <c r="K14" s="32"/>
      <c r="L14" s="32">
        <v>150</v>
      </c>
      <c r="M14" s="32"/>
      <c r="N14" s="32">
        <v>131.25</v>
      </c>
      <c r="O14" s="32"/>
      <c r="P14" s="32"/>
      <c r="Q14" s="32">
        <v>206.25</v>
      </c>
      <c r="R14" s="32"/>
      <c r="S14" s="32"/>
      <c r="T14" s="32"/>
      <c r="U14" s="76">
        <v>37.5</v>
      </c>
      <c r="V14" s="32"/>
      <c r="W14" s="32">
        <v>18.75</v>
      </c>
      <c r="X14" s="32"/>
      <c r="Y14" s="32">
        <v>18.75</v>
      </c>
      <c r="Z14" s="32"/>
      <c r="AA14" s="32">
        <v>37.5</v>
      </c>
      <c r="AB14" s="32"/>
      <c r="AC14" s="32">
        <v>37.5</v>
      </c>
      <c r="AD14" s="32"/>
      <c r="AE14" s="32">
        <v>18.75</v>
      </c>
      <c r="AF14" s="32"/>
      <c r="AG14" s="32">
        <v>56.25</v>
      </c>
      <c r="AH14" s="32"/>
      <c r="AI14">
        <v>37.5</v>
      </c>
      <c r="AK14" s="32"/>
      <c r="AL14" s="32"/>
      <c r="AM14" s="32">
        <v>37.5</v>
      </c>
      <c r="AN14" s="32"/>
      <c r="AO14" s="32">
        <v>18.75</v>
      </c>
      <c r="AP14" s="32"/>
      <c r="AQ14">
        <v>37.5</v>
      </c>
      <c r="AR14" s="32"/>
      <c r="AS14" s="32">
        <v>37.5</v>
      </c>
      <c r="AT14" s="32"/>
      <c r="AU14" s="32">
        <v>75</v>
      </c>
      <c r="AV14" s="32">
        <v>37.5</v>
      </c>
      <c r="AW14" s="32"/>
      <c r="AX14" s="24"/>
      <c r="AY14" s="32"/>
      <c r="AZ14" s="24"/>
      <c r="BA14" s="24"/>
      <c r="BB14" s="32"/>
      <c r="BC14" s="73"/>
      <c r="BD14" s="73"/>
      <c r="BE14" s="73"/>
      <c r="BF14" s="73"/>
      <c r="BG14" s="73"/>
      <c r="BH14" s="73"/>
      <c r="BI14" s="73"/>
      <c r="BJ14" s="73"/>
      <c r="BK14" s="73"/>
      <c r="BL14" s="26">
        <f t="shared" si="0"/>
        <v>1218.75</v>
      </c>
      <c r="BO14" s="75"/>
      <c r="BP14" s="75"/>
      <c r="BQ14" s="75"/>
      <c r="BS14" s="33"/>
    </row>
    <row r="15" spans="1:86" ht="16.5" thickBot="1" x14ac:dyDescent="0.3">
      <c r="A15" s="78"/>
      <c r="B15" s="79" t="s">
        <v>26</v>
      </c>
      <c r="C15" s="80"/>
      <c r="D15" s="60">
        <f>SUM(D9:D14)</f>
        <v>0</v>
      </c>
      <c r="E15" s="60">
        <f>SUM(E9:E14)</f>
        <v>0</v>
      </c>
      <c r="F15" s="60">
        <f t="shared" ref="F15:BL15" si="2">SUM(F9:F14)</f>
        <v>0</v>
      </c>
      <c r="G15" s="60">
        <f t="shared" si="2"/>
        <v>67640</v>
      </c>
      <c r="H15" s="60">
        <f t="shared" si="2"/>
        <v>0</v>
      </c>
      <c r="I15" s="60">
        <f t="shared" si="2"/>
        <v>191290</v>
      </c>
      <c r="J15" s="60">
        <f t="shared" si="2"/>
        <v>0</v>
      </c>
      <c r="K15" s="60">
        <f t="shared" si="2"/>
        <v>0</v>
      </c>
      <c r="L15" s="60">
        <f t="shared" si="2"/>
        <v>243080</v>
      </c>
      <c r="M15" s="60">
        <f t="shared" si="2"/>
        <v>0</v>
      </c>
      <c r="N15" s="180">
        <f t="shared" si="2"/>
        <v>170630</v>
      </c>
      <c r="O15" s="60">
        <f t="shared" si="2"/>
        <v>0</v>
      </c>
      <c r="P15" s="60">
        <f t="shared" si="2"/>
        <v>0</v>
      </c>
      <c r="Q15" s="60">
        <f t="shared" si="2"/>
        <v>360320</v>
      </c>
      <c r="R15" s="60">
        <f t="shared" si="2"/>
        <v>0</v>
      </c>
      <c r="S15" s="60">
        <f t="shared" si="2"/>
        <v>0</v>
      </c>
      <c r="T15" s="60">
        <f t="shared" si="2"/>
        <v>0</v>
      </c>
      <c r="U15" s="60">
        <f t="shared" si="2"/>
        <v>15950</v>
      </c>
      <c r="V15" s="60">
        <f t="shared" si="2"/>
        <v>0</v>
      </c>
      <c r="W15" s="60">
        <f t="shared" si="2"/>
        <v>10600</v>
      </c>
      <c r="X15" s="60">
        <f t="shared" si="2"/>
        <v>0</v>
      </c>
      <c r="Y15" s="60">
        <f t="shared" si="2"/>
        <v>13600</v>
      </c>
      <c r="Z15" s="60">
        <f t="shared" si="2"/>
        <v>0</v>
      </c>
      <c r="AA15" s="60">
        <f t="shared" si="2"/>
        <v>66190</v>
      </c>
      <c r="AB15" s="60">
        <f t="shared" si="2"/>
        <v>0</v>
      </c>
      <c r="AC15" s="60">
        <f t="shared" si="2"/>
        <v>26450</v>
      </c>
      <c r="AD15" s="60">
        <f t="shared" si="2"/>
        <v>0</v>
      </c>
      <c r="AE15" s="60">
        <f t="shared" si="2"/>
        <v>10600</v>
      </c>
      <c r="AF15" s="60">
        <f t="shared" si="2"/>
        <v>0</v>
      </c>
      <c r="AG15" s="60">
        <f t="shared" si="2"/>
        <v>42550</v>
      </c>
      <c r="AH15" s="60">
        <f t="shared" si="2"/>
        <v>0</v>
      </c>
      <c r="AI15" s="60">
        <f t="shared" si="2"/>
        <v>33700</v>
      </c>
      <c r="AJ15" s="60">
        <f t="shared" si="2"/>
        <v>0</v>
      </c>
      <c r="AK15" s="60">
        <f t="shared" si="2"/>
        <v>0</v>
      </c>
      <c r="AL15" s="60">
        <f t="shared" si="2"/>
        <v>0</v>
      </c>
      <c r="AM15" s="60">
        <f t="shared" si="2"/>
        <v>23200</v>
      </c>
      <c r="AN15" s="60">
        <f t="shared" si="2"/>
        <v>0</v>
      </c>
      <c r="AO15" s="60">
        <f t="shared" si="2"/>
        <v>13600</v>
      </c>
      <c r="AP15" s="60">
        <f t="shared" si="2"/>
        <v>0</v>
      </c>
      <c r="AQ15" s="60">
        <f t="shared" si="2"/>
        <v>25200</v>
      </c>
      <c r="AR15" s="60">
        <f t="shared" si="2"/>
        <v>0</v>
      </c>
      <c r="AS15" s="60">
        <f t="shared" si="2"/>
        <v>31450</v>
      </c>
      <c r="AT15" s="60">
        <f t="shared" si="2"/>
        <v>0</v>
      </c>
      <c r="AU15" s="60">
        <f t="shared" si="2"/>
        <v>64900</v>
      </c>
      <c r="AV15" s="60">
        <f t="shared" si="2"/>
        <v>61250</v>
      </c>
      <c r="AW15" s="60">
        <f t="shared" si="2"/>
        <v>0</v>
      </c>
      <c r="AX15" s="60">
        <f t="shared" si="2"/>
        <v>0</v>
      </c>
      <c r="AY15" s="60">
        <f t="shared" si="2"/>
        <v>0</v>
      </c>
      <c r="AZ15" s="60">
        <f t="shared" si="2"/>
        <v>0</v>
      </c>
      <c r="BA15" s="60">
        <f t="shared" si="2"/>
        <v>0</v>
      </c>
      <c r="BB15" s="60">
        <f t="shared" si="2"/>
        <v>0</v>
      </c>
      <c r="BC15" s="60">
        <f t="shared" si="2"/>
        <v>0</v>
      </c>
      <c r="BD15" s="60">
        <f t="shared" si="2"/>
        <v>0</v>
      </c>
      <c r="BE15" s="60">
        <f t="shared" si="2"/>
        <v>0</v>
      </c>
      <c r="BF15" s="60">
        <f t="shared" si="2"/>
        <v>0</v>
      </c>
      <c r="BG15" s="60">
        <f t="shared" si="2"/>
        <v>0</v>
      </c>
      <c r="BH15" s="60">
        <f t="shared" si="2"/>
        <v>0</v>
      </c>
      <c r="BI15" s="60">
        <f t="shared" si="2"/>
        <v>0</v>
      </c>
      <c r="BJ15" s="60">
        <f t="shared" si="2"/>
        <v>0</v>
      </c>
      <c r="BK15" s="60">
        <f t="shared" si="2"/>
        <v>0</v>
      </c>
      <c r="BL15" s="60">
        <f t="shared" si="2"/>
        <v>1472200</v>
      </c>
      <c r="BM15" s="81"/>
      <c r="BN15" s="81"/>
      <c r="BO15" s="81"/>
      <c r="BP15" s="82"/>
      <c r="BQ15" s="82"/>
      <c r="BR15" s="82"/>
      <c r="BS15" s="82"/>
    </row>
    <row r="16" spans="1:86" ht="15.75" x14ac:dyDescent="0.25">
      <c r="A16" s="185">
        <v>3</v>
      </c>
      <c r="B16" s="22" t="s">
        <v>33</v>
      </c>
      <c r="C16" s="23" t="s">
        <v>24</v>
      </c>
      <c r="D16" s="23"/>
      <c r="E16" s="28"/>
      <c r="F16" s="28"/>
      <c r="G16" s="28"/>
      <c r="H16" s="28"/>
      <c r="I16">
        <v>35720</v>
      </c>
      <c r="J16" s="28"/>
      <c r="K16" s="24"/>
      <c r="L16" s="28"/>
      <c r="N16">
        <v>2120</v>
      </c>
      <c r="O16" s="24"/>
      <c r="Q16" s="24"/>
      <c r="S16">
        <v>2120</v>
      </c>
      <c r="T16" s="24"/>
      <c r="U16" s="67"/>
      <c r="V16" s="24"/>
      <c r="W16">
        <v>68100.800000000003</v>
      </c>
      <c r="X16" s="24"/>
      <c r="Y16" s="24"/>
      <c r="Z16" s="24"/>
      <c r="AA16" s="24"/>
      <c r="AE16" s="28"/>
      <c r="AF16" s="28"/>
      <c r="AG16">
        <v>91200</v>
      </c>
      <c r="AH16" s="24"/>
      <c r="AI16" s="24"/>
      <c r="AJ16" s="24"/>
      <c r="AK16" s="24"/>
      <c r="AL16" s="24"/>
      <c r="AN16" s="28"/>
      <c r="AO16">
        <v>7720</v>
      </c>
      <c r="AP16" s="24"/>
      <c r="AQ16">
        <v>33600</v>
      </c>
      <c r="AS16" s="32"/>
      <c r="AT16" s="24"/>
      <c r="AU16">
        <v>67200</v>
      </c>
      <c r="AW16">
        <v>36800</v>
      </c>
      <c r="AX16" s="24"/>
      <c r="AY16" s="34"/>
      <c r="AZ16" s="34"/>
      <c r="BA16" s="34"/>
      <c r="BB16" s="28"/>
      <c r="BC16" s="28"/>
      <c r="BD16" s="28"/>
      <c r="BE16" s="28"/>
      <c r="BK16" s="28"/>
      <c r="BL16" s="26">
        <f t="shared" si="0"/>
        <v>344580.8</v>
      </c>
      <c r="BM16" s="27"/>
      <c r="BN16" s="27"/>
      <c r="BO16" s="27"/>
      <c r="BP16" s="27"/>
      <c r="BQ16" s="27"/>
      <c r="BR16" s="27"/>
      <c r="BS16" s="28"/>
    </row>
    <row r="17" spans="1:71" ht="15.75" x14ac:dyDescent="0.25">
      <c r="A17" s="185"/>
      <c r="B17" s="22" t="s">
        <v>33</v>
      </c>
      <c r="C17" s="23" t="s">
        <v>25</v>
      </c>
      <c r="D17" s="23"/>
      <c r="E17" s="28"/>
      <c r="F17" s="28"/>
      <c r="G17" s="28"/>
      <c r="H17" s="28"/>
      <c r="I17" s="28">
        <f>7858.4+1071.6</f>
        <v>8930</v>
      </c>
      <c r="J17" s="28"/>
      <c r="K17" s="28"/>
      <c r="L17" s="28"/>
      <c r="M17" s="28"/>
      <c r="N17" s="28">
        <f>466.4+63.6</f>
        <v>530</v>
      </c>
      <c r="O17" s="28"/>
      <c r="P17" s="28"/>
      <c r="Q17" s="28"/>
      <c r="R17" s="28"/>
      <c r="S17" s="28">
        <f>466.4+63.6</f>
        <v>530</v>
      </c>
      <c r="T17" s="28"/>
      <c r="U17" s="67"/>
      <c r="V17" s="28"/>
      <c r="W17" s="28">
        <f>14982.176+2043.024</f>
        <v>17025.2</v>
      </c>
      <c r="X17" s="28"/>
      <c r="Y17" s="28"/>
      <c r="Z17" s="28"/>
      <c r="AA17" s="28"/>
      <c r="AB17" s="28"/>
      <c r="AC17" s="28"/>
      <c r="AD17" s="28"/>
      <c r="AE17" s="28"/>
      <c r="AF17" s="28"/>
      <c r="AG17" s="28">
        <f>20064+2736</f>
        <v>22800</v>
      </c>
      <c r="AH17" s="28"/>
      <c r="AI17" s="28"/>
      <c r="AJ17" s="28"/>
      <c r="AK17" s="28"/>
      <c r="AL17" s="28"/>
      <c r="AM17" s="28"/>
      <c r="AN17" s="28"/>
      <c r="AO17" s="28">
        <f>1698.4+231.6</f>
        <v>1930</v>
      </c>
      <c r="AP17" s="28"/>
      <c r="AQ17" s="28">
        <f>7392+1008</f>
        <v>8400</v>
      </c>
      <c r="AS17" s="28"/>
      <c r="AT17" s="28"/>
      <c r="AU17">
        <f>14784+2016</f>
        <v>16800</v>
      </c>
      <c r="AV17" s="28"/>
      <c r="AW17" s="24">
        <f>8096+1104</f>
        <v>9200</v>
      </c>
      <c r="AX17" s="34"/>
      <c r="AY17" s="34"/>
      <c r="AZ17" s="34"/>
      <c r="BA17" s="34"/>
      <c r="BB17" s="28"/>
      <c r="BC17" s="27"/>
      <c r="BD17" s="27"/>
      <c r="BE17" s="27"/>
      <c r="BF17" s="27"/>
      <c r="BG17" s="27"/>
      <c r="BH17" s="27"/>
      <c r="BI17" s="27"/>
      <c r="BJ17" s="27"/>
      <c r="BK17" s="27"/>
      <c r="BL17" s="26">
        <f t="shared" si="0"/>
        <v>86145.2</v>
      </c>
      <c r="BM17" s="35"/>
      <c r="BN17" s="36"/>
      <c r="BO17" s="36"/>
      <c r="BP17" s="36"/>
      <c r="BQ17" s="36"/>
      <c r="BR17" s="35"/>
      <c r="BS17" s="28"/>
    </row>
    <row r="18" spans="1:71" ht="15.75" x14ac:dyDescent="0.25">
      <c r="A18" s="185"/>
      <c r="B18" s="22" t="s">
        <v>33</v>
      </c>
      <c r="C18" s="23" t="s">
        <v>28</v>
      </c>
      <c r="D18" s="23"/>
      <c r="E18" s="28"/>
      <c r="F18" s="28"/>
      <c r="G18" s="28"/>
      <c r="H18" s="28"/>
      <c r="I18" s="28">
        <v>2000</v>
      </c>
      <c r="J18" s="28"/>
      <c r="K18" s="28"/>
      <c r="L18" s="28"/>
      <c r="M18" s="28"/>
      <c r="N18" s="28">
        <v>1000</v>
      </c>
      <c r="O18" s="28"/>
      <c r="P18" s="28"/>
      <c r="Q18" s="28"/>
      <c r="R18" s="28"/>
      <c r="S18" s="28">
        <v>1000</v>
      </c>
      <c r="T18" s="28"/>
      <c r="U18" s="67"/>
      <c r="V18" s="28"/>
      <c r="W18" s="28">
        <v>2000</v>
      </c>
      <c r="X18" s="28"/>
      <c r="Y18" s="28"/>
      <c r="Z18" s="28"/>
      <c r="AA18" s="28"/>
      <c r="AB18" s="28"/>
      <c r="AC18" s="28"/>
      <c r="AD18" s="28"/>
      <c r="AE18" s="28"/>
      <c r="AF18" s="28"/>
      <c r="AG18" s="28">
        <v>2000</v>
      </c>
      <c r="AH18" s="28"/>
      <c r="AI18" s="28"/>
      <c r="AJ18" s="28"/>
      <c r="AK18" s="28"/>
      <c r="AL18" s="28"/>
      <c r="AM18" s="28"/>
      <c r="AN18" s="28"/>
      <c r="AO18" s="28">
        <v>0</v>
      </c>
      <c r="AP18" s="28"/>
      <c r="AQ18" s="28">
        <v>1000</v>
      </c>
      <c r="AS18" s="28"/>
      <c r="AT18" s="28"/>
      <c r="AU18">
        <v>2000</v>
      </c>
      <c r="AV18" s="28"/>
      <c r="AW18" s="28">
        <v>1000</v>
      </c>
      <c r="AX18" s="34"/>
      <c r="AY18" s="34"/>
      <c r="AZ18" s="34"/>
      <c r="BA18" s="34"/>
      <c r="BB18" s="28"/>
      <c r="BC18" s="27"/>
      <c r="BD18" s="27"/>
      <c r="BE18" s="27"/>
      <c r="BF18" s="27"/>
      <c r="BG18" s="27"/>
      <c r="BH18" s="27"/>
      <c r="BI18" s="27"/>
      <c r="BJ18" s="27"/>
      <c r="BK18" s="27"/>
      <c r="BL18" s="26">
        <f t="shared" si="0"/>
        <v>12000</v>
      </c>
      <c r="BM18" s="36"/>
      <c r="BN18" s="35"/>
      <c r="BO18" s="36"/>
      <c r="BP18" s="36"/>
      <c r="BQ18" s="36"/>
      <c r="BR18" s="36"/>
      <c r="BS18" s="28"/>
    </row>
    <row r="19" spans="1:71" ht="15.75" x14ac:dyDescent="0.25">
      <c r="A19" s="185"/>
      <c r="B19" s="22" t="s">
        <v>33</v>
      </c>
      <c r="C19" s="23" t="s">
        <v>29</v>
      </c>
      <c r="D19" s="39"/>
      <c r="E19" s="42"/>
      <c r="F19" s="42"/>
      <c r="G19" s="42"/>
      <c r="H19" s="42"/>
      <c r="I19" s="42">
        <v>662.5</v>
      </c>
      <c r="J19" s="42"/>
      <c r="K19" s="42"/>
      <c r="L19" s="42"/>
      <c r="M19" s="42"/>
      <c r="N19" s="42">
        <v>331.25</v>
      </c>
      <c r="O19" s="42"/>
      <c r="P19" s="42"/>
      <c r="Q19" s="42"/>
      <c r="R19" s="42"/>
      <c r="S19" s="42">
        <v>331.25</v>
      </c>
      <c r="T19" s="42"/>
      <c r="U19" s="83"/>
      <c r="V19" s="42"/>
      <c r="W19" s="42">
        <v>662.5</v>
      </c>
      <c r="X19" s="42"/>
      <c r="Y19" s="42"/>
      <c r="Z19" s="42"/>
      <c r="AA19" s="42"/>
      <c r="AB19" s="42"/>
      <c r="AC19" s="42"/>
      <c r="AD19" s="42"/>
      <c r="AE19" s="42"/>
      <c r="AF19" s="42"/>
      <c r="AG19" s="42">
        <v>662.5</v>
      </c>
      <c r="AH19" s="42"/>
      <c r="AI19" s="42"/>
      <c r="AJ19" s="42"/>
      <c r="AK19" s="42"/>
      <c r="AL19" s="42"/>
      <c r="AM19" s="42"/>
      <c r="AN19" s="42"/>
      <c r="AO19" s="42">
        <v>331.25</v>
      </c>
      <c r="AP19" s="42"/>
      <c r="AQ19" s="42">
        <v>331.25</v>
      </c>
      <c r="AS19" s="42"/>
      <c r="AT19" s="42"/>
      <c r="AU19">
        <v>662.5</v>
      </c>
      <c r="AV19" s="42"/>
      <c r="AW19" s="28">
        <v>331.25</v>
      </c>
      <c r="AX19" s="44"/>
      <c r="AY19" s="44"/>
      <c r="AZ19" s="44"/>
      <c r="BA19" s="44"/>
      <c r="BB19" s="42"/>
      <c r="BC19" s="45"/>
      <c r="BD19" s="45"/>
      <c r="BE19" s="45"/>
      <c r="BF19" s="45"/>
      <c r="BG19" s="45"/>
      <c r="BH19" s="45"/>
      <c r="BI19" s="45"/>
      <c r="BJ19" s="45"/>
      <c r="BK19" s="45"/>
      <c r="BL19" s="26">
        <f t="shared" si="0"/>
        <v>4306.25</v>
      </c>
      <c r="BM19" s="47"/>
      <c r="BN19" s="47"/>
      <c r="BO19" s="48"/>
      <c r="BP19" s="48"/>
      <c r="BQ19" s="48"/>
      <c r="BR19" s="47"/>
      <c r="BS19" s="42"/>
    </row>
    <row r="20" spans="1:71" ht="15.75" x14ac:dyDescent="0.25">
      <c r="A20" s="21"/>
      <c r="B20" s="22" t="s">
        <v>33</v>
      </c>
      <c r="C20" s="49" t="s">
        <v>30</v>
      </c>
      <c r="D20" s="77"/>
      <c r="E20" s="84"/>
      <c r="F20" s="84"/>
      <c r="G20" s="84"/>
      <c r="H20" s="84"/>
      <c r="I20" s="84">
        <v>5000</v>
      </c>
      <c r="J20" s="84"/>
      <c r="K20" s="84"/>
      <c r="L20" s="84"/>
      <c r="M20" s="84"/>
      <c r="N20" s="84">
        <v>0</v>
      </c>
      <c r="O20" s="84"/>
      <c r="P20" s="84"/>
      <c r="Q20" s="84"/>
      <c r="R20" s="84"/>
      <c r="S20" s="84">
        <v>0</v>
      </c>
      <c r="T20" s="84"/>
      <c r="U20" s="85"/>
      <c r="V20" s="84"/>
      <c r="W20" s="84">
        <v>10000</v>
      </c>
      <c r="X20" s="84"/>
      <c r="Y20" s="84"/>
      <c r="Z20" s="84"/>
      <c r="AA20" s="84"/>
      <c r="AB20" s="84"/>
      <c r="AC20" s="84"/>
      <c r="AD20" s="84"/>
      <c r="AE20" s="84"/>
      <c r="AF20" s="84"/>
      <c r="AG20" s="84">
        <v>10000</v>
      </c>
      <c r="AH20" s="84"/>
      <c r="AI20" s="84"/>
      <c r="AJ20" s="84"/>
      <c r="AK20" s="84"/>
      <c r="AL20" s="84"/>
      <c r="AM20" s="84"/>
      <c r="AN20" s="84"/>
      <c r="AO20" s="84">
        <v>0</v>
      </c>
      <c r="AP20" s="84"/>
      <c r="AQ20" s="84">
        <v>5000</v>
      </c>
      <c r="AS20" s="84"/>
      <c r="AT20" s="84"/>
      <c r="AU20">
        <v>10000</v>
      </c>
      <c r="AV20" s="84"/>
      <c r="AW20" s="42">
        <v>1000</v>
      </c>
      <c r="AX20" s="86"/>
      <c r="AY20" s="24"/>
      <c r="AZ20" s="24"/>
      <c r="BA20" s="24"/>
      <c r="BB20" s="32"/>
      <c r="BC20" s="73"/>
      <c r="BD20" s="73"/>
      <c r="BE20" s="73"/>
      <c r="BF20" s="73"/>
      <c r="BG20" s="73"/>
      <c r="BH20" s="73"/>
      <c r="BI20" s="73"/>
      <c r="BJ20" s="73"/>
      <c r="BK20" s="73"/>
      <c r="BL20" s="26">
        <f t="shared" si="0"/>
        <v>41000</v>
      </c>
      <c r="BO20" s="75"/>
      <c r="BP20" s="75"/>
      <c r="BQ20" s="75"/>
      <c r="BS20" s="32"/>
    </row>
    <row r="21" spans="1:71" ht="16.5" thickBot="1" x14ac:dyDescent="0.3">
      <c r="A21" s="21"/>
      <c r="B21" s="22" t="s">
        <v>33</v>
      </c>
      <c r="C21" s="77" t="s">
        <v>31</v>
      </c>
      <c r="D21" s="77"/>
      <c r="E21" s="84"/>
      <c r="F21" s="84"/>
      <c r="G21" s="84"/>
      <c r="H21" s="84"/>
      <c r="I21" s="84">
        <v>37.5</v>
      </c>
      <c r="J21" s="84"/>
      <c r="K21" s="84"/>
      <c r="L21" s="84"/>
      <c r="M21" s="84"/>
      <c r="N21" s="84">
        <v>18.75</v>
      </c>
      <c r="O21" s="84"/>
      <c r="P21" s="84"/>
      <c r="Q21" s="84"/>
      <c r="R21" s="32"/>
      <c r="S21" s="84">
        <v>18.75</v>
      </c>
      <c r="T21" s="84"/>
      <c r="U21" s="85"/>
      <c r="V21" s="32"/>
      <c r="W21" s="84">
        <v>37.5</v>
      </c>
      <c r="X21" s="84"/>
      <c r="Y21" s="84"/>
      <c r="Z21" s="84"/>
      <c r="AA21" s="32"/>
      <c r="AB21" s="84"/>
      <c r="AC21" s="84"/>
      <c r="AD21" s="84"/>
      <c r="AE21" s="84"/>
      <c r="AF21" s="84"/>
      <c r="AG21" s="84">
        <v>37.5</v>
      </c>
      <c r="AH21" s="84"/>
      <c r="AI21" s="84"/>
      <c r="AJ21" s="84"/>
      <c r="AK21" s="84"/>
      <c r="AL21" s="84"/>
      <c r="AM21" s="84"/>
      <c r="AN21" s="84"/>
      <c r="AO21" s="84">
        <v>18.75</v>
      </c>
      <c r="AP21" s="84"/>
      <c r="AQ21" s="84">
        <v>18.75</v>
      </c>
      <c r="AS21" s="84"/>
      <c r="AT21" s="84"/>
      <c r="AU21">
        <v>37.5</v>
      </c>
      <c r="AV21" s="84"/>
      <c r="AW21" s="32">
        <v>18.75</v>
      </c>
      <c r="AX21" s="24"/>
      <c r="AY21" s="24"/>
      <c r="AZ21" s="24"/>
      <c r="BA21" s="24"/>
      <c r="BB21" s="32"/>
      <c r="BC21" s="73"/>
      <c r="BD21" s="73"/>
      <c r="BE21" s="73"/>
      <c r="BF21" s="73"/>
      <c r="BG21" s="73"/>
      <c r="BH21" s="73"/>
      <c r="BI21" s="73"/>
      <c r="BJ21" s="73"/>
      <c r="BK21" s="73"/>
      <c r="BL21" s="26">
        <f t="shared" si="0"/>
        <v>243.75</v>
      </c>
      <c r="BO21" s="75"/>
      <c r="BP21" s="75"/>
      <c r="BQ21" s="75"/>
      <c r="BS21" s="32"/>
    </row>
    <row r="22" spans="1:71" ht="16.5" thickBot="1" x14ac:dyDescent="0.3">
      <c r="A22" s="88"/>
      <c r="B22" s="89" t="s">
        <v>26</v>
      </c>
      <c r="C22" s="90"/>
      <c r="D22" s="60">
        <f>SUM(D16:D21)</f>
        <v>0</v>
      </c>
      <c r="E22" s="60">
        <f>SUM(E16:E21)</f>
        <v>0</v>
      </c>
      <c r="F22" s="60">
        <f t="shared" ref="F22:BI22" si="3">SUM(F16:F21)</f>
        <v>0</v>
      </c>
      <c r="G22" s="60">
        <f t="shared" si="3"/>
        <v>0</v>
      </c>
      <c r="H22" s="60">
        <f t="shared" si="3"/>
        <v>0</v>
      </c>
      <c r="I22" s="60">
        <f t="shared" si="3"/>
        <v>52350</v>
      </c>
      <c r="J22" s="60">
        <f t="shared" si="3"/>
        <v>0</v>
      </c>
      <c r="K22" s="60">
        <f t="shared" si="3"/>
        <v>0</v>
      </c>
      <c r="L22" s="60">
        <f t="shared" si="3"/>
        <v>0</v>
      </c>
      <c r="M22" s="60">
        <f t="shared" si="3"/>
        <v>0</v>
      </c>
      <c r="N22" s="60">
        <f t="shared" si="3"/>
        <v>4000</v>
      </c>
      <c r="O22" s="60">
        <f t="shared" si="3"/>
        <v>0</v>
      </c>
      <c r="P22" s="60">
        <f t="shared" si="3"/>
        <v>0</v>
      </c>
      <c r="Q22" s="60">
        <f t="shared" si="3"/>
        <v>0</v>
      </c>
      <c r="R22" s="60">
        <f t="shared" si="3"/>
        <v>0</v>
      </c>
      <c r="S22" s="60">
        <f t="shared" si="3"/>
        <v>4000</v>
      </c>
      <c r="T22" s="60">
        <f t="shared" si="3"/>
        <v>0</v>
      </c>
      <c r="U22" s="60">
        <f t="shared" si="3"/>
        <v>0</v>
      </c>
      <c r="V22" s="60">
        <f t="shared" si="3"/>
        <v>0</v>
      </c>
      <c r="W22" s="60">
        <f t="shared" si="3"/>
        <v>97826</v>
      </c>
      <c r="X22" s="60">
        <f t="shared" si="3"/>
        <v>0</v>
      </c>
      <c r="Y22" s="60">
        <f t="shared" si="3"/>
        <v>0</v>
      </c>
      <c r="Z22" s="60">
        <f t="shared" si="3"/>
        <v>0</v>
      </c>
      <c r="AA22" s="60">
        <f t="shared" si="3"/>
        <v>0</v>
      </c>
      <c r="AB22" s="60">
        <f t="shared" si="3"/>
        <v>0</v>
      </c>
      <c r="AC22" s="60">
        <f t="shared" si="3"/>
        <v>0</v>
      </c>
      <c r="AD22" s="60">
        <f t="shared" si="3"/>
        <v>0</v>
      </c>
      <c r="AE22" s="60">
        <f t="shared" si="3"/>
        <v>0</v>
      </c>
      <c r="AF22" s="60">
        <f t="shared" si="3"/>
        <v>0</v>
      </c>
      <c r="AG22" s="60">
        <f t="shared" si="3"/>
        <v>126700</v>
      </c>
      <c r="AH22" s="60">
        <f t="shared" si="3"/>
        <v>0</v>
      </c>
      <c r="AI22" s="60">
        <f t="shared" si="3"/>
        <v>0</v>
      </c>
      <c r="AJ22" s="60">
        <f t="shared" si="3"/>
        <v>0</v>
      </c>
      <c r="AK22" s="60">
        <f t="shared" si="3"/>
        <v>0</v>
      </c>
      <c r="AL22" s="60">
        <f t="shared" si="3"/>
        <v>0</v>
      </c>
      <c r="AM22" s="60">
        <f t="shared" si="3"/>
        <v>0</v>
      </c>
      <c r="AN22" s="60">
        <f t="shared" si="3"/>
        <v>0</v>
      </c>
      <c r="AO22" s="60">
        <f>SUM(AO16:AO21)</f>
        <v>10000</v>
      </c>
      <c r="AP22" s="60">
        <f t="shared" si="3"/>
        <v>0</v>
      </c>
      <c r="AQ22" s="60">
        <f>SUM(AQ16:AQ21)</f>
        <v>48350</v>
      </c>
      <c r="AR22" s="60">
        <f t="shared" si="3"/>
        <v>0</v>
      </c>
      <c r="AS22" s="60">
        <f t="shared" si="3"/>
        <v>0</v>
      </c>
      <c r="AT22" s="60">
        <f t="shared" si="3"/>
        <v>0</v>
      </c>
      <c r="AU22" s="60">
        <f t="shared" si="3"/>
        <v>96700</v>
      </c>
      <c r="AV22" s="60">
        <f t="shared" si="3"/>
        <v>0</v>
      </c>
      <c r="AW22" s="60">
        <f t="shared" si="3"/>
        <v>48350</v>
      </c>
      <c r="AX22" s="60">
        <f t="shared" si="3"/>
        <v>0</v>
      </c>
      <c r="AY22" s="60">
        <f t="shared" si="3"/>
        <v>0</v>
      </c>
      <c r="AZ22" s="60">
        <f t="shared" si="3"/>
        <v>0</v>
      </c>
      <c r="BA22" s="60">
        <f t="shared" si="3"/>
        <v>0</v>
      </c>
      <c r="BB22" s="60">
        <f t="shared" si="3"/>
        <v>0</v>
      </c>
      <c r="BC22" s="60">
        <f t="shared" si="3"/>
        <v>0</v>
      </c>
      <c r="BD22" s="60">
        <f t="shared" si="3"/>
        <v>0</v>
      </c>
      <c r="BE22" s="60">
        <f t="shared" si="3"/>
        <v>0</v>
      </c>
      <c r="BF22" s="60">
        <f t="shared" si="3"/>
        <v>0</v>
      </c>
      <c r="BG22" s="60">
        <f t="shared" si="3"/>
        <v>0</v>
      </c>
      <c r="BH22" s="60">
        <f t="shared" si="3"/>
        <v>0</v>
      </c>
      <c r="BI22" s="60">
        <f t="shared" si="3"/>
        <v>0</v>
      </c>
      <c r="BJ22" s="60">
        <f>SUM(BJ16:BJ21)</f>
        <v>0</v>
      </c>
      <c r="BK22" s="60">
        <f t="shared" ref="BK22" si="4">SUM(BK16:BK21)</f>
        <v>0</v>
      </c>
      <c r="BL22" s="60">
        <f t="shared" ref="BL22" si="5">SUM(BL16:BL21)</f>
        <v>488276</v>
      </c>
      <c r="BM22" s="94"/>
      <c r="BN22" s="94"/>
      <c r="BO22" s="94"/>
      <c r="BP22" s="94"/>
      <c r="BQ22" s="94"/>
      <c r="BR22" s="94"/>
      <c r="BS22" s="96"/>
    </row>
    <row r="23" spans="1:71" ht="16.5" thickBot="1" x14ac:dyDescent="0.3">
      <c r="A23" s="185">
        <v>4</v>
      </c>
      <c r="B23" s="99" t="s">
        <v>34</v>
      </c>
      <c r="C23" s="23" t="s">
        <v>24</v>
      </c>
      <c r="D23" s="77"/>
      <c r="E23">
        <v>992464</v>
      </c>
      <c r="F23">
        <v>16120</v>
      </c>
      <c r="G23">
        <v>518320</v>
      </c>
      <c r="H23">
        <v>64480</v>
      </c>
      <c r="I23">
        <v>1903360</v>
      </c>
      <c r="J23">
        <v>4240</v>
      </c>
      <c r="K23">
        <v>16120</v>
      </c>
      <c r="L23">
        <v>3003624</v>
      </c>
      <c r="N23">
        <v>3950192</v>
      </c>
      <c r="P23">
        <v>32240</v>
      </c>
      <c r="Q23">
        <v>5474720</v>
      </c>
      <c r="S23">
        <v>1254568</v>
      </c>
      <c r="U23">
        <v>1571840</v>
      </c>
      <c r="W23">
        <v>2398288</v>
      </c>
      <c r="Y23">
        <v>408920</v>
      </c>
      <c r="Z23">
        <v>16120</v>
      </c>
      <c r="AA23">
        <v>244360</v>
      </c>
      <c r="AC23">
        <v>583696</v>
      </c>
      <c r="AE23">
        <v>439280</v>
      </c>
      <c r="AG23">
        <v>634800</v>
      </c>
      <c r="AH23">
        <v>16120</v>
      </c>
      <c r="AI23">
        <v>1004120</v>
      </c>
      <c r="AJ23">
        <v>12000</v>
      </c>
      <c r="AM23">
        <v>611640</v>
      </c>
      <c r="AO23" t="s">
        <v>60</v>
      </c>
      <c r="AQ23">
        <v>453600</v>
      </c>
      <c r="AS23">
        <v>387840</v>
      </c>
      <c r="AU23">
        <v>1214280</v>
      </c>
      <c r="AV23">
        <v>385384</v>
      </c>
      <c r="AW23">
        <v>93880</v>
      </c>
      <c r="BK23" s="32"/>
      <c r="BL23" s="26">
        <f t="shared" si="0"/>
        <v>27706616</v>
      </c>
      <c r="BM23" s="66"/>
      <c r="BN23" s="66"/>
      <c r="BO23" s="66"/>
      <c r="BP23" s="66"/>
      <c r="BQ23" s="66"/>
      <c r="BR23" s="66"/>
      <c r="BS23" s="64"/>
    </row>
    <row r="24" spans="1:71" ht="16.5" thickBot="1" x14ac:dyDescent="0.3">
      <c r="A24" s="185"/>
      <c r="B24" s="99" t="s">
        <v>34</v>
      </c>
      <c r="C24" s="23" t="s">
        <v>25</v>
      </c>
      <c r="D24" s="77"/>
      <c r="E24">
        <f>218342.08+29773.92</f>
        <v>248116</v>
      </c>
      <c r="F24" s="28">
        <f>3546.4+483.6</f>
        <v>4030</v>
      </c>
      <c r="G24" s="28">
        <f>114030.4+15549.6</f>
        <v>129580</v>
      </c>
      <c r="H24">
        <f>14185.6+1934.4</f>
        <v>16120</v>
      </c>
      <c r="I24" s="28">
        <f>418739.2+57100.8</f>
        <v>475840</v>
      </c>
      <c r="J24" s="28">
        <f>932.8+127.2</f>
        <v>1060</v>
      </c>
      <c r="K24" s="28">
        <f>3546.4+483.6</f>
        <v>4030</v>
      </c>
      <c r="L24" s="28">
        <f>660797.28+90108.72</f>
        <v>750906</v>
      </c>
      <c r="M24" s="28"/>
      <c r="N24" s="28">
        <f>869042.24+118505.76</f>
        <v>987548</v>
      </c>
      <c r="O24" s="28"/>
      <c r="P24" s="31">
        <f>7092.8+967.2</f>
        <v>8060</v>
      </c>
      <c r="Q24" s="28">
        <f>1204438.4+164241.6</f>
        <v>1368680</v>
      </c>
      <c r="R24" s="28"/>
      <c r="S24" s="28">
        <f>276004.96+37637.04</f>
        <v>313642</v>
      </c>
      <c r="T24" s="28"/>
      <c r="U24" s="67">
        <f>345804.8+47155.2</f>
        <v>392960</v>
      </c>
      <c r="V24" s="28"/>
      <c r="W24" s="28">
        <f>527623.36+71948.64</f>
        <v>599572</v>
      </c>
      <c r="X24" s="28"/>
      <c r="Y24" s="28">
        <f>89962.4+12267.6</f>
        <v>102230</v>
      </c>
      <c r="Z24" s="28">
        <f>3546.4+483.6</f>
        <v>4030</v>
      </c>
      <c r="AA24" s="28">
        <f>53759.2+7330.8</f>
        <v>61090</v>
      </c>
      <c r="AB24" s="28"/>
      <c r="AC24" s="28">
        <f>128413.12+17510.88</f>
        <v>145924</v>
      </c>
      <c r="AD24" s="28"/>
      <c r="AE24" s="28">
        <f>96641.6+13178.4</f>
        <v>109820</v>
      </c>
      <c r="AF24" s="28"/>
      <c r="AG24" s="28">
        <f>139656+19044</f>
        <v>158700</v>
      </c>
      <c r="AH24" s="28">
        <f>3546.4+483.6</f>
        <v>4030</v>
      </c>
      <c r="AI24" s="28">
        <f>220906.4+30123.6</f>
        <v>251030</v>
      </c>
      <c r="AJ24" s="28">
        <f>2640+360</f>
        <v>3000</v>
      </c>
      <c r="AK24" s="28"/>
      <c r="AL24" s="28"/>
      <c r="AM24" s="28">
        <f>134560.8+18349.2</f>
        <v>152910</v>
      </c>
      <c r="AN24" s="28"/>
      <c r="AO24" s="28">
        <f>85773.6+11696.4</f>
        <v>97470</v>
      </c>
      <c r="AP24" s="28"/>
      <c r="AQ24" s="28">
        <f>99792+13608</f>
        <v>113400</v>
      </c>
      <c r="AR24" s="28"/>
      <c r="AS24" s="28">
        <f>85324.8+11635.2</f>
        <v>96960</v>
      </c>
      <c r="AT24" s="28"/>
      <c r="AU24" s="28">
        <f>267141.6+36428.4</f>
        <v>303570</v>
      </c>
      <c r="AV24" s="28">
        <f>84784.48+11561.52</f>
        <v>96346</v>
      </c>
      <c r="AW24" s="28">
        <f>20653.6+2816.4</f>
        <v>23470</v>
      </c>
      <c r="AX24" s="34"/>
      <c r="AY24" s="34"/>
      <c r="AZ24" s="34"/>
      <c r="BA24" s="34"/>
      <c r="BB24" s="28"/>
      <c r="BC24" s="27"/>
      <c r="BD24" s="27"/>
      <c r="BE24" s="27"/>
      <c r="BF24" s="27"/>
      <c r="BG24" s="27"/>
      <c r="BH24" s="27"/>
      <c r="BI24" s="27"/>
      <c r="BJ24" s="27"/>
      <c r="BK24" s="27"/>
      <c r="BL24" s="26">
        <f t="shared" si="0"/>
        <v>7024124</v>
      </c>
      <c r="BM24" s="35"/>
      <c r="BN24" s="36"/>
      <c r="BO24" s="36"/>
      <c r="BP24" s="36"/>
      <c r="BQ24" s="36"/>
      <c r="BR24" s="35"/>
      <c r="BS24" s="28"/>
    </row>
    <row r="25" spans="1:71" ht="16.5" thickBot="1" x14ac:dyDescent="0.3">
      <c r="A25" s="185"/>
      <c r="B25" s="99" t="s">
        <v>34</v>
      </c>
      <c r="C25" s="23" t="s">
        <v>28</v>
      </c>
      <c r="D25" s="77"/>
      <c r="E25">
        <v>30000</v>
      </c>
      <c r="F25" s="28">
        <v>0</v>
      </c>
      <c r="G25" s="28">
        <v>9000</v>
      </c>
      <c r="H25" s="28">
        <v>0</v>
      </c>
      <c r="I25" s="28">
        <v>73000</v>
      </c>
      <c r="J25" s="28">
        <v>2000</v>
      </c>
      <c r="K25" s="28">
        <v>0</v>
      </c>
      <c r="L25" s="28">
        <v>96000</v>
      </c>
      <c r="M25" s="28"/>
      <c r="N25" s="28">
        <v>131000</v>
      </c>
      <c r="O25" s="24"/>
      <c r="P25" s="31">
        <v>0</v>
      </c>
      <c r="Q25" s="28">
        <v>170000</v>
      </c>
      <c r="R25" s="28"/>
      <c r="S25" s="28">
        <v>37000</v>
      </c>
      <c r="T25" s="24"/>
      <c r="U25" s="67">
        <v>29000</v>
      </c>
      <c r="V25" s="28"/>
      <c r="W25" s="28">
        <v>61000</v>
      </c>
      <c r="X25" s="28"/>
      <c r="Y25" s="28">
        <v>6000</v>
      </c>
      <c r="Z25" s="28">
        <v>0</v>
      </c>
      <c r="AA25" s="28">
        <v>8000</v>
      </c>
      <c r="AB25" s="28"/>
      <c r="AC25" s="28">
        <v>11000</v>
      </c>
      <c r="AD25" s="28"/>
      <c r="AE25" s="28">
        <v>9000</v>
      </c>
      <c r="AF25" s="100"/>
      <c r="AG25" s="28">
        <v>18000</v>
      </c>
      <c r="AH25" s="28">
        <v>0</v>
      </c>
      <c r="AI25" s="28">
        <v>22000</v>
      </c>
      <c r="AJ25" s="28">
        <v>0</v>
      </c>
      <c r="AK25" s="28"/>
      <c r="AL25" s="28"/>
      <c r="AM25" s="28">
        <v>14000</v>
      </c>
      <c r="AN25" s="28"/>
      <c r="AO25" s="28">
        <v>11000</v>
      </c>
      <c r="AP25" s="28"/>
      <c r="AQ25" s="28">
        <v>11000</v>
      </c>
      <c r="AR25" s="37"/>
      <c r="AS25" s="37">
        <v>14000</v>
      </c>
      <c r="AT25" s="37"/>
      <c r="AU25" s="28">
        <v>33000</v>
      </c>
      <c r="AV25" s="28">
        <v>12000</v>
      </c>
      <c r="AW25" s="28">
        <v>2000</v>
      </c>
      <c r="AX25" s="34"/>
      <c r="AY25" s="34"/>
      <c r="AZ25" s="24"/>
      <c r="BA25" s="34"/>
      <c r="BB25" s="28"/>
      <c r="BC25" s="27"/>
      <c r="BD25" s="27"/>
      <c r="BE25" s="27"/>
      <c r="BF25" s="27"/>
      <c r="BG25" s="27"/>
      <c r="BH25" s="27"/>
      <c r="BI25" s="27"/>
      <c r="BJ25" s="27"/>
      <c r="BK25" s="27"/>
      <c r="BL25" s="26">
        <f t="shared" si="0"/>
        <v>809000</v>
      </c>
      <c r="BM25" s="36"/>
      <c r="BN25" s="35"/>
      <c r="BO25" s="36"/>
      <c r="BP25" s="36"/>
      <c r="BQ25" s="36"/>
      <c r="BR25" s="36"/>
      <c r="BS25" s="28"/>
    </row>
    <row r="26" spans="1:71" ht="16.5" thickBot="1" x14ac:dyDescent="0.3">
      <c r="A26" s="185"/>
      <c r="B26" s="99" t="s">
        <v>34</v>
      </c>
      <c r="C26" s="23" t="s">
        <v>29</v>
      </c>
      <c r="D26" s="77"/>
      <c r="E26">
        <v>11925</v>
      </c>
      <c r="F26" s="28">
        <v>331.25</v>
      </c>
      <c r="G26" s="28">
        <v>5300</v>
      </c>
      <c r="H26" s="28">
        <v>1325</v>
      </c>
      <c r="I26" s="28">
        <v>30143.75</v>
      </c>
      <c r="J26" s="28">
        <v>662.5</v>
      </c>
      <c r="K26" s="28">
        <v>331.25</v>
      </c>
      <c r="L26" s="28">
        <v>40412.5</v>
      </c>
      <c r="M26" s="28"/>
      <c r="N26" s="28">
        <v>58300</v>
      </c>
      <c r="O26" s="28"/>
      <c r="P26" s="31">
        <v>662.5</v>
      </c>
      <c r="Q26" s="28">
        <v>74531.25</v>
      </c>
      <c r="R26" s="28"/>
      <c r="S26" s="28">
        <v>18881.25</v>
      </c>
      <c r="T26" s="28"/>
      <c r="U26" s="67">
        <v>17556.25</v>
      </c>
      <c r="V26" s="28"/>
      <c r="W26" s="28">
        <v>29481.25</v>
      </c>
      <c r="X26" s="28"/>
      <c r="Y26" s="28">
        <v>10931.25</v>
      </c>
      <c r="Z26" s="28">
        <v>331.25</v>
      </c>
      <c r="AA26" s="28">
        <v>4637.5</v>
      </c>
      <c r="AB26" s="28"/>
      <c r="AC26" s="28">
        <v>12918.75</v>
      </c>
      <c r="AD26" s="28"/>
      <c r="AE26" s="28">
        <v>8943.75</v>
      </c>
      <c r="AF26" s="28"/>
      <c r="AG26" s="28">
        <v>14575</v>
      </c>
      <c r="AH26" s="28">
        <v>331.25</v>
      </c>
      <c r="AI26" s="28">
        <v>16893.75</v>
      </c>
      <c r="AJ26" s="28">
        <v>331.25</v>
      </c>
      <c r="AK26" s="28"/>
      <c r="AL26" s="28"/>
      <c r="AM26" s="28">
        <v>15237.5</v>
      </c>
      <c r="AN26" s="28"/>
      <c r="AO26" s="28">
        <v>9275</v>
      </c>
      <c r="AP26" s="28"/>
      <c r="AQ26" s="28">
        <v>8612.5</v>
      </c>
      <c r="AR26" s="28"/>
      <c r="AS26" s="37">
        <v>9937.5</v>
      </c>
      <c r="AT26" s="37"/>
      <c r="AU26" s="28">
        <v>21531.25</v>
      </c>
      <c r="AV26" s="28">
        <v>6956.25</v>
      </c>
      <c r="AW26" s="28">
        <v>1656.25</v>
      </c>
      <c r="AX26" s="34"/>
      <c r="AY26" s="34"/>
      <c r="AZ26" s="28"/>
      <c r="BA26" s="34"/>
      <c r="BB26" s="28"/>
      <c r="BC26" s="27"/>
      <c r="BD26" s="27"/>
      <c r="BE26" s="27"/>
      <c r="BF26" s="27"/>
      <c r="BG26" s="27"/>
      <c r="BH26" s="27"/>
      <c r="BI26" s="27"/>
      <c r="BJ26" s="27"/>
      <c r="BK26" s="27"/>
      <c r="BL26" s="26">
        <f t="shared" si="0"/>
        <v>432943.75</v>
      </c>
      <c r="BM26" s="36"/>
      <c r="BN26" s="36"/>
      <c r="BO26" s="35"/>
      <c r="BP26" s="35"/>
      <c r="BQ26" s="35"/>
      <c r="BR26" s="36"/>
      <c r="BS26" s="28"/>
    </row>
    <row r="27" spans="1:71" ht="16.5" thickBot="1" x14ac:dyDescent="0.3">
      <c r="A27" s="21"/>
      <c r="B27" s="99" t="s">
        <v>34</v>
      </c>
      <c r="C27" s="49" t="s">
        <v>30</v>
      </c>
      <c r="D27" s="77"/>
      <c r="E27">
        <v>145000</v>
      </c>
      <c r="F27" s="84">
        <v>0</v>
      </c>
      <c r="G27" s="84">
        <v>45000</v>
      </c>
      <c r="H27" s="84">
        <v>0</v>
      </c>
      <c r="I27" s="84">
        <v>355000</v>
      </c>
      <c r="J27" s="84">
        <v>10000</v>
      </c>
      <c r="K27" s="84">
        <v>0</v>
      </c>
      <c r="L27" s="84">
        <v>470000</v>
      </c>
      <c r="M27" s="84"/>
      <c r="N27" s="84">
        <v>635000</v>
      </c>
      <c r="O27" s="84"/>
      <c r="P27" s="101">
        <v>0</v>
      </c>
      <c r="Q27" s="84">
        <v>830000</v>
      </c>
      <c r="R27" s="84"/>
      <c r="S27" s="84">
        <v>180000</v>
      </c>
      <c r="T27" s="84"/>
      <c r="U27" s="85">
        <v>145000</v>
      </c>
      <c r="V27" s="84"/>
      <c r="W27" s="84">
        <v>305000</v>
      </c>
      <c r="X27" s="84"/>
      <c r="Y27" s="84">
        <v>30000</v>
      </c>
      <c r="Z27" s="84">
        <v>0</v>
      </c>
      <c r="AA27" s="84">
        <v>40000</v>
      </c>
      <c r="AB27" s="84"/>
      <c r="AC27" s="84">
        <v>55000</v>
      </c>
      <c r="AD27" s="84"/>
      <c r="AE27" s="84">
        <v>45000</v>
      </c>
      <c r="AF27" s="84"/>
      <c r="AG27" s="84">
        <v>85000</v>
      </c>
      <c r="AH27" s="84">
        <v>0</v>
      </c>
      <c r="AI27" s="84">
        <v>110000</v>
      </c>
      <c r="AJ27" s="84">
        <v>0</v>
      </c>
      <c r="AK27" s="84"/>
      <c r="AL27" s="84"/>
      <c r="AM27" s="84">
        <v>70000</v>
      </c>
      <c r="AN27" s="84"/>
      <c r="AO27" s="32">
        <v>55000</v>
      </c>
      <c r="AP27" s="32"/>
      <c r="AQ27" s="84">
        <v>55000</v>
      </c>
      <c r="AR27" s="84"/>
      <c r="AS27" s="84">
        <v>70000</v>
      </c>
      <c r="AT27" s="84"/>
      <c r="AU27" s="84">
        <v>165000</v>
      </c>
      <c r="AV27" s="84">
        <v>60000</v>
      </c>
      <c r="AW27" s="32">
        <v>10000</v>
      </c>
      <c r="AX27" s="24"/>
      <c r="AY27" s="32"/>
      <c r="AZ27" s="24"/>
      <c r="BA27" s="32"/>
      <c r="BB27" s="32"/>
      <c r="BC27" s="73"/>
      <c r="BD27" s="73"/>
      <c r="BE27" s="73"/>
      <c r="BF27" s="73"/>
      <c r="BG27" s="73"/>
      <c r="BH27" s="73"/>
      <c r="BI27" s="73"/>
      <c r="BJ27" s="73"/>
      <c r="BK27" s="73"/>
      <c r="BL27" s="26">
        <f t="shared" si="0"/>
        <v>3970000</v>
      </c>
      <c r="BO27" s="75"/>
      <c r="BP27" s="75"/>
      <c r="BQ27" s="75"/>
      <c r="BS27" s="32"/>
    </row>
    <row r="28" spans="1:71" ht="15.75" x14ac:dyDescent="0.25">
      <c r="A28" s="21"/>
      <c r="B28" s="99" t="s">
        <v>34</v>
      </c>
      <c r="C28" s="77" t="s">
        <v>31</v>
      </c>
      <c r="D28" s="77"/>
      <c r="E28">
        <v>675</v>
      </c>
      <c r="F28" s="84">
        <v>18.75</v>
      </c>
      <c r="G28" s="84">
        <v>300</v>
      </c>
      <c r="H28" s="84">
        <v>75</v>
      </c>
      <c r="I28" s="84">
        <v>1706.25</v>
      </c>
      <c r="J28" s="84">
        <v>37.5</v>
      </c>
      <c r="K28" s="84">
        <v>18.75</v>
      </c>
      <c r="L28" s="84">
        <v>2287.5</v>
      </c>
      <c r="M28" s="84"/>
      <c r="N28" s="84">
        <v>3300</v>
      </c>
      <c r="O28" s="84"/>
      <c r="P28" s="101">
        <v>37.5</v>
      </c>
      <c r="Q28" s="32">
        <v>4218.75</v>
      </c>
      <c r="R28" s="84"/>
      <c r="S28" s="32">
        <v>1068.75</v>
      </c>
      <c r="T28" s="84"/>
      <c r="U28" s="76">
        <v>993.75</v>
      </c>
      <c r="V28" s="84"/>
      <c r="W28" s="32">
        <v>1668.75</v>
      </c>
      <c r="X28" s="84"/>
      <c r="Y28" s="32">
        <v>618.75</v>
      </c>
      <c r="Z28" s="84">
        <v>18.75</v>
      </c>
      <c r="AA28" s="84">
        <v>262.5</v>
      </c>
      <c r="AB28" s="84"/>
      <c r="AC28" s="25">
        <v>731.25</v>
      </c>
      <c r="AD28" s="84"/>
      <c r="AE28" s="84">
        <v>506.25</v>
      </c>
      <c r="AF28" s="84"/>
      <c r="AG28" s="24">
        <v>825</v>
      </c>
      <c r="AH28" s="84">
        <v>18.75</v>
      </c>
      <c r="AI28" s="84">
        <v>956.25</v>
      </c>
      <c r="AJ28" s="84">
        <v>18.75</v>
      </c>
      <c r="AK28" s="84"/>
      <c r="AL28" s="84"/>
      <c r="AM28" s="84">
        <v>862.5</v>
      </c>
      <c r="AN28" s="84"/>
      <c r="AO28" s="84">
        <v>525</v>
      </c>
      <c r="AP28" s="84"/>
      <c r="AQ28" s="84">
        <v>487.5</v>
      </c>
      <c r="AR28" s="84"/>
      <c r="AS28" s="32">
        <v>562.5</v>
      </c>
      <c r="AT28" s="32"/>
      <c r="AU28" s="84">
        <v>1218.75</v>
      </c>
      <c r="AV28" s="84">
        <v>393.75</v>
      </c>
      <c r="AW28" s="32">
        <v>93.75</v>
      </c>
      <c r="AX28" s="24"/>
      <c r="AY28" s="32"/>
      <c r="AZ28" s="24"/>
      <c r="BA28" s="32"/>
      <c r="BB28" s="32"/>
      <c r="BC28" s="73"/>
      <c r="BD28" s="73"/>
      <c r="BE28" s="73"/>
      <c r="BF28" s="73"/>
      <c r="BG28" s="73"/>
      <c r="BH28" s="73"/>
      <c r="BI28" s="73"/>
      <c r="BJ28" s="73"/>
      <c r="BK28" s="73"/>
      <c r="BL28" s="26">
        <f t="shared" si="0"/>
        <v>24506.25</v>
      </c>
      <c r="BO28" s="75"/>
      <c r="BP28" s="75"/>
      <c r="BQ28" s="75"/>
      <c r="BS28" s="32"/>
    </row>
    <row r="29" spans="1:71" ht="16.5" thickBot="1" x14ac:dyDescent="0.3">
      <c r="A29" s="88"/>
      <c r="B29" s="102" t="s">
        <v>26</v>
      </c>
      <c r="C29" s="90"/>
      <c r="D29" s="60">
        <f>SUM(D23:D28)</f>
        <v>0</v>
      </c>
      <c r="E29" s="60">
        <f>SUM(E23:E28)</f>
        <v>1428180</v>
      </c>
      <c r="F29" s="60">
        <f t="shared" ref="F29:H29" si="6">SUM(F23:F28)</f>
        <v>20500</v>
      </c>
      <c r="G29" s="60">
        <f t="shared" si="6"/>
        <v>707500</v>
      </c>
      <c r="H29" s="60">
        <f t="shared" si="6"/>
        <v>82000</v>
      </c>
      <c r="I29" s="60">
        <f t="shared" ref="I29" si="7">SUM(I23:I28)</f>
        <v>2839050</v>
      </c>
      <c r="J29" s="60">
        <f t="shared" ref="J29:K29" si="8">SUM(J23:J28)</f>
        <v>18000</v>
      </c>
      <c r="K29" s="60">
        <f t="shared" si="8"/>
        <v>20500</v>
      </c>
      <c r="L29" s="60">
        <f t="shared" ref="L29" si="9">SUM(L23:L28)</f>
        <v>4363230</v>
      </c>
      <c r="M29" s="60">
        <f t="shared" ref="M29:N29" si="10">SUM(M23:M28)</f>
        <v>0</v>
      </c>
      <c r="N29" s="180">
        <f t="shared" si="10"/>
        <v>5765340</v>
      </c>
      <c r="O29" s="60">
        <f t="shared" ref="O29" si="11">SUM(O23:O28)</f>
        <v>0</v>
      </c>
      <c r="P29" s="60">
        <f t="shared" ref="P29:Q29" si="12">SUM(P23:P28)</f>
        <v>41000</v>
      </c>
      <c r="Q29" s="60">
        <f t="shared" si="12"/>
        <v>7922150</v>
      </c>
      <c r="R29" s="60">
        <f t="shared" ref="R29" si="13">SUM(R23:R28)</f>
        <v>0</v>
      </c>
      <c r="S29" s="60">
        <f t="shared" ref="S29:T29" si="14">SUM(S23:S28)</f>
        <v>1805160</v>
      </c>
      <c r="T29" s="60">
        <f t="shared" si="14"/>
        <v>0</v>
      </c>
      <c r="U29" s="60">
        <f t="shared" ref="U29" si="15">SUM(U23:U28)</f>
        <v>2157350</v>
      </c>
      <c r="V29" s="60">
        <f t="shared" ref="V29:W29" si="16">SUM(V23:V28)</f>
        <v>0</v>
      </c>
      <c r="W29" s="60">
        <f t="shared" si="16"/>
        <v>3395010</v>
      </c>
      <c r="X29" s="60">
        <f t="shared" ref="X29" si="17">SUM(X23:X28)</f>
        <v>0</v>
      </c>
      <c r="Y29" s="60">
        <f t="shared" ref="Y29:Z29" si="18">SUM(Y23:Y28)</f>
        <v>558700</v>
      </c>
      <c r="Z29" s="60">
        <f t="shared" si="18"/>
        <v>20500</v>
      </c>
      <c r="AA29" s="60">
        <f t="shared" ref="AA29" si="19">SUM(AA23:AA28)</f>
        <v>358350</v>
      </c>
      <c r="AB29" s="60">
        <f t="shared" ref="AB29:AC29" si="20">SUM(AB23:AB28)</f>
        <v>0</v>
      </c>
      <c r="AC29" s="60">
        <f t="shared" si="20"/>
        <v>809270</v>
      </c>
      <c r="AD29" s="60">
        <f t="shared" ref="AD29" si="21">SUM(AD23:AD28)</f>
        <v>0</v>
      </c>
      <c r="AE29" s="60">
        <f t="shared" ref="AE29:AF29" si="22">SUM(AE23:AE28)</f>
        <v>612550</v>
      </c>
      <c r="AF29" s="60">
        <f t="shared" si="22"/>
        <v>0</v>
      </c>
      <c r="AG29" s="60">
        <f t="shared" ref="AG29" si="23">SUM(AG23:AG28)</f>
        <v>911900</v>
      </c>
      <c r="AH29" s="60">
        <f t="shared" ref="AH29:AI29" si="24">SUM(AH23:AH28)</f>
        <v>20500</v>
      </c>
      <c r="AI29" s="60">
        <f t="shared" si="24"/>
        <v>1405000</v>
      </c>
      <c r="AJ29" s="60">
        <f t="shared" ref="AJ29" si="25">SUM(AJ23:AJ28)</f>
        <v>15350</v>
      </c>
      <c r="AK29" s="60">
        <f t="shared" ref="AK29:AL29" si="26">SUM(AK23:AK28)</f>
        <v>0</v>
      </c>
      <c r="AL29" s="60">
        <f t="shared" si="26"/>
        <v>0</v>
      </c>
      <c r="AM29" s="60">
        <f t="shared" ref="AM29" si="27">SUM(AM23:AM28)</f>
        <v>864650</v>
      </c>
      <c r="AN29" s="60">
        <f t="shared" ref="AN29:AO29" si="28">SUM(AN23:AN28)</f>
        <v>0</v>
      </c>
      <c r="AO29" s="60">
        <f t="shared" si="28"/>
        <v>173270</v>
      </c>
      <c r="AP29" s="60">
        <f t="shared" ref="AP29" si="29">SUM(AP23:AP28)</f>
        <v>0</v>
      </c>
      <c r="AQ29" s="60">
        <f t="shared" ref="AQ29:AR29" si="30">SUM(AQ23:AQ28)</f>
        <v>642100</v>
      </c>
      <c r="AR29" s="60">
        <f t="shared" si="30"/>
        <v>0</v>
      </c>
      <c r="AS29" s="60">
        <f t="shared" ref="AS29" si="31">SUM(AS23:AS28)</f>
        <v>579300</v>
      </c>
      <c r="AT29" s="60">
        <f t="shared" ref="AT29:AU29" si="32">SUM(AT23:AT28)</f>
        <v>0</v>
      </c>
      <c r="AU29" s="60">
        <f t="shared" si="32"/>
        <v>1738600</v>
      </c>
      <c r="AV29" s="60">
        <f t="shared" ref="AV29" si="33">SUM(AV23:AV28)</f>
        <v>561080</v>
      </c>
      <c r="AW29" s="60">
        <f t="shared" ref="AW29:AX29" si="34">SUM(AW23:AW28)</f>
        <v>131100</v>
      </c>
      <c r="AX29" s="60">
        <f t="shared" si="34"/>
        <v>0</v>
      </c>
      <c r="AY29" s="60">
        <f t="shared" ref="AY29" si="35">SUM(AY23:AY28)</f>
        <v>0</v>
      </c>
      <c r="AZ29" s="60">
        <f t="shared" ref="AZ29:BA29" si="36">SUM(AZ23:AZ28)</f>
        <v>0</v>
      </c>
      <c r="BA29" s="60">
        <f t="shared" si="36"/>
        <v>0</v>
      </c>
      <c r="BB29" s="60">
        <f t="shared" ref="BB29" si="37">SUM(BB23:BB28)</f>
        <v>0</v>
      </c>
      <c r="BC29" s="60">
        <f t="shared" ref="BC29:BD29" si="38">SUM(BC23:BC28)</f>
        <v>0</v>
      </c>
      <c r="BD29" s="60">
        <f t="shared" si="38"/>
        <v>0</v>
      </c>
      <c r="BE29" s="60">
        <f t="shared" ref="BE29" si="39">SUM(BE23:BE28)</f>
        <v>0</v>
      </c>
      <c r="BF29" s="60">
        <f t="shared" ref="BF29:BG29" si="40">SUM(BF23:BF28)</f>
        <v>0</v>
      </c>
      <c r="BG29" s="60">
        <f t="shared" si="40"/>
        <v>0</v>
      </c>
      <c r="BH29" s="60">
        <f t="shared" ref="BH29" si="41">SUM(BH23:BH28)</f>
        <v>0</v>
      </c>
      <c r="BI29" s="60">
        <f t="shared" ref="BI29:BJ29" si="42">SUM(BI23:BI28)</f>
        <v>0</v>
      </c>
      <c r="BJ29" s="60">
        <f t="shared" si="42"/>
        <v>0</v>
      </c>
      <c r="BK29" s="60">
        <f t="shared" ref="BK29" si="43">SUM(BK23:BK28)</f>
        <v>0</v>
      </c>
      <c r="BL29" s="60">
        <f>SUM(BL23:BL28)</f>
        <v>39967190</v>
      </c>
      <c r="BM29" s="106"/>
      <c r="BN29" s="106"/>
      <c r="BO29" s="106"/>
      <c r="BP29" s="106"/>
      <c r="BQ29" s="106"/>
      <c r="BR29" s="106"/>
      <c r="BS29" s="106"/>
    </row>
    <row r="30" spans="1:71" ht="21" customHeight="1" thickBot="1" x14ac:dyDescent="0.3">
      <c r="A30" s="185">
        <v>5</v>
      </c>
      <c r="B30" s="107" t="s">
        <v>35</v>
      </c>
      <c r="C30" s="23" t="s">
        <v>24</v>
      </c>
      <c r="D30" s="23"/>
      <c r="E30" s="28"/>
      <c r="F30" s="32"/>
      <c r="G30" s="24"/>
      <c r="H30" s="28"/>
      <c r="I30" s="28"/>
      <c r="J30" s="28"/>
      <c r="K30" s="28"/>
      <c r="L30" s="28"/>
      <c r="M30" s="24"/>
      <c r="N30" s="28"/>
      <c r="O30" s="28"/>
      <c r="P30" s="28"/>
      <c r="Q30" s="28"/>
      <c r="R30" s="28"/>
      <c r="S30" s="28"/>
      <c r="T30" s="34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34"/>
      <c r="BB30" s="28"/>
      <c r="BC30" s="27"/>
      <c r="BD30" s="73"/>
      <c r="BE30" s="73"/>
      <c r="BF30" s="73"/>
      <c r="BG30" s="73"/>
      <c r="BH30" s="73"/>
      <c r="BI30" s="73"/>
      <c r="BJ30" s="73"/>
      <c r="BK30" s="73"/>
      <c r="BL30" s="26">
        <f t="shared" si="0"/>
        <v>0</v>
      </c>
      <c r="BM30" s="27"/>
      <c r="BN30" s="27"/>
      <c r="BO30" s="27"/>
      <c r="BP30" s="27"/>
      <c r="BQ30" s="27"/>
      <c r="BR30" s="27"/>
      <c r="BS30" s="28"/>
    </row>
    <row r="31" spans="1:71" ht="21" customHeight="1" thickBot="1" x14ac:dyDescent="0.3">
      <c r="A31" s="185"/>
      <c r="B31" s="107" t="s">
        <v>35</v>
      </c>
      <c r="C31" s="23" t="s">
        <v>25</v>
      </c>
      <c r="D31" s="23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34"/>
      <c r="AY31" s="34"/>
      <c r="AZ31" s="34"/>
      <c r="BA31" s="34"/>
      <c r="BB31" s="28"/>
      <c r="BC31" s="27"/>
      <c r="BD31" s="27"/>
      <c r="BE31" s="27"/>
      <c r="BF31" s="27"/>
      <c r="BG31" s="27"/>
      <c r="BH31" s="27"/>
      <c r="BI31" s="27"/>
      <c r="BJ31" s="27"/>
      <c r="BK31" s="27"/>
      <c r="BL31" s="26">
        <f t="shared" si="0"/>
        <v>0</v>
      </c>
      <c r="BM31" s="35"/>
      <c r="BN31" s="36"/>
      <c r="BO31" s="36"/>
      <c r="BP31" s="36"/>
      <c r="BQ31" s="36"/>
      <c r="BR31" s="35"/>
      <c r="BS31" s="28"/>
    </row>
    <row r="32" spans="1:71" ht="18" customHeight="1" thickBot="1" x14ac:dyDescent="0.3">
      <c r="A32" s="185"/>
      <c r="B32" s="107" t="s">
        <v>35</v>
      </c>
      <c r="C32" s="23" t="s">
        <v>28</v>
      </c>
      <c r="D32" s="23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34"/>
      <c r="AY32" s="34"/>
      <c r="AZ32" s="34"/>
      <c r="BA32" s="34"/>
      <c r="BB32" s="28"/>
      <c r="BC32" s="27"/>
      <c r="BD32" s="27"/>
      <c r="BE32" s="27"/>
      <c r="BF32" s="27"/>
      <c r="BG32" s="27"/>
      <c r="BH32" s="27"/>
      <c r="BI32" s="27"/>
      <c r="BJ32" s="27"/>
      <c r="BK32" s="27"/>
      <c r="BL32" s="26">
        <f t="shared" si="0"/>
        <v>0</v>
      </c>
      <c r="BM32" s="36"/>
      <c r="BN32" s="35"/>
      <c r="BO32" s="36"/>
      <c r="BP32" s="36"/>
      <c r="BQ32" s="36"/>
      <c r="BR32" s="36"/>
      <c r="BS32" s="28"/>
    </row>
    <row r="33" spans="1:71" ht="16.5" customHeight="1" thickBot="1" x14ac:dyDescent="0.3">
      <c r="A33" s="185"/>
      <c r="B33" s="107" t="s">
        <v>35</v>
      </c>
      <c r="C33" s="23" t="s">
        <v>29</v>
      </c>
      <c r="D33" s="23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34"/>
      <c r="AY33" s="34"/>
      <c r="AZ33" s="34"/>
      <c r="BA33" s="34"/>
      <c r="BB33" s="28"/>
      <c r="BC33" s="27"/>
      <c r="BD33" s="27"/>
      <c r="BE33" s="27"/>
      <c r="BF33" s="27"/>
      <c r="BG33" s="27"/>
      <c r="BH33" s="27"/>
      <c r="BI33" s="27"/>
      <c r="BJ33" s="27"/>
      <c r="BK33" s="27"/>
      <c r="BL33" s="26">
        <f t="shared" si="0"/>
        <v>0</v>
      </c>
      <c r="BM33" s="36"/>
      <c r="BN33" s="36"/>
      <c r="BO33" s="35"/>
      <c r="BP33" s="35"/>
      <c r="BQ33" s="35"/>
      <c r="BR33" s="36"/>
      <c r="BS33" s="28"/>
    </row>
    <row r="34" spans="1:71" ht="16.5" customHeight="1" thickBot="1" x14ac:dyDescent="0.3">
      <c r="A34" s="21"/>
      <c r="B34" s="107" t="s">
        <v>35</v>
      </c>
      <c r="C34" s="49" t="s">
        <v>30</v>
      </c>
      <c r="D34" s="77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24"/>
      <c r="AY34" s="24"/>
      <c r="AZ34" s="24"/>
      <c r="BA34" s="24"/>
      <c r="BB34" s="32"/>
      <c r="BC34" s="73"/>
      <c r="BD34" s="73"/>
      <c r="BE34" s="73"/>
      <c r="BF34" s="73"/>
      <c r="BG34" s="73"/>
      <c r="BH34" s="73"/>
      <c r="BI34" s="73"/>
      <c r="BJ34" s="73"/>
      <c r="BK34" s="73"/>
      <c r="BL34" s="26">
        <f t="shared" si="0"/>
        <v>0</v>
      </c>
      <c r="BO34" s="75"/>
      <c r="BP34" s="75"/>
      <c r="BQ34" s="75"/>
      <c r="BS34" s="32"/>
    </row>
    <row r="35" spans="1:71" ht="17.25" customHeight="1" x14ac:dyDescent="0.25">
      <c r="A35" s="21"/>
      <c r="B35" s="107" t="s">
        <v>35</v>
      </c>
      <c r="C35" s="77" t="s">
        <v>31</v>
      </c>
      <c r="D35" s="77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24"/>
      <c r="AY35" s="24"/>
      <c r="AZ35" s="24"/>
      <c r="BA35" s="24"/>
      <c r="BB35" s="32"/>
      <c r="BC35" s="73"/>
      <c r="BD35" s="73"/>
      <c r="BE35" s="73"/>
      <c r="BF35" s="73"/>
      <c r="BG35" s="73"/>
      <c r="BH35" s="73"/>
      <c r="BI35" s="73"/>
      <c r="BJ35" s="73"/>
      <c r="BK35" s="73"/>
      <c r="BL35" s="26">
        <f t="shared" si="0"/>
        <v>0</v>
      </c>
      <c r="BO35" s="75"/>
      <c r="BP35" s="75"/>
      <c r="BQ35" s="75"/>
      <c r="BS35" s="32"/>
    </row>
    <row r="36" spans="1:71" ht="16.5" thickBot="1" x14ac:dyDescent="0.3">
      <c r="A36" s="108"/>
      <c r="B36" s="109" t="s">
        <v>26</v>
      </c>
      <c r="C36" s="110"/>
      <c r="D36" s="60">
        <f>SUM(D30:D35)</f>
        <v>0</v>
      </c>
      <c r="E36" s="60">
        <f>SUM(E30:E35)</f>
        <v>0</v>
      </c>
      <c r="F36" s="60">
        <f t="shared" ref="F36:BL36" si="44">SUM(F30:F35)</f>
        <v>0</v>
      </c>
      <c r="G36" s="60">
        <f t="shared" si="44"/>
        <v>0</v>
      </c>
      <c r="H36" s="60">
        <f t="shared" si="44"/>
        <v>0</v>
      </c>
      <c r="I36" s="60">
        <f t="shared" si="44"/>
        <v>0</v>
      </c>
      <c r="J36" s="60">
        <f t="shared" si="44"/>
        <v>0</v>
      </c>
      <c r="K36" s="60">
        <f t="shared" si="44"/>
        <v>0</v>
      </c>
      <c r="L36" s="60">
        <f t="shared" si="44"/>
        <v>0</v>
      </c>
      <c r="M36" s="60">
        <f t="shared" si="44"/>
        <v>0</v>
      </c>
      <c r="N36" s="60">
        <f t="shared" si="44"/>
        <v>0</v>
      </c>
      <c r="O36" s="60">
        <f t="shared" si="44"/>
        <v>0</v>
      </c>
      <c r="P36" s="60">
        <f t="shared" si="44"/>
        <v>0</v>
      </c>
      <c r="Q36" s="60">
        <f t="shared" si="44"/>
        <v>0</v>
      </c>
      <c r="R36" s="60">
        <f t="shared" si="44"/>
        <v>0</v>
      </c>
      <c r="S36" s="60">
        <f t="shared" si="44"/>
        <v>0</v>
      </c>
      <c r="T36" s="60">
        <f t="shared" si="44"/>
        <v>0</v>
      </c>
      <c r="U36" s="60">
        <f t="shared" si="44"/>
        <v>0</v>
      </c>
      <c r="V36" s="60">
        <f t="shared" si="44"/>
        <v>0</v>
      </c>
      <c r="W36" s="60">
        <f t="shared" si="44"/>
        <v>0</v>
      </c>
      <c r="X36" s="60">
        <f t="shared" si="44"/>
        <v>0</v>
      </c>
      <c r="Y36" s="60">
        <f t="shared" si="44"/>
        <v>0</v>
      </c>
      <c r="Z36" s="60">
        <f t="shared" si="44"/>
        <v>0</v>
      </c>
      <c r="AA36" s="60">
        <f t="shared" si="44"/>
        <v>0</v>
      </c>
      <c r="AB36" s="60">
        <f t="shared" si="44"/>
        <v>0</v>
      </c>
      <c r="AC36" s="60">
        <f t="shared" si="44"/>
        <v>0</v>
      </c>
      <c r="AD36" s="60">
        <f t="shared" si="44"/>
        <v>0</v>
      </c>
      <c r="AE36" s="60">
        <f t="shared" si="44"/>
        <v>0</v>
      </c>
      <c r="AF36" s="60">
        <f t="shared" si="44"/>
        <v>0</v>
      </c>
      <c r="AG36" s="60">
        <f t="shared" si="44"/>
        <v>0</v>
      </c>
      <c r="AH36" s="60">
        <f t="shared" si="44"/>
        <v>0</v>
      </c>
      <c r="AI36" s="60">
        <f t="shared" si="44"/>
        <v>0</v>
      </c>
      <c r="AJ36" s="60">
        <f t="shared" si="44"/>
        <v>0</v>
      </c>
      <c r="AK36" s="60">
        <f t="shared" si="44"/>
        <v>0</v>
      </c>
      <c r="AL36" s="60">
        <f t="shared" si="44"/>
        <v>0</v>
      </c>
      <c r="AM36" s="60">
        <f t="shared" si="44"/>
        <v>0</v>
      </c>
      <c r="AN36" s="60">
        <f t="shared" si="44"/>
        <v>0</v>
      </c>
      <c r="AO36" s="60">
        <f t="shared" si="44"/>
        <v>0</v>
      </c>
      <c r="AP36" s="60">
        <f t="shared" si="44"/>
        <v>0</v>
      </c>
      <c r="AQ36" s="60">
        <f t="shared" si="44"/>
        <v>0</v>
      </c>
      <c r="AR36" s="60">
        <f t="shared" si="44"/>
        <v>0</v>
      </c>
      <c r="AS36" s="60">
        <f t="shared" si="44"/>
        <v>0</v>
      </c>
      <c r="AT36" s="60">
        <f t="shared" si="44"/>
        <v>0</v>
      </c>
      <c r="AU36" s="60">
        <f t="shared" si="44"/>
        <v>0</v>
      </c>
      <c r="AV36" s="60">
        <f t="shared" si="44"/>
        <v>0</v>
      </c>
      <c r="AW36" s="60">
        <f t="shared" si="44"/>
        <v>0</v>
      </c>
      <c r="AX36" s="60">
        <f t="shared" si="44"/>
        <v>0</v>
      </c>
      <c r="AY36" s="60">
        <f t="shared" si="44"/>
        <v>0</v>
      </c>
      <c r="AZ36" s="60">
        <f t="shared" si="44"/>
        <v>0</v>
      </c>
      <c r="BA36" s="60">
        <f t="shared" si="44"/>
        <v>0</v>
      </c>
      <c r="BB36" s="60">
        <f t="shared" si="44"/>
        <v>0</v>
      </c>
      <c r="BC36" s="60">
        <f t="shared" si="44"/>
        <v>0</v>
      </c>
      <c r="BD36" s="60">
        <f t="shared" si="44"/>
        <v>0</v>
      </c>
      <c r="BE36" s="60">
        <f t="shared" si="44"/>
        <v>0</v>
      </c>
      <c r="BF36" s="60">
        <f t="shared" si="44"/>
        <v>0</v>
      </c>
      <c r="BG36" s="60">
        <f t="shared" si="44"/>
        <v>0</v>
      </c>
      <c r="BH36" s="60">
        <f t="shared" si="44"/>
        <v>0</v>
      </c>
      <c r="BI36" s="60">
        <f t="shared" si="44"/>
        <v>0</v>
      </c>
      <c r="BJ36" s="60">
        <f t="shared" si="44"/>
        <v>0</v>
      </c>
      <c r="BK36" s="60">
        <f t="shared" si="44"/>
        <v>0</v>
      </c>
      <c r="BL36" s="60">
        <f t="shared" si="44"/>
        <v>0</v>
      </c>
      <c r="BM36" s="87"/>
      <c r="BN36" s="87"/>
      <c r="BO36" s="87"/>
      <c r="BP36" s="87"/>
      <c r="BQ36" s="87"/>
      <c r="BR36" s="87"/>
      <c r="BS36" s="87"/>
    </row>
    <row r="37" spans="1:71" ht="17.25" customHeight="1" thickBot="1" x14ac:dyDescent="0.3">
      <c r="A37" s="185">
        <v>6</v>
      </c>
      <c r="B37" s="107" t="s">
        <v>36</v>
      </c>
      <c r="C37" s="23" t="s">
        <v>24</v>
      </c>
      <c r="D37" s="77"/>
      <c r="G37" s="24"/>
      <c r="H37">
        <v>336000</v>
      </c>
      <c r="J37" s="24"/>
      <c r="L37" s="24"/>
      <c r="M37">
        <v>347200</v>
      </c>
      <c r="N37" s="24"/>
      <c r="P37">
        <v>112000</v>
      </c>
      <c r="R37">
        <v>117600</v>
      </c>
      <c r="T37">
        <v>336000</v>
      </c>
      <c r="U37">
        <v>113040</v>
      </c>
      <c r="X37">
        <v>56000</v>
      </c>
      <c r="AD37">
        <v>29600</v>
      </c>
      <c r="AF37">
        <v>67200</v>
      </c>
      <c r="AH37">
        <v>56000</v>
      </c>
      <c r="AL37">
        <v>280000</v>
      </c>
      <c r="AV37">
        <v>112000</v>
      </c>
      <c r="AW37" s="28"/>
      <c r="AX37" s="24"/>
      <c r="AZ37" s="24"/>
      <c r="BA37" s="24"/>
      <c r="BC37" s="24"/>
      <c r="BD37" s="24"/>
      <c r="BF37" s="24"/>
      <c r="BG37" s="24"/>
      <c r="BH37" s="24"/>
      <c r="BI37" s="24"/>
      <c r="BJ37" s="24"/>
      <c r="BK37" s="33"/>
      <c r="BL37" s="26">
        <f t="shared" si="0"/>
        <v>1962640</v>
      </c>
      <c r="BM37" s="27"/>
      <c r="BN37" s="27"/>
      <c r="BO37" s="27"/>
      <c r="BP37" s="27"/>
      <c r="BQ37" s="27"/>
      <c r="BR37" s="27"/>
      <c r="BS37" s="28"/>
    </row>
    <row r="38" spans="1:71" ht="21" customHeight="1" thickBot="1" x14ac:dyDescent="0.3">
      <c r="A38" s="185"/>
      <c r="B38" s="107" t="s">
        <v>36</v>
      </c>
      <c r="C38" s="23" t="s">
        <v>25</v>
      </c>
      <c r="D38" s="23"/>
      <c r="E38" s="28"/>
      <c r="F38" s="28"/>
      <c r="G38" s="28"/>
      <c r="H38" s="28">
        <f>73920+10080</f>
        <v>84000</v>
      </c>
      <c r="I38" s="28"/>
      <c r="J38" s="28"/>
      <c r="K38" s="28"/>
      <c r="L38" s="28"/>
      <c r="M38" s="28">
        <f>76384+10416</f>
        <v>86800</v>
      </c>
      <c r="N38" s="28"/>
      <c r="O38" s="28"/>
      <c r="P38" s="31">
        <f>24640+3360</f>
        <v>28000</v>
      </c>
      <c r="Q38" s="31"/>
      <c r="R38" s="28">
        <f>25872+3528</f>
        <v>29400</v>
      </c>
      <c r="S38" s="28"/>
      <c r="T38" s="28">
        <f>73920+10080</f>
        <v>84000</v>
      </c>
      <c r="U38" s="114">
        <f>24868.8+3391.2</f>
        <v>28260</v>
      </c>
      <c r="V38" s="114"/>
      <c r="W38" s="114"/>
      <c r="X38" s="114">
        <f>12320+1680</f>
        <v>14000</v>
      </c>
      <c r="Y38" s="28"/>
      <c r="Z38" s="28"/>
      <c r="AA38" s="28"/>
      <c r="AB38" s="28"/>
      <c r="AC38" s="28"/>
      <c r="AD38" s="26">
        <f>6512+888</f>
        <v>7400</v>
      </c>
      <c r="AE38" s="28"/>
      <c r="AF38" s="28">
        <f>14784+2016</f>
        <v>16800</v>
      </c>
      <c r="AG38" s="28"/>
      <c r="AH38" s="28">
        <f>12320+1680</f>
        <v>14000</v>
      </c>
      <c r="AI38" s="28"/>
      <c r="AJ38" s="28"/>
      <c r="AK38" s="28"/>
      <c r="AL38" s="28">
        <f>61600+8400</f>
        <v>70000</v>
      </c>
      <c r="AM38" s="28"/>
      <c r="AN38" s="28"/>
      <c r="AO38" s="28"/>
      <c r="AP38" s="28"/>
      <c r="AR38" s="28"/>
      <c r="AS38" s="28"/>
      <c r="AT38" s="28"/>
      <c r="AU38" s="28"/>
      <c r="AV38" s="28">
        <f>24640+3360</f>
        <v>28000</v>
      </c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6">
        <f t="shared" si="0"/>
        <v>490660</v>
      </c>
      <c r="BM38" s="35"/>
      <c r="BN38" s="36"/>
      <c r="BO38" s="36"/>
      <c r="BP38" s="36"/>
      <c r="BQ38" s="36"/>
      <c r="BR38" s="35"/>
      <c r="BS38" s="28"/>
    </row>
    <row r="39" spans="1:71" ht="21" customHeight="1" thickBot="1" x14ac:dyDescent="0.3">
      <c r="A39" s="185"/>
      <c r="B39" s="107" t="s">
        <v>36</v>
      </c>
      <c r="C39" s="23" t="s">
        <v>28</v>
      </c>
      <c r="D39" s="23"/>
      <c r="E39" s="28"/>
      <c r="F39" s="28"/>
      <c r="G39" s="28"/>
      <c r="H39" s="28">
        <v>6000</v>
      </c>
      <c r="I39" s="28"/>
      <c r="J39" s="28"/>
      <c r="K39" s="28"/>
      <c r="L39" s="28"/>
      <c r="M39" s="28">
        <v>6000</v>
      </c>
      <c r="N39" s="28"/>
      <c r="O39" s="28"/>
      <c r="P39" s="31">
        <v>2000</v>
      </c>
      <c r="Q39" s="31"/>
      <c r="R39" s="28">
        <v>2000</v>
      </c>
      <c r="S39" s="28"/>
      <c r="T39" s="28">
        <v>6000</v>
      </c>
      <c r="U39" s="114">
        <v>2000</v>
      </c>
      <c r="V39" s="114"/>
      <c r="W39" s="114"/>
      <c r="X39" s="114">
        <v>1000</v>
      </c>
      <c r="Y39" s="28"/>
      <c r="Z39" s="28"/>
      <c r="AA39" s="28"/>
      <c r="AB39" s="28"/>
      <c r="AC39" s="28"/>
      <c r="AD39" s="26">
        <v>1000</v>
      </c>
      <c r="AE39" s="28"/>
      <c r="AF39" s="28">
        <v>1000</v>
      </c>
      <c r="AG39" s="28"/>
      <c r="AH39" s="28">
        <v>1000</v>
      </c>
      <c r="AI39" s="28"/>
      <c r="AJ39" s="28"/>
      <c r="AK39" s="28"/>
      <c r="AL39" s="28">
        <v>5000</v>
      </c>
      <c r="AM39" s="28"/>
      <c r="AN39" s="28"/>
      <c r="AO39" s="28"/>
      <c r="AP39" s="28"/>
      <c r="AR39" s="28"/>
      <c r="AS39" s="28"/>
      <c r="AT39" s="28"/>
      <c r="AU39" s="28"/>
      <c r="AV39" s="28">
        <v>2000</v>
      </c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6">
        <f t="shared" si="0"/>
        <v>35000</v>
      </c>
      <c r="BM39" s="36"/>
      <c r="BN39" s="35"/>
      <c r="BO39" s="36"/>
      <c r="BP39" s="36"/>
      <c r="BQ39" s="36"/>
      <c r="BR39" s="36"/>
      <c r="BS39" s="28"/>
    </row>
    <row r="40" spans="1:71" ht="19.5" customHeight="1" thickBot="1" x14ac:dyDescent="0.3">
      <c r="A40" s="185"/>
      <c r="B40" s="107" t="s">
        <v>36</v>
      </c>
      <c r="C40" s="23" t="s">
        <v>29</v>
      </c>
      <c r="D40" s="23"/>
      <c r="E40" s="28"/>
      <c r="F40" s="28"/>
      <c r="G40" s="28"/>
      <c r="H40" s="28">
        <v>1987.5</v>
      </c>
      <c r="I40" s="28"/>
      <c r="J40" s="28"/>
      <c r="K40" s="28"/>
      <c r="L40" s="28"/>
      <c r="M40" s="28">
        <v>2650</v>
      </c>
      <c r="N40" s="28"/>
      <c r="O40" s="28"/>
      <c r="P40" s="31">
        <v>662.5</v>
      </c>
      <c r="Q40" s="31"/>
      <c r="R40" s="28">
        <v>993.75</v>
      </c>
      <c r="S40" s="28"/>
      <c r="T40" s="28">
        <v>1987.5</v>
      </c>
      <c r="U40" s="114">
        <v>662.5</v>
      </c>
      <c r="V40" s="114"/>
      <c r="W40" s="114"/>
      <c r="X40" s="114">
        <v>331.25</v>
      </c>
      <c r="Y40" s="28"/>
      <c r="Z40" s="28"/>
      <c r="AA40" s="28"/>
      <c r="AB40" s="28"/>
      <c r="AC40" s="28"/>
      <c r="AD40" s="26">
        <v>662.5</v>
      </c>
      <c r="AE40" s="28"/>
      <c r="AF40" s="28">
        <v>993.75</v>
      </c>
      <c r="AG40" s="28"/>
      <c r="AH40" s="28">
        <v>331.25</v>
      </c>
      <c r="AI40" s="28"/>
      <c r="AJ40" s="28"/>
      <c r="AK40" s="28"/>
      <c r="AL40" s="28">
        <v>1656.25</v>
      </c>
      <c r="AM40" s="28"/>
      <c r="AN40" s="28"/>
      <c r="AO40" s="28"/>
      <c r="AP40" s="28"/>
      <c r="AR40" s="28"/>
      <c r="AS40" s="28"/>
      <c r="AT40" s="28"/>
      <c r="AU40" s="28"/>
      <c r="AV40" s="28">
        <v>662.5</v>
      </c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6">
        <f t="shared" si="0"/>
        <v>13581.25</v>
      </c>
      <c r="BM40" s="36"/>
      <c r="BN40" s="36"/>
      <c r="BO40" s="35"/>
      <c r="BP40" s="35"/>
      <c r="BQ40" s="35"/>
      <c r="BR40" s="36"/>
      <c r="BS40" s="28"/>
    </row>
    <row r="41" spans="1:71" ht="24" customHeight="1" thickBot="1" x14ac:dyDescent="0.3">
      <c r="A41" s="21"/>
      <c r="B41" s="107" t="s">
        <v>36</v>
      </c>
      <c r="C41" s="49" t="s">
        <v>30</v>
      </c>
      <c r="D41" s="77"/>
      <c r="E41" s="32"/>
      <c r="F41" s="32"/>
      <c r="G41" s="32"/>
      <c r="H41" s="32">
        <v>0</v>
      </c>
      <c r="I41" s="32"/>
      <c r="J41" s="32"/>
      <c r="K41" s="32"/>
      <c r="L41" s="32"/>
      <c r="M41" s="32">
        <v>0</v>
      </c>
      <c r="N41" s="32"/>
      <c r="O41" s="32"/>
      <c r="P41" s="52">
        <v>0</v>
      </c>
      <c r="Q41" s="52"/>
      <c r="R41" s="32">
        <v>0</v>
      </c>
      <c r="S41" s="32"/>
      <c r="T41" s="32">
        <v>0</v>
      </c>
      <c r="U41" s="115">
        <v>0</v>
      </c>
      <c r="V41" s="115"/>
      <c r="W41" s="115"/>
      <c r="X41" s="32">
        <v>0</v>
      </c>
      <c r="Y41" s="32"/>
      <c r="Z41" s="32"/>
      <c r="AA41" s="32"/>
      <c r="AB41" s="32"/>
      <c r="AC41" s="32"/>
      <c r="AD41" s="87">
        <v>0</v>
      </c>
      <c r="AE41" s="32"/>
      <c r="AF41" s="32">
        <v>0</v>
      </c>
      <c r="AG41" s="32"/>
      <c r="AH41" s="32">
        <v>0</v>
      </c>
      <c r="AI41" s="32"/>
      <c r="AJ41" s="32"/>
      <c r="AK41" s="32"/>
      <c r="AL41" s="32">
        <v>0</v>
      </c>
      <c r="AM41" s="32"/>
      <c r="AN41" s="32"/>
      <c r="AO41" s="32"/>
      <c r="AP41" s="32"/>
      <c r="AR41" s="32"/>
      <c r="AS41" s="32"/>
      <c r="AT41" s="32"/>
      <c r="AU41" s="32"/>
      <c r="AV41" s="32">
        <v>0</v>
      </c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26">
        <f t="shared" si="0"/>
        <v>0</v>
      </c>
      <c r="BO41" s="75"/>
      <c r="BP41" s="75"/>
      <c r="BQ41" s="75"/>
      <c r="BS41" s="32"/>
    </row>
    <row r="42" spans="1:71" ht="22.5" customHeight="1" x14ac:dyDescent="0.25">
      <c r="A42" s="21"/>
      <c r="B42" s="107" t="s">
        <v>36</v>
      </c>
      <c r="C42" s="77" t="s">
        <v>31</v>
      </c>
      <c r="D42" s="77"/>
      <c r="E42" s="32"/>
      <c r="F42" s="32"/>
      <c r="G42" s="32"/>
      <c r="H42" s="32">
        <v>112.5</v>
      </c>
      <c r="I42" s="32"/>
      <c r="J42" s="32"/>
      <c r="K42" s="32"/>
      <c r="L42" s="32"/>
      <c r="M42" s="32">
        <v>150</v>
      </c>
      <c r="N42" s="32"/>
      <c r="O42" s="32"/>
      <c r="P42" s="52">
        <v>37.5</v>
      </c>
      <c r="Q42" s="52"/>
      <c r="R42" s="32">
        <v>56.25</v>
      </c>
      <c r="S42" s="32"/>
      <c r="T42" s="32">
        <v>112.5</v>
      </c>
      <c r="U42" s="115">
        <v>37.5</v>
      </c>
      <c r="V42" s="115"/>
      <c r="W42" s="115"/>
      <c r="X42" s="115">
        <v>18.75</v>
      </c>
      <c r="Y42" s="32"/>
      <c r="Z42" s="32"/>
      <c r="AA42" s="32"/>
      <c r="AB42" s="32"/>
      <c r="AC42" s="32"/>
      <c r="AD42" s="87">
        <v>37.5</v>
      </c>
      <c r="AE42" s="32"/>
      <c r="AF42" s="32">
        <v>56.25</v>
      </c>
      <c r="AG42" s="32"/>
      <c r="AH42" s="32">
        <v>18.75</v>
      </c>
      <c r="AI42" s="32"/>
      <c r="AJ42" s="32"/>
      <c r="AK42" s="32"/>
      <c r="AL42" s="32">
        <v>93.75</v>
      </c>
      <c r="AM42" s="32"/>
      <c r="AN42" s="32"/>
      <c r="AO42" s="32"/>
      <c r="AP42" s="32"/>
      <c r="AR42" s="32"/>
      <c r="AS42" s="32"/>
      <c r="AT42" s="32"/>
      <c r="AU42" s="32"/>
      <c r="AV42" s="32">
        <v>37.5</v>
      </c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26">
        <f t="shared" si="0"/>
        <v>768.75</v>
      </c>
      <c r="BO42" s="75"/>
      <c r="BP42" s="75"/>
      <c r="BQ42" s="75"/>
      <c r="BS42" s="32"/>
    </row>
    <row r="43" spans="1:71" ht="16.5" thickBot="1" x14ac:dyDescent="0.3">
      <c r="A43" s="88"/>
      <c r="B43" s="116" t="s">
        <v>26</v>
      </c>
      <c r="C43" s="117"/>
      <c r="D43" s="60">
        <f>SUM(D37:D42)</f>
        <v>0</v>
      </c>
      <c r="E43" s="60">
        <f>SUM(E37:E42)</f>
        <v>0</v>
      </c>
      <c r="F43" s="60">
        <f t="shared" ref="F43:BK43" si="45">SUM(F37:F42)</f>
        <v>0</v>
      </c>
      <c r="G43" s="60">
        <f t="shared" si="45"/>
        <v>0</v>
      </c>
      <c r="H43" s="60">
        <f t="shared" si="45"/>
        <v>428100</v>
      </c>
      <c r="I43" s="60">
        <f t="shared" si="45"/>
        <v>0</v>
      </c>
      <c r="J43" s="60">
        <f t="shared" si="45"/>
        <v>0</v>
      </c>
      <c r="K43" s="60">
        <f t="shared" si="45"/>
        <v>0</v>
      </c>
      <c r="L43" s="60">
        <f t="shared" si="45"/>
        <v>0</v>
      </c>
      <c r="M43" s="60">
        <f t="shared" si="45"/>
        <v>442800</v>
      </c>
      <c r="N43" s="60">
        <f t="shared" si="45"/>
        <v>0</v>
      </c>
      <c r="O43" s="60">
        <f t="shared" si="45"/>
        <v>0</v>
      </c>
      <c r="P43" s="60">
        <f t="shared" si="45"/>
        <v>142700</v>
      </c>
      <c r="Q43" s="60">
        <f t="shared" si="45"/>
        <v>0</v>
      </c>
      <c r="R43" s="60">
        <f t="shared" si="45"/>
        <v>150050</v>
      </c>
      <c r="S43" s="60">
        <f t="shared" si="45"/>
        <v>0</v>
      </c>
      <c r="T43" s="60">
        <f t="shared" si="45"/>
        <v>428100</v>
      </c>
      <c r="U43" s="60">
        <f t="shared" si="45"/>
        <v>144000</v>
      </c>
      <c r="V43" s="60">
        <f t="shared" si="45"/>
        <v>0</v>
      </c>
      <c r="W43" s="60">
        <f t="shared" si="45"/>
        <v>0</v>
      </c>
      <c r="X43" s="60">
        <f t="shared" si="45"/>
        <v>71350</v>
      </c>
      <c r="Y43" s="60">
        <f t="shared" si="45"/>
        <v>0</v>
      </c>
      <c r="Z43" s="60">
        <f t="shared" si="45"/>
        <v>0</v>
      </c>
      <c r="AA43" s="60">
        <f t="shared" si="45"/>
        <v>0</v>
      </c>
      <c r="AB43" s="60">
        <f t="shared" si="45"/>
        <v>0</v>
      </c>
      <c r="AC43" s="60">
        <f t="shared" si="45"/>
        <v>0</v>
      </c>
      <c r="AD43" s="60">
        <f t="shared" si="45"/>
        <v>38700</v>
      </c>
      <c r="AE43" s="60">
        <f t="shared" si="45"/>
        <v>0</v>
      </c>
      <c r="AF43" s="60">
        <f t="shared" si="45"/>
        <v>86050</v>
      </c>
      <c r="AG43" s="60">
        <f t="shared" si="45"/>
        <v>0</v>
      </c>
      <c r="AH43" s="60">
        <f t="shared" si="45"/>
        <v>71350</v>
      </c>
      <c r="AI43" s="60">
        <f t="shared" si="45"/>
        <v>0</v>
      </c>
      <c r="AJ43" s="60">
        <f t="shared" si="45"/>
        <v>0</v>
      </c>
      <c r="AK43" s="60">
        <f t="shared" si="45"/>
        <v>0</v>
      </c>
      <c r="AL43" s="60">
        <f t="shared" si="45"/>
        <v>356750</v>
      </c>
      <c r="AM43" s="60">
        <f t="shared" si="45"/>
        <v>0</v>
      </c>
      <c r="AN43" s="60">
        <f t="shared" si="45"/>
        <v>0</v>
      </c>
      <c r="AO43" s="60">
        <f t="shared" si="45"/>
        <v>0</v>
      </c>
      <c r="AP43" s="60">
        <f t="shared" si="45"/>
        <v>0</v>
      </c>
      <c r="AQ43" s="60">
        <f t="shared" si="45"/>
        <v>0</v>
      </c>
      <c r="AR43" s="60">
        <f t="shared" si="45"/>
        <v>0</v>
      </c>
      <c r="AS43" s="60">
        <f t="shared" si="45"/>
        <v>0</v>
      </c>
      <c r="AT43" s="60">
        <f t="shared" si="45"/>
        <v>0</v>
      </c>
      <c r="AU43" s="60">
        <f t="shared" si="45"/>
        <v>0</v>
      </c>
      <c r="AV43" s="60">
        <f t="shared" si="45"/>
        <v>142700</v>
      </c>
      <c r="AW43" s="60">
        <f t="shared" si="45"/>
        <v>0</v>
      </c>
      <c r="AX43" s="60">
        <f t="shared" si="45"/>
        <v>0</v>
      </c>
      <c r="AY43" s="60">
        <f t="shared" si="45"/>
        <v>0</v>
      </c>
      <c r="AZ43" s="60">
        <f t="shared" si="45"/>
        <v>0</v>
      </c>
      <c r="BA43" s="60">
        <f t="shared" si="45"/>
        <v>0</v>
      </c>
      <c r="BB43" s="60">
        <f t="shared" si="45"/>
        <v>0</v>
      </c>
      <c r="BC43" s="60">
        <f t="shared" si="45"/>
        <v>0</v>
      </c>
      <c r="BD43" s="60">
        <f t="shared" si="45"/>
        <v>0</v>
      </c>
      <c r="BE43" s="60">
        <f t="shared" si="45"/>
        <v>0</v>
      </c>
      <c r="BF43" s="60">
        <f t="shared" si="45"/>
        <v>0</v>
      </c>
      <c r="BG43" s="60">
        <f t="shared" si="45"/>
        <v>0</v>
      </c>
      <c r="BH43" s="60">
        <f t="shared" si="45"/>
        <v>0</v>
      </c>
      <c r="BI43" s="60">
        <f t="shared" si="45"/>
        <v>0</v>
      </c>
      <c r="BJ43" s="60">
        <f t="shared" si="45"/>
        <v>0</v>
      </c>
      <c r="BK43" s="60">
        <f t="shared" si="45"/>
        <v>0</v>
      </c>
      <c r="BL43" s="60">
        <f>SUM(BL37:BL42)</f>
        <v>2502650</v>
      </c>
      <c r="BM43" s="106"/>
      <c r="BN43" s="106"/>
      <c r="BO43" s="106"/>
      <c r="BP43" s="106"/>
      <c r="BQ43" s="106"/>
      <c r="BR43" s="106"/>
      <c r="BS43" s="106"/>
    </row>
    <row r="44" spans="1:71" ht="26.25" customHeight="1" thickBot="1" x14ac:dyDescent="0.3">
      <c r="A44" s="185">
        <v>7</v>
      </c>
      <c r="B44" s="107" t="s">
        <v>37</v>
      </c>
      <c r="C44" s="23" t="s">
        <v>24</v>
      </c>
      <c r="D44" s="23"/>
      <c r="E44" s="119"/>
      <c r="F44" s="119"/>
      <c r="G44" s="119"/>
      <c r="H44" s="119"/>
      <c r="J44" s="119"/>
      <c r="K44" s="119"/>
      <c r="L44" s="119"/>
      <c r="N44" s="119"/>
      <c r="Q44">
        <v>143280</v>
      </c>
      <c r="R44" s="119"/>
      <c r="T44" s="119"/>
      <c r="U44">
        <v>40480</v>
      </c>
      <c r="W44" s="119"/>
      <c r="X44" s="119"/>
      <c r="Y44">
        <v>62320</v>
      </c>
      <c r="Z44" s="119"/>
      <c r="AA44" s="119"/>
      <c r="AB44" s="119"/>
      <c r="AC44">
        <v>40480</v>
      </c>
      <c r="AD44" s="119"/>
      <c r="AE44" s="119"/>
      <c r="AG44" s="119"/>
      <c r="AH44" s="119"/>
      <c r="AK44" s="120"/>
      <c r="AM44" s="119"/>
      <c r="AN44" s="119"/>
      <c r="AO44">
        <v>14640</v>
      </c>
      <c r="AP44" s="119"/>
      <c r="AQ44" s="119"/>
      <c r="AR44" s="119"/>
      <c r="AT44" s="119"/>
      <c r="AV44" s="119"/>
      <c r="AX44" s="122"/>
      <c r="AY44" s="122"/>
      <c r="AZ44" s="122"/>
      <c r="BA44" s="122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26">
        <f t="shared" si="0"/>
        <v>301200</v>
      </c>
      <c r="BM44" s="27"/>
      <c r="BN44" s="27"/>
      <c r="BO44" s="27"/>
      <c r="BP44" s="27"/>
      <c r="BQ44" s="27"/>
      <c r="BR44" s="27"/>
      <c r="BS44" s="28"/>
    </row>
    <row r="45" spans="1:71" ht="21" customHeight="1" thickBot="1" x14ac:dyDescent="0.3">
      <c r="A45" s="185"/>
      <c r="B45" s="107" t="s">
        <v>37</v>
      </c>
      <c r="C45" s="23" t="s">
        <v>25</v>
      </c>
      <c r="D45" s="23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>
        <f>31521.6+4298.4</f>
        <v>35820</v>
      </c>
      <c r="R45" s="28"/>
      <c r="S45" s="28"/>
      <c r="T45" s="28"/>
      <c r="U45" s="67">
        <f>8905.6+1214.4</f>
        <v>10120</v>
      </c>
      <c r="V45" s="28"/>
      <c r="W45" s="28"/>
      <c r="X45" s="28"/>
      <c r="Y45" s="28">
        <f>13710.4+1869.6</f>
        <v>15580</v>
      </c>
      <c r="Z45" s="28"/>
      <c r="AA45" s="28"/>
      <c r="AB45" s="28"/>
      <c r="AC45" s="28">
        <f>8905.6+1214.4</f>
        <v>10120</v>
      </c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>
        <f>3220.8+439.2</f>
        <v>3660</v>
      </c>
      <c r="AP45" s="28"/>
      <c r="AQ45" s="28"/>
      <c r="AR45" s="28"/>
      <c r="AS45" s="28"/>
      <c r="AT45" s="28"/>
      <c r="AU45" s="28"/>
      <c r="AV45" s="28"/>
      <c r="AW45" s="28"/>
      <c r="AX45" s="34"/>
      <c r="AY45" s="34"/>
      <c r="AZ45" s="34"/>
      <c r="BA45" s="34"/>
      <c r="BB45" s="28"/>
      <c r="BC45" s="27"/>
      <c r="BD45" s="27"/>
      <c r="BE45" s="27"/>
      <c r="BF45" s="27"/>
      <c r="BG45" s="27"/>
      <c r="BH45" s="27"/>
      <c r="BI45" s="27"/>
      <c r="BJ45" s="27"/>
      <c r="BK45" s="27"/>
      <c r="BL45" s="26">
        <f t="shared" si="0"/>
        <v>75300</v>
      </c>
      <c r="BM45" s="35"/>
      <c r="BN45" s="36"/>
      <c r="BO45" s="36"/>
      <c r="BP45" s="36"/>
      <c r="BQ45" s="36"/>
      <c r="BR45" s="35"/>
      <c r="BS45" s="28"/>
    </row>
    <row r="46" spans="1:71" ht="19.5" customHeight="1" thickBot="1" x14ac:dyDescent="0.3">
      <c r="A46" s="185"/>
      <c r="B46" s="107" t="s">
        <v>37</v>
      </c>
      <c r="C46" s="23" t="s">
        <v>28</v>
      </c>
      <c r="D46" s="23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>
        <v>7000</v>
      </c>
      <c r="R46" s="28"/>
      <c r="S46" s="28"/>
      <c r="T46" s="28"/>
      <c r="U46" s="67">
        <v>2000</v>
      </c>
      <c r="V46" s="28"/>
      <c r="W46" s="28"/>
      <c r="X46" s="28"/>
      <c r="Y46" s="28">
        <v>3000</v>
      </c>
      <c r="Z46" s="28"/>
      <c r="AA46" s="28"/>
      <c r="AB46" s="28"/>
      <c r="AC46" s="28">
        <v>2000</v>
      </c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>
        <v>1000</v>
      </c>
      <c r="AP46" s="28"/>
      <c r="AQ46" s="28"/>
      <c r="AR46" s="28"/>
      <c r="AS46" s="28"/>
      <c r="AT46" s="28"/>
      <c r="AU46" s="28"/>
      <c r="AV46" s="28"/>
      <c r="AW46" s="28"/>
      <c r="AX46" s="34"/>
      <c r="AY46" s="34"/>
      <c r="AZ46" s="34"/>
      <c r="BA46" s="34"/>
      <c r="BB46" s="28"/>
      <c r="BC46" s="27"/>
      <c r="BD46" s="27"/>
      <c r="BE46" s="27"/>
      <c r="BF46" s="27"/>
      <c r="BG46" s="27"/>
      <c r="BH46" s="27"/>
      <c r="BI46" s="27"/>
      <c r="BJ46" s="27"/>
      <c r="BK46" s="27"/>
      <c r="BL46" s="26">
        <f t="shared" si="0"/>
        <v>15000</v>
      </c>
      <c r="BM46" s="36"/>
      <c r="BN46" s="35"/>
      <c r="BO46" s="36"/>
      <c r="BP46" s="36"/>
      <c r="BQ46" s="36"/>
      <c r="BR46" s="36"/>
      <c r="BS46" s="28"/>
    </row>
    <row r="47" spans="1:71" ht="19.5" customHeight="1" thickBot="1" x14ac:dyDescent="0.3">
      <c r="A47" s="185"/>
      <c r="B47" s="124" t="s">
        <v>37</v>
      </c>
      <c r="C47" s="23" t="s">
        <v>29</v>
      </c>
      <c r="D47" s="23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>
        <v>2318.75</v>
      </c>
      <c r="R47" s="28"/>
      <c r="S47" s="28"/>
      <c r="T47" s="28"/>
      <c r="U47" s="67">
        <v>662.5</v>
      </c>
      <c r="V47" s="28"/>
      <c r="W47" s="28"/>
      <c r="X47" s="28"/>
      <c r="Y47" s="28">
        <v>993.75</v>
      </c>
      <c r="Z47" s="28"/>
      <c r="AA47" s="28"/>
      <c r="AB47" s="28"/>
      <c r="AC47" s="28">
        <v>662.5</v>
      </c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>
        <v>331.25</v>
      </c>
      <c r="AP47" s="28"/>
      <c r="AQ47" s="28"/>
      <c r="AR47" s="28"/>
      <c r="AS47" s="28"/>
      <c r="AT47" s="28"/>
      <c r="AU47" s="28"/>
      <c r="AV47" s="28"/>
      <c r="AW47" s="28"/>
      <c r="AX47" s="34"/>
      <c r="AY47" s="34"/>
      <c r="AZ47" s="34"/>
      <c r="BA47" s="34"/>
      <c r="BB47" s="28"/>
      <c r="BC47" s="27"/>
      <c r="BD47" s="27"/>
      <c r="BE47" s="27"/>
      <c r="BF47" s="27"/>
      <c r="BG47" s="27"/>
      <c r="BH47" s="27"/>
      <c r="BI47" s="27"/>
      <c r="BJ47" s="27"/>
      <c r="BK47" s="27"/>
      <c r="BL47" s="26">
        <f t="shared" si="0"/>
        <v>4968.75</v>
      </c>
      <c r="BM47" s="36"/>
      <c r="BN47" s="36"/>
      <c r="BO47" s="35"/>
      <c r="BP47" s="35"/>
      <c r="BQ47" s="35"/>
      <c r="BR47" s="36"/>
      <c r="BS47" s="28"/>
    </row>
    <row r="48" spans="1:71" ht="21" customHeight="1" thickBot="1" x14ac:dyDescent="0.3">
      <c r="A48" s="21"/>
      <c r="B48" s="124" t="s">
        <v>37</v>
      </c>
      <c r="C48" s="49" t="s">
        <v>30</v>
      </c>
      <c r="D48" s="77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>
        <v>0</v>
      </c>
      <c r="R48" s="32"/>
      <c r="S48" s="32"/>
      <c r="T48" s="32"/>
      <c r="U48" s="76">
        <v>0</v>
      </c>
      <c r="V48" s="32"/>
      <c r="W48" s="32"/>
      <c r="X48" s="32"/>
      <c r="Y48" s="32">
        <v>0</v>
      </c>
      <c r="Z48" s="32"/>
      <c r="AA48" s="32"/>
      <c r="AB48" s="32"/>
      <c r="AC48" s="32">
        <v>0</v>
      </c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>
        <v>0</v>
      </c>
      <c r="AP48" s="32"/>
      <c r="AQ48" s="32"/>
      <c r="AR48" s="32"/>
      <c r="AS48" s="32"/>
      <c r="AT48" s="32"/>
      <c r="AU48" s="32"/>
      <c r="AV48" s="32"/>
      <c r="AW48" s="32"/>
      <c r="AX48" s="24"/>
      <c r="AY48" s="24"/>
      <c r="AZ48" s="24"/>
      <c r="BA48" s="24"/>
      <c r="BB48" s="32"/>
      <c r="BC48" s="73"/>
      <c r="BD48" s="73"/>
      <c r="BE48" s="73"/>
      <c r="BF48" s="73"/>
      <c r="BG48" s="73"/>
      <c r="BH48" s="73"/>
      <c r="BI48" s="73"/>
      <c r="BJ48" s="73"/>
      <c r="BK48" s="73"/>
      <c r="BL48" s="26">
        <f t="shared" si="0"/>
        <v>0</v>
      </c>
      <c r="BO48" s="75"/>
      <c r="BP48" s="75"/>
      <c r="BQ48" s="75"/>
      <c r="BS48" s="32"/>
    </row>
    <row r="49" spans="1:71" ht="18" customHeight="1" thickBot="1" x14ac:dyDescent="0.3">
      <c r="A49" s="21"/>
      <c r="B49" s="124" t="s">
        <v>37</v>
      </c>
      <c r="C49" s="77" t="s">
        <v>31</v>
      </c>
      <c r="D49" s="77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>
        <v>131.25</v>
      </c>
      <c r="R49" s="32"/>
      <c r="S49" s="32"/>
      <c r="T49" s="32"/>
      <c r="U49" s="76">
        <v>37.5</v>
      </c>
      <c r="V49" s="32"/>
      <c r="W49" s="32"/>
      <c r="X49" s="32"/>
      <c r="Y49" s="32">
        <v>56.25</v>
      </c>
      <c r="Z49" s="32"/>
      <c r="AA49" s="32"/>
      <c r="AB49" s="32"/>
      <c r="AC49" s="32">
        <v>37.5</v>
      </c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>
        <v>18.75</v>
      </c>
      <c r="AP49" s="32"/>
      <c r="AQ49" s="32"/>
      <c r="AR49" s="32"/>
      <c r="AS49" s="32"/>
      <c r="AT49" s="32"/>
      <c r="AU49" s="32"/>
      <c r="AV49" s="32"/>
      <c r="AW49" s="32"/>
      <c r="AX49" s="24"/>
      <c r="AY49" s="24"/>
      <c r="AZ49" s="24"/>
      <c r="BA49" s="24"/>
      <c r="BB49" s="32"/>
      <c r="BC49" s="73"/>
      <c r="BD49" s="73"/>
      <c r="BE49" s="73"/>
      <c r="BF49" s="73"/>
      <c r="BG49" s="73"/>
      <c r="BH49" s="73"/>
      <c r="BI49" s="73"/>
      <c r="BJ49" s="73"/>
      <c r="BK49" s="73"/>
      <c r="BL49" s="26">
        <f t="shared" si="0"/>
        <v>281.25</v>
      </c>
      <c r="BO49" s="75"/>
      <c r="BP49" s="75"/>
      <c r="BQ49" s="75"/>
      <c r="BS49" s="32"/>
    </row>
    <row r="50" spans="1:71" ht="16.5" thickBot="1" x14ac:dyDescent="0.3">
      <c r="A50" s="88"/>
      <c r="B50" s="116" t="s">
        <v>26</v>
      </c>
      <c r="C50" s="117"/>
      <c r="D50" s="60">
        <f>SUM(D44:D49)</f>
        <v>0</v>
      </c>
      <c r="E50" s="60">
        <f>SUM(E44:E49)</f>
        <v>0</v>
      </c>
      <c r="F50" s="60">
        <f t="shared" ref="F50:BK50" si="46">SUM(F44:F49)</f>
        <v>0</v>
      </c>
      <c r="G50" s="60">
        <f t="shared" si="46"/>
        <v>0</v>
      </c>
      <c r="H50" s="60">
        <f t="shared" si="46"/>
        <v>0</v>
      </c>
      <c r="I50" s="60">
        <f t="shared" si="46"/>
        <v>0</v>
      </c>
      <c r="J50" s="60">
        <f t="shared" si="46"/>
        <v>0</v>
      </c>
      <c r="K50" s="60">
        <f t="shared" si="46"/>
        <v>0</v>
      </c>
      <c r="L50" s="60">
        <f t="shared" si="46"/>
        <v>0</v>
      </c>
      <c r="M50" s="60">
        <f t="shared" si="46"/>
        <v>0</v>
      </c>
      <c r="N50" s="60">
        <f t="shared" si="46"/>
        <v>0</v>
      </c>
      <c r="O50" s="60">
        <f t="shared" si="46"/>
        <v>0</v>
      </c>
      <c r="P50" s="60">
        <f t="shared" si="46"/>
        <v>0</v>
      </c>
      <c r="Q50" s="60">
        <f t="shared" si="46"/>
        <v>188550</v>
      </c>
      <c r="R50" s="60">
        <f t="shared" si="46"/>
        <v>0</v>
      </c>
      <c r="S50" s="60">
        <f t="shared" si="46"/>
        <v>0</v>
      </c>
      <c r="T50" s="60">
        <f t="shared" si="46"/>
        <v>0</v>
      </c>
      <c r="U50" s="60">
        <f t="shared" si="46"/>
        <v>53300</v>
      </c>
      <c r="V50" s="60">
        <f t="shared" si="46"/>
        <v>0</v>
      </c>
      <c r="W50" s="60">
        <f t="shared" si="46"/>
        <v>0</v>
      </c>
      <c r="X50" s="60">
        <f t="shared" si="46"/>
        <v>0</v>
      </c>
      <c r="Y50" s="60">
        <f t="shared" si="46"/>
        <v>81950</v>
      </c>
      <c r="Z50" s="60">
        <f t="shared" si="46"/>
        <v>0</v>
      </c>
      <c r="AA50" s="60">
        <f t="shared" si="46"/>
        <v>0</v>
      </c>
      <c r="AB50" s="60">
        <f t="shared" si="46"/>
        <v>0</v>
      </c>
      <c r="AC50" s="60">
        <f t="shared" si="46"/>
        <v>53300</v>
      </c>
      <c r="AD50" s="60">
        <f t="shared" si="46"/>
        <v>0</v>
      </c>
      <c r="AE50" s="60">
        <f t="shared" si="46"/>
        <v>0</v>
      </c>
      <c r="AF50" s="60">
        <f t="shared" si="46"/>
        <v>0</v>
      </c>
      <c r="AG50" s="60">
        <f t="shared" si="46"/>
        <v>0</v>
      </c>
      <c r="AH50" s="60">
        <f t="shared" si="46"/>
        <v>0</v>
      </c>
      <c r="AI50" s="60">
        <f t="shared" si="46"/>
        <v>0</v>
      </c>
      <c r="AJ50" s="60">
        <f t="shared" si="46"/>
        <v>0</v>
      </c>
      <c r="AK50" s="60">
        <f t="shared" si="46"/>
        <v>0</v>
      </c>
      <c r="AL50" s="60">
        <f t="shared" si="46"/>
        <v>0</v>
      </c>
      <c r="AM50" s="60">
        <f t="shared" si="46"/>
        <v>0</v>
      </c>
      <c r="AN50" s="60">
        <f t="shared" si="46"/>
        <v>0</v>
      </c>
      <c r="AO50" s="60">
        <f t="shared" si="46"/>
        <v>19650</v>
      </c>
      <c r="AP50" s="60">
        <f t="shared" si="46"/>
        <v>0</v>
      </c>
      <c r="AQ50" s="60">
        <f t="shared" si="46"/>
        <v>0</v>
      </c>
      <c r="AR50" s="60">
        <f t="shared" si="46"/>
        <v>0</v>
      </c>
      <c r="AS50" s="60">
        <f t="shared" si="46"/>
        <v>0</v>
      </c>
      <c r="AT50" s="60">
        <f t="shared" si="46"/>
        <v>0</v>
      </c>
      <c r="AU50" s="60">
        <f t="shared" si="46"/>
        <v>0</v>
      </c>
      <c r="AV50" s="60">
        <f t="shared" si="46"/>
        <v>0</v>
      </c>
      <c r="AW50" s="60">
        <f t="shared" si="46"/>
        <v>0</v>
      </c>
      <c r="AX50" s="60">
        <f t="shared" si="46"/>
        <v>0</v>
      </c>
      <c r="AY50" s="60">
        <f t="shared" si="46"/>
        <v>0</v>
      </c>
      <c r="AZ50" s="60">
        <f t="shared" si="46"/>
        <v>0</v>
      </c>
      <c r="BA50" s="60">
        <f t="shared" si="46"/>
        <v>0</v>
      </c>
      <c r="BB50" s="60">
        <f t="shared" si="46"/>
        <v>0</v>
      </c>
      <c r="BC50" s="60">
        <f t="shared" si="46"/>
        <v>0</v>
      </c>
      <c r="BD50" s="60">
        <f t="shared" si="46"/>
        <v>0</v>
      </c>
      <c r="BE50" s="60">
        <f t="shared" si="46"/>
        <v>0</v>
      </c>
      <c r="BF50" s="60">
        <f t="shared" si="46"/>
        <v>0</v>
      </c>
      <c r="BG50" s="60">
        <f t="shared" si="46"/>
        <v>0</v>
      </c>
      <c r="BH50" s="60">
        <f t="shared" si="46"/>
        <v>0</v>
      </c>
      <c r="BI50" s="60">
        <f t="shared" si="46"/>
        <v>0</v>
      </c>
      <c r="BJ50" s="60">
        <f t="shared" si="46"/>
        <v>0</v>
      </c>
      <c r="BK50" s="60">
        <f t="shared" si="46"/>
        <v>0</v>
      </c>
      <c r="BL50" s="60">
        <f>SUM(BL44:BL49)</f>
        <v>396750</v>
      </c>
      <c r="BM50" s="106"/>
      <c r="BN50" s="106"/>
      <c r="BO50" s="106"/>
      <c r="BP50" s="106"/>
      <c r="BQ50" s="106"/>
      <c r="BR50" s="106"/>
      <c r="BS50" s="106"/>
    </row>
    <row r="51" spans="1:71" ht="14.25" customHeight="1" thickBot="1" x14ac:dyDescent="0.3">
      <c r="A51" s="185">
        <v>8</v>
      </c>
      <c r="B51" s="107" t="s">
        <v>38</v>
      </c>
      <c r="C51" s="23" t="s">
        <v>24</v>
      </c>
      <c r="D51" s="77"/>
      <c r="E51">
        <v>314600</v>
      </c>
      <c r="G51">
        <v>218600</v>
      </c>
      <c r="H51" s="24"/>
      <c r="I51">
        <v>81040</v>
      </c>
      <c r="N51" s="24"/>
      <c r="O51" s="24"/>
      <c r="Q51">
        <v>194080</v>
      </c>
      <c r="S51">
        <v>56520</v>
      </c>
      <c r="W51">
        <v>152520</v>
      </c>
      <c r="AD51" s="24"/>
      <c r="AE51">
        <v>226080</v>
      </c>
      <c r="AF51" s="24"/>
      <c r="AG51" s="24"/>
      <c r="AI51">
        <v>331640</v>
      </c>
      <c r="AK51" s="24"/>
      <c r="AO51">
        <v>24520</v>
      </c>
      <c r="AR51" s="24"/>
      <c r="AS51">
        <v>162080</v>
      </c>
      <c r="AV51">
        <v>241040</v>
      </c>
      <c r="AY51" s="24"/>
      <c r="BB51" s="28"/>
      <c r="BK51" s="24"/>
      <c r="BL51" s="26">
        <f>SUM(E51:BK51)</f>
        <v>2002720</v>
      </c>
      <c r="BM51" s="27"/>
      <c r="BN51" s="27"/>
      <c r="BO51" s="27"/>
      <c r="BP51" s="27"/>
      <c r="BQ51" s="27"/>
      <c r="BR51" s="27"/>
      <c r="BS51" s="28"/>
    </row>
    <row r="52" spans="1:71" ht="18" customHeight="1" thickBot="1" x14ac:dyDescent="0.3">
      <c r="A52" s="185"/>
      <c r="B52" s="107" t="s">
        <v>38</v>
      </c>
      <c r="C52" s="23" t="s">
        <v>25</v>
      </c>
      <c r="D52" s="77"/>
      <c r="E52">
        <f>69212+9438</f>
        <v>78650</v>
      </c>
      <c r="G52" s="28">
        <f>48092+6558</f>
        <v>54650</v>
      </c>
      <c r="H52" s="28"/>
      <c r="I52" s="28">
        <f>17828.8+2431.2</f>
        <v>20260</v>
      </c>
      <c r="J52" s="28"/>
      <c r="K52" s="28"/>
      <c r="L52" s="28"/>
      <c r="M52" s="28"/>
      <c r="N52" s="28"/>
      <c r="O52" s="28"/>
      <c r="P52" s="28"/>
      <c r="Q52" s="28">
        <f>42697.6+5822.4</f>
        <v>48520</v>
      </c>
      <c r="R52" s="28"/>
      <c r="S52" s="28">
        <f>12434.4+1695.6</f>
        <v>14130</v>
      </c>
      <c r="T52" s="28"/>
      <c r="U52" s="67"/>
      <c r="V52" s="28"/>
      <c r="W52" s="28">
        <f>33554.4+4575.6</f>
        <v>38130</v>
      </c>
      <c r="X52" s="28"/>
      <c r="Y52" s="28"/>
      <c r="Z52" s="28"/>
      <c r="AA52" s="28"/>
      <c r="AB52" s="28"/>
      <c r="AC52" s="28"/>
      <c r="AD52" s="28"/>
      <c r="AE52" s="28">
        <f>49737.6+6782.4</f>
        <v>56520</v>
      </c>
      <c r="AF52" s="28"/>
      <c r="AG52" s="28"/>
      <c r="AH52" s="28"/>
      <c r="AI52" s="28">
        <f>72960.8+9949.2</f>
        <v>82910</v>
      </c>
      <c r="AJ52" s="28"/>
      <c r="AK52" s="28"/>
      <c r="AL52" s="28"/>
      <c r="AM52" s="28"/>
      <c r="AN52" s="28"/>
      <c r="AO52" s="28">
        <f>5394.4+735.6</f>
        <v>6130</v>
      </c>
      <c r="AP52" s="28"/>
      <c r="AQ52" s="28"/>
      <c r="AR52" s="28"/>
      <c r="AS52" s="28">
        <f>35657.6+4862.4</f>
        <v>40520</v>
      </c>
      <c r="AT52" s="28"/>
      <c r="AV52" s="28">
        <f>53028.8+7231.2</f>
        <v>60260</v>
      </c>
      <c r="AW52" s="28"/>
      <c r="AX52" s="34"/>
      <c r="AY52" s="34"/>
      <c r="AZ52" s="34"/>
      <c r="BA52" s="34"/>
      <c r="BB52" s="28"/>
      <c r="BC52" s="27"/>
      <c r="BD52" s="27"/>
      <c r="BE52" s="27"/>
      <c r="BF52" s="27"/>
      <c r="BG52" s="27"/>
      <c r="BH52" s="27"/>
      <c r="BJ52" s="27"/>
      <c r="BK52" s="27"/>
      <c r="BL52" s="26">
        <f t="shared" ref="BL52:BL56" si="47">SUM(E52:BK52)</f>
        <v>500680</v>
      </c>
      <c r="BM52" s="35"/>
      <c r="BN52" s="36"/>
      <c r="BO52" s="36"/>
      <c r="BP52" s="36"/>
      <c r="BQ52" s="36"/>
      <c r="BR52" s="35"/>
      <c r="BS52" s="28"/>
    </row>
    <row r="53" spans="1:71" ht="17.25" customHeight="1" thickBot="1" x14ac:dyDescent="0.3">
      <c r="A53" s="185"/>
      <c r="B53" s="107" t="s">
        <v>38</v>
      </c>
      <c r="C53" s="23" t="s">
        <v>28</v>
      </c>
      <c r="D53" s="77"/>
      <c r="E53">
        <v>5000</v>
      </c>
      <c r="G53" s="28">
        <v>5000</v>
      </c>
      <c r="H53" s="28"/>
      <c r="I53" s="28">
        <v>2000</v>
      </c>
      <c r="J53" s="28"/>
      <c r="K53" s="28"/>
      <c r="L53" s="28"/>
      <c r="M53" s="28"/>
      <c r="N53" s="28"/>
      <c r="O53" s="28"/>
      <c r="P53" s="28"/>
      <c r="Q53" s="28">
        <v>4000</v>
      </c>
      <c r="R53" s="28"/>
      <c r="S53" s="28">
        <v>1000</v>
      </c>
      <c r="T53" s="28"/>
      <c r="U53" s="67"/>
      <c r="V53" s="28"/>
      <c r="W53" s="28">
        <v>1000</v>
      </c>
      <c r="X53" s="28"/>
      <c r="Y53" s="28"/>
      <c r="Z53" s="28"/>
      <c r="AA53" s="28"/>
      <c r="AB53" s="28"/>
      <c r="AC53" s="28"/>
      <c r="AD53" s="28"/>
      <c r="AE53" s="28">
        <v>4000</v>
      </c>
      <c r="AF53" s="28"/>
      <c r="AG53" s="28"/>
      <c r="AH53" s="28"/>
      <c r="AI53" s="28">
        <v>7000</v>
      </c>
      <c r="AJ53" s="28"/>
      <c r="AK53" s="28"/>
      <c r="AL53" s="28"/>
      <c r="AM53" s="28"/>
      <c r="AN53" s="28"/>
      <c r="AO53" s="28">
        <v>1000</v>
      </c>
      <c r="AP53" s="28"/>
      <c r="AQ53" s="28"/>
      <c r="AR53" s="28"/>
      <c r="AS53" s="28">
        <v>4000</v>
      </c>
      <c r="AT53" s="28"/>
      <c r="AV53" s="28">
        <v>2000</v>
      </c>
      <c r="AW53" s="28"/>
      <c r="AX53" s="34"/>
      <c r="AY53" s="34"/>
      <c r="AZ53" s="34"/>
      <c r="BA53" s="34"/>
      <c r="BB53" s="28"/>
      <c r="BC53" s="27"/>
      <c r="BD53" s="27"/>
      <c r="BE53" s="27"/>
      <c r="BF53" s="27"/>
      <c r="BG53" s="27"/>
      <c r="BH53" s="27"/>
      <c r="BI53" s="27"/>
      <c r="BJ53" s="27"/>
      <c r="BK53" s="27"/>
      <c r="BL53" s="26">
        <f t="shared" si="47"/>
        <v>36000</v>
      </c>
      <c r="BM53" s="36"/>
      <c r="BN53" s="35"/>
      <c r="BO53" s="36"/>
      <c r="BP53" s="36"/>
      <c r="BQ53" s="36"/>
      <c r="BR53" s="36"/>
      <c r="BS53" s="28"/>
    </row>
    <row r="54" spans="1:71" ht="20.25" customHeight="1" thickBot="1" x14ac:dyDescent="0.3">
      <c r="A54" s="185"/>
      <c r="B54" s="107" t="s">
        <v>38</v>
      </c>
      <c r="C54" s="39" t="s">
        <v>29</v>
      </c>
      <c r="D54" s="77"/>
      <c r="E54">
        <v>1656.25</v>
      </c>
      <c r="G54" s="28">
        <v>1656.25</v>
      </c>
      <c r="H54" s="28"/>
      <c r="I54" s="28">
        <v>662.5</v>
      </c>
      <c r="J54" s="28"/>
      <c r="K54" s="28"/>
      <c r="L54" s="28"/>
      <c r="M54" s="28"/>
      <c r="N54" s="28"/>
      <c r="O54" s="28"/>
      <c r="P54" s="28"/>
      <c r="Q54" s="28">
        <v>1325</v>
      </c>
      <c r="R54" s="28"/>
      <c r="S54" s="28">
        <v>331.25</v>
      </c>
      <c r="T54" s="28"/>
      <c r="U54" s="67"/>
      <c r="V54" s="28"/>
      <c r="W54" s="28">
        <v>331.25</v>
      </c>
      <c r="X54" s="28"/>
      <c r="Y54" s="28"/>
      <c r="Z54" s="28"/>
      <c r="AA54" s="28"/>
      <c r="AB54" s="28"/>
      <c r="AC54" s="28"/>
      <c r="AD54" s="28"/>
      <c r="AE54" s="28">
        <v>1325</v>
      </c>
      <c r="AF54" s="28"/>
      <c r="AG54" s="28"/>
      <c r="AH54" s="28"/>
      <c r="AI54" s="28">
        <v>2318.75</v>
      </c>
      <c r="AJ54" s="28"/>
      <c r="AK54" s="28"/>
      <c r="AL54" s="28"/>
      <c r="AM54" s="28"/>
      <c r="AN54" s="28"/>
      <c r="AO54" s="28">
        <v>331.25</v>
      </c>
      <c r="AP54" s="28"/>
      <c r="AQ54" s="28"/>
      <c r="AR54" s="28"/>
      <c r="AS54" s="28">
        <v>1325</v>
      </c>
      <c r="AT54" s="28"/>
      <c r="AV54" s="28">
        <v>662.5</v>
      </c>
      <c r="AW54" s="28"/>
      <c r="AX54" s="34"/>
      <c r="AY54" s="34"/>
      <c r="AZ54" s="34"/>
      <c r="BA54" s="34"/>
      <c r="BB54" s="28"/>
      <c r="BC54" s="27"/>
      <c r="BD54" s="27"/>
      <c r="BE54" s="27"/>
      <c r="BF54" s="27"/>
      <c r="BG54" s="27"/>
      <c r="BH54" s="27"/>
      <c r="BI54" s="27"/>
      <c r="BJ54" s="27"/>
      <c r="BK54" s="27"/>
      <c r="BL54" s="26">
        <f t="shared" si="47"/>
        <v>11925</v>
      </c>
      <c r="BM54" s="36"/>
      <c r="BN54" s="36"/>
      <c r="BO54" s="35"/>
      <c r="BP54" s="35"/>
      <c r="BQ54" s="35"/>
      <c r="BR54" s="36"/>
      <c r="BS54" s="28"/>
    </row>
    <row r="55" spans="1:71" ht="24.75" customHeight="1" thickBot="1" x14ac:dyDescent="0.3">
      <c r="A55" s="21"/>
      <c r="B55" s="107" t="s">
        <v>38</v>
      </c>
      <c r="C55" s="49" t="s">
        <v>30</v>
      </c>
      <c r="D55" s="77"/>
      <c r="G55" s="32">
        <v>0</v>
      </c>
      <c r="H55" s="32"/>
      <c r="I55" s="32">
        <v>0</v>
      </c>
      <c r="J55" s="32"/>
      <c r="K55" s="32"/>
      <c r="L55" s="32"/>
      <c r="M55" s="32"/>
      <c r="N55" s="32"/>
      <c r="O55" s="32"/>
      <c r="P55" s="32"/>
      <c r="Q55" s="32">
        <v>0</v>
      </c>
      <c r="R55" s="32"/>
      <c r="S55" s="32">
        <v>0</v>
      </c>
      <c r="T55" s="32"/>
      <c r="U55" s="76"/>
      <c r="V55" s="32"/>
      <c r="W55" s="32">
        <v>0</v>
      </c>
      <c r="X55" s="32"/>
      <c r="Y55" s="32"/>
      <c r="Z55" s="32"/>
      <c r="AA55" s="32"/>
      <c r="AB55" s="32"/>
      <c r="AC55" s="32"/>
      <c r="AD55" s="32"/>
      <c r="AE55" s="32">
        <v>0</v>
      </c>
      <c r="AF55" s="32"/>
      <c r="AG55" s="32"/>
      <c r="AH55" s="32"/>
      <c r="AI55" s="32">
        <v>0</v>
      </c>
      <c r="AJ55" s="32"/>
      <c r="AK55" s="32"/>
      <c r="AL55" s="32"/>
      <c r="AM55" s="32"/>
      <c r="AN55" s="32"/>
      <c r="AO55" s="32">
        <v>0</v>
      </c>
      <c r="AP55" s="32"/>
      <c r="AQ55" s="32"/>
      <c r="AR55" s="32"/>
      <c r="AS55" s="32">
        <v>0</v>
      </c>
      <c r="AT55" s="32"/>
      <c r="AV55" s="32">
        <v>0</v>
      </c>
      <c r="AW55" s="32"/>
      <c r="AX55" s="24"/>
      <c r="AY55" s="24"/>
      <c r="AZ55" s="32"/>
      <c r="BA55" s="32"/>
      <c r="BB55" s="32"/>
      <c r="BC55" s="73"/>
      <c r="BD55" s="73"/>
      <c r="BE55" s="73"/>
      <c r="BF55" s="73"/>
      <c r="BG55" s="73"/>
      <c r="BH55" s="73"/>
      <c r="BI55" s="73"/>
      <c r="BJ55" s="73"/>
      <c r="BK55" s="73"/>
      <c r="BL55" s="26">
        <f t="shared" si="47"/>
        <v>0</v>
      </c>
      <c r="BO55" s="75"/>
      <c r="BP55" s="75"/>
      <c r="BQ55" s="75"/>
      <c r="BS55" s="32"/>
    </row>
    <row r="56" spans="1:71" ht="15.75" x14ac:dyDescent="0.25">
      <c r="A56" s="21"/>
      <c r="B56" s="107" t="s">
        <v>38</v>
      </c>
      <c r="C56" s="49" t="s">
        <v>31</v>
      </c>
      <c r="D56" s="77"/>
      <c r="E56">
        <v>93.75</v>
      </c>
      <c r="G56" s="32">
        <v>93.75</v>
      </c>
      <c r="H56" s="32"/>
      <c r="I56" s="32">
        <v>37.5</v>
      </c>
      <c r="J56" s="32"/>
      <c r="K56" s="32"/>
      <c r="L56" s="32"/>
      <c r="M56" s="32"/>
      <c r="N56" s="32"/>
      <c r="O56" s="32"/>
      <c r="P56" s="32"/>
      <c r="Q56" s="32">
        <v>75</v>
      </c>
      <c r="R56" s="32"/>
      <c r="S56" s="32">
        <v>18.75</v>
      </c>
      <c r="T56" s="32"/>
      <c r="U56" s="76"/>
      <c r="V56" s="32"/>
      <c r="W56" s="32">
        <v>18.75</v>
      </c>
      <c r="X56" s="32"/>
      <c r="Y56" s="32"/>
      <c r="Z56" s="32"/>
      <c r="AA56" s="32"/>
      <c r="AB56" s="32"/>
      <c r="AC56" s="32"/>
      <c r="AD56" s="32"/>
      <c r="AE56" s="32">
        <v>75</v>
      </c>
      <c r="AF56" s="32"/>
      <c r="AG56" s="32"/>
      <c r="AH56" s="32"/>
      <c r="AI56" s="32">
        <v>131.25</v>
      </c>
      <c r="AJ56" s="32"/>
      <c r="AK56" s="32"/>
      <c r="AL56" s="32"/>
      <c r="AM56" s="32"/>
      <c r="AN56" s="32"/>
      <c r="AO56" s="32">
        <v>18.75</v>
      </c>
      <c r="AP56" s="32"/>
      <c r="AQ56" s="32"/>
      <c r="AR56" s="32"/>
      <c r="AS56" s="32">
        <v>75</v>
      </c>
      <c r="AT56" s="32"/>
      <c r="AV56" s="32">
        <v>37.5</v>
      </c>
      <c r="AW56" s="32"/>
      <c r="AX56" s="24"/>
      <c r="AY56" s="24"/>
      <c r="AZ56" s="32"/>
      <c r="BA56" s="32"/>
      <c r="BB56" s="32"/>
      <c r="BC56" s="73"/>
      <c r="BD56" s="73"/>
      <c r="BE56" s="73"/>
      <c r="BF56" s="73"/>
      <c r="BG56" s="73"/>
      <c r="BH56" s="73"/>
      <c r="BI56" s="73"/>
      <c r="BJ56" s="73"/>
      <c r="BK56" s="73"/>
      <c r="BL56" s="26">
        <f t="shared" si="47"/>
        <v>675</v>
      </c>
      <c r="BO56" s="75"/>
      <c r="BP56" s="75"/>
      <c r="BQ56" s="75"/>
      <c r="BS56" s="32"/>
    </row>
    <row r="57" spans="1:71" ht="16.5" thickBot="1" x14ac:dyDescent="0.3">
      <c r="A57" s="88"/>
      <c r="B57" s="116" t="s">
        <v>26</v>
      </c>
      <c r="C57" s="117"/>
      <c r="D57" s="60">
        <f>SUM(D51:D56)</f>
        <v>0</v>
      </c>
      <c r="E57" s="60">
        <f>SUM(E51:E56)</f>
        <v>400000</v>
      </c>
      <c r="F57" s="60">
        <f t="shared" ref="F57:BK57" si="48">SUM(F51:F56)</f>
        <v>0</v>
      </c>
      <c r="G57" s="60">
        <f t="shared" si="48"/>
        <v>280000</v>
      </c>
      <c r="H57" s="60">
        <f t="shared" si="48"/>
        <v>0</v>
      </c>
      <c r="I57" s="60">
        <f>SUM(I51:I56)</f>
        <v>104000</v>
      </c>
      <c r="J57" s="60">
        <f t="shared" si="48"/>
        <v>0</v>
      </c>
      <c r="K57" s="60">
        <f t="shared" si="48"/>
        <v>0</v>
      </c>
      <c r="L57" s="60">
        <f t="shared" si="48"/>
        <v>0</v>
      </c>
      <c r="M57" s="60">
        <f t="shared" si="48"/>
        <v>0</v>
      </c>
      <c r="N57" s="60">
        <f t="shared" si="48"/>
        <v>0</v>
      </c>
      <c r="O57" s="60">
        <f t="shared" si="48"/>
        <v>0</v>
      </c>
      <c r="P57" s="60">
        <f t="shared" si="48"/>
        <v>0</v>
      </c>
      <c r="Q57" s="60">
        <f t="shared" si="48"/>
        <v>248000</v>
      </c>
      <c r="R57" s="60">
        <f t="shared" si="48"/>
        <v>0</v>
      </c>
      <c r="S57" s="60">
        <f t="shared" si="48"/>
        <v>72000</v>
      </c>
      <c r="T57" s="60">
        <f t="shared" si="48"/>
        <v>0</v>
      </c>
      <c r="U57" s="60">
        <f t="shared" si="48"/>
        <v>0</v>
      </c>
      <c r="V57" s="60">
        <f t="shared" si="48"/>
        <v>0</v>
      </c>
      <c r="W57" s="60">
        <f t="shared" si="48"/>
        <v>192000</v>
      </c>
      <c r="X57" s="60">
        <f t="shared" si="48"/>
        <v>0</v>
      </c>
      <c r="Y57" s="60">
        <f t="shared" si="48"/>
        <v>0</v>
      </c>
      <c r="Z57" s="60">
        <f t="shared" si="48"/>
        <v>0</v>
      </c>
      <c r="AA57" s="60">
        <f t="shared" si="48"/>
        <v>0</v>
      </c>
      <c r="AB57" s="60">
        <f t="shared" si="48"/>
        <v>0</v>
      </c>
      <c r="AC57" s="60">
        <f t="shared" si="48"/>
        <v>0</v>
      </c>
      <c r="AD57" s="60">
        <f t="shared" si="48"/>
        <v>0</v>
      </c>
      <c r="AE57" s="60">
        <f t="shared" si="48"/>
        <v>288000</v>
      </c>
      <c r="AF57" s="60">
        <f t="shared" si="48"/>
        <v>0</v>
      </c>
      <c r="AG57" s="60">
        <f t="shared" si="48"/>
        <v>0</v>
      </c>
      <c r="AH57" s="60">
        <f t="shared" si="48"/>
        <v>0</v>
      </c>
      <c r="AI57" s="60">
        <f t="shared" si="48"/>
        <v>424000</v>
      </c>
      <c r="AJ57" s="60">
        <f t="shared" si="48"/>
        <v>0</v>
      </c>
      <c r="AK57" s="60">
        <f t="shared" si="48"/>
        <v>0</v>
      </c>
      <c r="AL57" s="60">
        <f t="shared" si="48"/>
        <v>0</v>
      </c>
      <c r="AM57" s="60">
        <f t="shared" si="48"/>
        <v>0</v>
      </c>
      <c r="AN57" s="60">
        <f t="shared" si="48"/>
        <v>0</v>
      </c>
      <c r="AO57" s="60">
        <f t="shared" si="48"/>
        <v>32000</v>
      </c>
      <c r="AP57" s="60">
        <f t="shared" si="48"/>
        <v>0</v>
      </c>
      <c r="AQ57" s="60">
        <f t="shared" si="48"/>
        <v>0</v>
      </c>
      <c r="AR57" s="60">
        <f t="shared" si="48"/>
        <v>0</v>
      </c>
      <c r="AS57" s="60">
        <f t="shared" si="48"/>
        <v>208000</v>
      </c>
      <c r="AT57" s="60">
        <f t="shared" si="48"/>
        <v>0</v>
      </c>
      <c r="AU57" s="60">
        <f t="shared" si="48"/>
        <v>0</v>
      </c>
      <c r="AV57" s="60">
        <f t="shared" si="48"/>
        <v>304000</v>
      </c>
      <c r="AW57" s="60">
        <f t="shared" si="48"/>
        <v>0</v>
      </c>
      <c r="AX57" s="60">
        <f t="shared" si="48"/>
        <v>0</v>
      </c>
      <c r="AY57" s="60">
        <f t="shared" si="48"/>
        <v>0</v>
      </c>
      <c r="AZ57" s="60">
        <f t="shared" si="48"/>
        <v>0</v>
      </c>
      <c r="BA57" s="60">
        <f t="shared" si="48"/>
        <v>0</v>
      </c>
      <c r="BB57" s="60">
        <f t="shared" si="48"/>
        <v>0</v>
      </c>
      <c r="BC57" s="60">
        <f t="shared" si="48"/>
        <v>0</v>
      </c>
      <c r="BD57" s="60">
        <f t="shared" si="48"/>
        <v>0</v>
      </c>
      <c r="BE57" s="60">
        <f t="shared" si="48"/>
        <v>0</v>
      </c>
      <c r="BF57" s="60">
        <f t="shared" si="48"/>
        <v>0</v>
      </c>
      <c r="BG57" s="60">
        <f t="shared" si="48"/>
        <v>0</v>
      </c>
      <c r="BH57" s="60">
        <f t="shared" si="48"/>
        <v>0</v>
      </c>
      <c r="BI57" s="60">
        <f t="shared" si="48"/>
        <v>0</v>
      </c>
      <c r="BJ57" s="60">
        <f t="shared" si="48"/>
        <v>0</v>
      </c>
      <c r="BK57" s="60">
        <f t="shared" si="48"/>
        <v>0</v>
      </c>
      <c r="BL57" s="60">
        <f>SUM(BL51:BL56)</f>
        <v>2552000</v>
      </c>
      <c r="BM57" s="106"/>
      <c r="BN57" s="106"/>
      <c r="BO57" s="106"/>
      <c r="BP57" s="106"/>
      <c r="BQ57" s="106"/>
      <c r="BR57" s="106"/>
      <c r="BS57" s="106"/>
    </row>
    <row r="58" spans="1:71" ht="22.5" customHeight="1" thickBot="1" x14ac:dyDescent="0.3">
      <c r="A58" s="185">
        <v>9</v>
      </c>
      <c r="B58" s="107" t="s">
        <v>39</v>
      </c>
      <c r="C58" s="23" t="s">
        <v>24</v>
      </c>
      <c r="D58" s="77"/>
      <c r="E58" s="24"/>
      <c r="G58" s="24"/>
      <c r="I58" s="24"/>
      <c r="J58" s="28"/>
      <c r="L58" s="24"/>
      <c r="M58" s="24"/>
      <c r="O58" s="24"/>
      <c r="R58" s="24"/>
      <c r="S58" s="24"/>
      <c r="U58" s="24"/>
      <c r="Z58" s="24"/>
      <c r="AC58" s="24"/>
      <c r="AD58" s="24"/>
      <c r="AG58" s="24"/>
      <c r="AK58" s="24"/>
      <c r="AM58" s="24"/>
      <c r="AN58" s="24"/>
      <c r="AP58" s="24"/>
      <c r="AQ58" s="24"/>
      <c r="AR58" s="24"/>
      <c r="AS58" s="24"/>
      <c r="AT58" s="24"/>
      <c r="AW58" s="24"/>
      <c r="AX58" s="24"/>
      <c r="AY58" s="34"/>
      <c r="AZ58" s="24"/>
      <c r="BA58" s="34"/>
      <c r="BB58" s="28"/>
      <c r="BC58" s="24"/>
      <c r="BD58" s="24"/>
      <c r="BE58" s="24"/>
      <c r="BF58" s="24"/>
      <c r="BG58" s="24"/>
      <c r="BH58" s="24"/>
      <c r="BI58" s="24"/>
      <c r="BJ58" s="24"/>
      <c r="BK58" s="28"/>
      <c r="BL58" s="26">
        <f>SUM(E59:BK59)</f>
        <v>0</v>
      </c>
      <c r="BM58" s="27"/>
      <c r="BN58" s="27"/>
      <c r="BO58" s="27"/>
      <c r="BP58" s="27"/>
      <c r="BQ58" s="27"/>
      <c r="BR58" s="27"/>
      <c r="BS58" s="28"/>
    </row>
    <row r="59" spans="1:71" ht="25.5" customHeight="1" thickBot="1" x14ac:dyDescent="0.3">
      <c r="A59" s="185"/>
      <c r="B59" s="107" t="s">
        <v>39</v>
      </c>
      <c r="C59" s="23" t="s">
        <v>25</v>
      </c>
      <c r="D59" s="23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67"/>
      <c r="V59" s="28"/>
      <c r="W59" s="32"/>
      <c r="X59" s="32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34"/>
      <c r="AY59" s="34"/>
      <c r="AZ59" s="34"/>
      <c r="BA59" s="34"/>
      <c r="BB59" s="28"/>
      <c r="BC59" s="27"/>
      <c r="BD59" s="27"/>
      <c r="BE59" s="27"/>
      <c r="BF59" s="27"/>
      <c r="BG59" s="27"/>
      <c r="BH59" s="27"/>
      <c r="BI59" s="27"/>
      <c r="BJ59" s="27"/>
      <c r="BK59" s="27"/>
      <c r="BL59" s="26">
        <f>SUM(E60:BK60)</f>
        <v>0</v>
      </c>
      <c r="BM59" s="35"/>
      <c r="BN59" s="36"/>
      <c r="BO59" s="36"/>
      <c r="BP59" s="36"/>
      <c r="BQ59" s="36"/>
      <c r="BR59" s="35"/>
      <c r="BS59" s="28"/>
    </row>
    <row r="60" spans="1:71" ht="25.5" customHeight="1" thickBot="1" x14ac:dyDescent="0.3">
      <c r="A60" s="185"/>
      <c r="B60" s="107" t="s">
        <v>39</v>
      </c>
      <c r="C60" s="23" t="s">
        <v>28</v>
      </c>
      <c r="D60" s="23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67"/>
      <c r="V60" s="28"/>
      <c r="W60" s="32"/>
      <c r="X60" s="32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W60" s="28"/>
      <c r="AX60" s="34"/>
      <c r="AY60" s="34"/>
      <c r="AZ60" s="34"/>
      <c r="BA60" s="34"/>
      <c r="BB60" s="28"/>
      <c r="BC60" s="27"/>
      <c r="BD60" s="27"/>
      <c r="BE60" s="27"/>
      <c r="BF60" s="27"/>
      <c r="BG60" s="27"/>
      <c r="BH60" s="27"/>
      <c r="BI60" s="27"/>
      <c r="BJ60" s="27"/>
      <c r="BK60" s="27"/>
      <c r="BL60" s="26">
        <f t="shared" ref="BL60:BL63" si="49">SUM(E61:BK61)</f>
        <v>0</v>
      </c>
      <c r="BM60" s="36"/>
      <c r="BN60" s="35"/>
      <c r="BO60" s="36"/>
      <c r="BP60" s="36"/>
      <c r="BQ60" s="36"/>
      <c r="BR60" s="36"/>
      <c r="BS60" s="28"/>
    </row>
    <row r="61" spans="1:71" ht="27" customHeight="1" thickBot="1" x14ac:dyDescent="0.3">
      <c r="A61" s="185"/>
      <c r="B61" s="129" t="s">
        <v>39</v>
      </c>
      <c r="C61" s="69" t="s">
        <v>29</v>
      </c>
      <c r="D61" s="77"/>
      <c r="E61" s="13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131"/>
      <c r="V61" s="70"/>
      <c r="W61" s="32"/>
      <c r="X61" s="32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42"/>
      <c r="AV61" s="28"/>
      <c r="AW61" s="70"/>
      <c r="AX61" s="72"/>
      <c r="AY61" s="72"/>
      <c r="AZ61" s="72"/>
      <c r="BA61" s="72"/>
      <c r="BB61" s="70"/>
      <c r="BC61" s="73"/>
      <c r="BD61" s="73"/>
      <c r="BE61" s="73"/>
      <c r="BF61" s="73"/>
      <c r="BG61" s="73"/>
      <c r="BH61" s="73"/>
      <c r="BI61" s="73"/>
      <c r="BJ61" s="73"/>
      <c r="BK61" s="73"/>
      <c r="BL61" s="26">
        <f t="shared" si="49"/>
        <v>0</v>
      </c>
      <c r="BO61" s="75"/>
      <c r="BP61" s="75"/>
      <c r="BQ61" s="75"/>
      <c r="BS61" s="33"/>
    </row>
    <row r="62" spans="1:71" ht="24" customHeight="1" thickBot="1" x14ac:dyDescent="0.3">
      <c r="A62" s="21"/>
      <c r="B62" s="129" t="s">
        <v>39</v>
      </c>
      <c r="C62" s="49" t="s">
        <v>30</v>
      </c>
      <c r="D62" s="77"/>
      <c r="E62" s="161"/>
      <c r="F62" s="161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1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84"/>
      <c r="AV62" s="70"/>
      <c r="AW62" s="70"/>
      <c r="AX62" s="72"/>
      <c r="AY62" s="72"/>
      <c r="AZ62" s="72"/>
      <c r="BA62" s="72"/>
      <c r="BB62" s="70"/>
      <c r="BC62" s="73"/>
      <c r="BD62" s="73"/>
      <c r="BE62" s="73"/>
      <c r="BF62" s="73"/>
      <c r="BG62" s="73"/>
      <c r="BH62" s="73"/>
      <c r="BI62" s="73"/>
      <c r="BJ62" s="73"/>
      <c r="BK62" s="73"/>
      <c r="BL62" s="26">
        <f>SUM(E63:BK63)</f>
        <v>0</v>
      </c>
      <c r="BO62" s="75"/>
      <c r="BP62" s="75"/>
      <c r="BQ62" s="75"/>
      <c r="BS62" s="33"/>
    </row>
    <row r="63" spans="1:71" ht="16.5" thickBot="1" x14ac:dyDescent="0.3">
      <c r="A63" s="21"/>
      <c r="B63" s="129" t="s">
        <v>39</v>
      </c>
      <c r="C63" s="77" t="s">
        <v>31</v>
      </c>
      <c r="D63" s="77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1"/>
      <c r="V63" s="70"/>
      <c r="W63" s="70"/>
      <c r="X63" s="70"/>
      <c r="Y63" s="70"/>
      <c r="Z63" s="70"/>
      <c r="AA63" s="70"/>
      <c r="AB63" s="70"/>
      <c r="AC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84"/>
      <c r="AV63" s="70"/>
      <c r="AW63" s="70"/>
      <c r="AX63" s="72"/>
      <c r="AY63" s="72"/>
      <c r="AZ63" s="72"/>
      <c r="BA63" s="72"/>
      <c r="BB63" s="70"/>
      <c r="BC63" s="73"/>
      <c r="BD63" s="73"/>
      <c r="BE63" s="73"/>
      <c r="BF63" s="73"/>
      <c r="BG63" s="73"/>
      <c r="BH63" s="73"/>
      <c r="BI63" s="73"/>
      <c r="BJ63" s="73"/>
      <c r="BK63" s="73"/>
      <c r="BL63" s="26">
        <f t="shared" si="49"/>
        <v>0</v>
      </c>
      <c r="BO63" s="75"/>
      <c r="BP63" s="75"/>
      <c r="BQ63" s="75"/>
      <c r="BS63" s="33"/>
    </row>
    <row r="64" spans="1:71" ht="16.5" thickBot="1" x14ac:dyDescent="0.3">
      <c r="A64" s="88"/>
      <c r="B64" s="116" t="s">
        <v>26</v>
      </c>
      <c r="C64" s="117"/>
      <c r="D64" s="60">
        <f>SUM(D58:D63)</f>
        <v>0</v>
      </c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94"/>
      <c r="BN64" s="94"/>
      <c r="BO64" s="94"/>
      <c r="BP64" s="94"/>
      <c r="BQ64" s="94"/>
      <c r="BR64" s="94"/>
      <c r="BS64" s="94"/>
    </row>
    <row r="65" spans="1:71" ht="16.5" thickBot="1" x14ac:dyDescent="0.3">
      <c r="A65" s="25"/>
      <c r="B65" s="137"/>
      <c r="C65" s="77"/>
      <c r="D65" s="77"/>
      <c r="E65" s="32"/>
      <c r="F65" s="32"/>
      <c r="G65" s="138"/>
      <c r="H65" s="138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BB65" s="73"/>
      <c r="BC65" s="73"/>
      <c r="BD65" s="73"/>
      <c r="BE65" s="73"/>
      <c r="BF65" s="73"/>
      <c r="BG65" s="73"/>
      <c r="BH65" s="73"/>
      <c r="BI65" s="73"/>
      <c r="BJ65" s="73"/>
      <c r="BK65" s="73"/>
      <c r="BL65" s="138"/>
    </row>
    <row r="66" spans="1:71" ht="15.75" thickBot="1" x14ac:dyDescent="0.3">
      <c r="A66" s="139"/>
      <c r="B66" s="140" t="s">
        <v>40</v>
      </c>
      <c r="C66" s="141"/>
      <c r="D66" s="167">
        <f t="shared" ref="D66:BL66" si="50">SUM(D8,D15,D22,D29,D36,D43,D50,D57,D64)</f>
        <v>0</v>
      </c>
      <c r="E66" s="167">
        <f>SUM(E8,E15,E22,E29,E36,E43,E50,E57,E64)</f>
        <v>1878880</v>
      </c>
      <c r="F66" s="167">
        <f t="shared" si="50"/>
        <v>20500</v>
      </c>
      <c r="G66" s="167">
        <f t="shared" si="50"/>
        <v>1155440</v>
      </c>
      <c r="H66" s="167">
        <f t="shared" si="50"/>
        <v>621550</v>
      </c>
      <c r="I66" s="167">
        <f t="shared" si="50"/>
        <v>3936540</v>
      </c>
      <c r="J66" s="167">
        <f t="shared" si="50"/>
        <v>18000</v>
      </c>
      <c r="K66" s="167">
        <f t="shared" si="50"/>
        <v>328400</v>
      </c>
      <c r="L66" s="167">
        <f t="shared" si="50"/>
        <v>5242660</v>
      </c>
      <c r="M66" s="167">
        <f t="shared" si="50"/>
        <v>898400</v>
      </c>
      <c r="N66" s="181">
        <f t="shared" si="50"/>
        <v>6843020</v>
      </c>
      <c r="O66" s="167">
        <f t="shared" si="50"/>
        <v>0</v>
      </c>
      <c r="P66" s="167">
        <f t="shared" si="50"/>
        <v>398450</v>
      </c>
      <c r="Q66" s="167">
        <f t="shared" si="50"/>
        <v>9257770</v>
      </c>
      <c r="R66" s="167">
        <f t="shared" si="50"/>
        <v>1098600</v>
      </c>
      <c r="S66" s="167">
        <f t="shared" si="50"/>
        <v>2869360</v>
      </c>
      <c r="T66" s="167">
        <f t="shared" si="50"/>
        <v>1015450</v>
      </c>
      <c r="U66" s="167">
        <f t="shared" si="50"/>
        <v>3378750</v>
      </c>
      <c r="V66" s="167">
        <f t="shared" si="50"/>
        <v>383400</v>
      </c>
      <c r="W66" s="167">
        <f t="shared" si="50"/>
        <v>4293136</v>
      </c>
      <c r="X66" s="167">
        <f t="shared" si="50"/>
        <v>366350</v>
      </c>
      <c r="Y66" s="167">
        <f t="shared" si="50"/>
        <v>1261700</v>
      </c>
      <c r="Z66" s="167">
        <f t="shared" si="50"/>
        <v>157950</v>
      </c>
      <c r="AA66" s="167">
        <f t="shared" si="50"/>
        <v>1150240</v>
      </c>
      <c r="AB66" s="167">
        <f t="shared" si="50"/>
        <v>562350</v>
      </c>
      <c r="AC66" s="167">
        <f t="shared" si="50"/>
        <v>1694320</v>
      </c>
      <c r="AD66" s="167">
        <f t="shared" si="50"/>
        <v>616500</v>
      </c>
      <c r="AE66" s="167">
        <f t="shared" si="50"/>
        <v>1779008.38002</v>
      </c>
      <c r="AF66" s="167">
        <f t="shared" si="50"/>
        <v>454650</v>
      </c>
      <c r="AG66" s="167">
        <f t="shared" si="50"/>
        <v>1694200</v>
      </c>
      <c r="AH66" s="167">
        <f t="shared" si="50"/>
        <v>506300</v>
      </c>
      <c r="AI66" s="167">
        <f t="shared" si="50"/>
        <v>2686050</v>
      </c>
      <c r="AJ66" s="167">
        <f t="shared" si="50"/>
        <v>15350</v>
      </c>
      <c r="AK66" s="167">
        <f t="shared" si="50"/>
        <v>241450</v>
      </c>
      <c r="AL66" s="167">
        <f t="shared" si="50"/>
        <v>1117400</v>
      </c>
      <c r="AM66" s="167">
        <f t="shared" si="50"/>
        <v>1584050</v>
      </c>
      <c r="AN66" s="167">
        <f t="shared" si="50"/>
        <v>341050</v>
      </c>
      <c r="AO66" s="167">
        <f t="shared" si="50"/>
        <v>829620</v>
      </c>
      <c r="AP66" s="167">
        <f t="shared" si="50"/>
        <v>459500</v>
      </c>
      <c r="AQ66" s="167">
        <f t="shared" si="50"/>
        <v>1003800</v>
      </c>
      <c r="AR66" s="167">
        <f t="shared" si="50"/>
        <v>176900</v>
      </c>
      <c r="AS66" s="167">
        <f t="shared" si="50"/>
        <v>1461550</v>
      </c>
      <c r="AT66" s="167">
        <f t="shared" si="50"/>
        <v>242850</v>
      </c>
      <c r="AU66" s="167">
        <f t="shared" si="50"/>
        <v>2399700</v>
      </c>
      <c r="AV66" s="167">
        <f t="shared" si="50"/>
        <v>1069030</v>
      </c>
      <c r="AW66" s="167">
        <f t="shared" si="50"/>
        <v>188000</v>
      </c>
      <c r="AX66" s="167">
        <f t="shared" si="50"/>
        <v>0</v>
      </c>
      <c r="AY66" s="167">
        <f t="shared" si="50"/>
        <v>0</v>
      </c>
      <c r="AZ66" s="167">
        <f t="shared" si="50"/>
        <v>0</v>
      </c>
      <c r="BA66" s="167">
        <f t="shared" si="50"/>
        <v>0</v>
      </c>
      <c r="BB66" s="167">
        <f t="shared" si="50"/>
        <v>0</v>
      </c>
      <c r="BC66" s="167">
        <f t="shared" si="50"/>
        <v>0</v>
      </c>
      <c r="BD66" s="167">
        <f t="shared" si="50"/>
        <v>0</v>
      </c>
      <c r="BE66" s="167">
        <f t="shared" si="50"/>
        <v>0</v>
      </c>
      <c r="BF66" s="167">
        <f t="shared" si="50"/>
        <v>0</v>
      </c>
      <c r="BG66" s="167">
        <f t="shared" si="50"/>
        <v>0</v>
      </c>
      <c r="BH66" s="167">
        <f t="shared" si="50"/>
        <v>0</v>
      </c>
      <c r="BI66" s="167">
        <f t="shared" si="50"/>
        <v>0</v>
      </c>
      <c r="BJ66" s="167">
        <f t="shared" si="50"/>
        <v>0</v>
      </c>
      <c r="BK66" s="167">
        <f t="shared" si="50"/>
        <v>0</v>
      </c>
      <c r="BL66" s="167">
        <f t="shared" si="50"/>
        <v>67698174.380019993</v>
      </c>
      <c r="BM66" s="167"/>
      <c r="BN66" s="144"/>
      <c r="BO66" s="144"/>
      <c r="BP66" s="144"/>
      <c r="BQ66" s="144"/>
      <c r="BR66" s="145"/>
      <c r="BS66" s="146"/>
    </row>
    <row r="67" spans="1:71" x14ac:dyDescent="0.25">
      <c r="A67" s="147"/>
      <c r="B67" s="147"/>
      <c r="C67" s="147"/>
      <c r="D67" s="147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68"/>
    </row>
    <row r="68" spans="1:71" x14ac:dyDescent="0.25">
      <c r="A68" s="147"/>
      <c r="B68" s="147"/>
      <c r="C68" s="151"/>
      <c r="D68" s="151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68"/>
    </row>
    <row r="69" spans="1:71" x14ac:dyDescent="0.25">
      <c r="A69" s="147"/>
      <c r="B69" s="147"/>
      <c r="C69" s="151"/>
      <c r="D69" s="151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68"/>
      <c r="AH69" s="168"/>
      <c r="AI69" s="168"/>
      <c r="AJ69" s="168"/>
      <c r="AK69" s="168"/>
      <c r="AL69" s="168"/>
      <c r="AM69" s="168"/>
      <c r="AN69" s="168"/>
      <c r="AO69" s="168"/>
      <c r="AP69" s="168"/>
      <c r="AQ69" s="168"/>
      <c r="AR69" s="168"/>
      <c r="AS69" s="168"/>
      <c r="AT69" s="168"/>
      <c r="AU69" s="168"/>
      <c r="AV69" s="168"/>
      <c r="AW69" s="168"/>
      <c r="AX69" s="168"/>
      <c r="AY69" s="168"/>
      <c r="AZ69" s="168"/>
      <c r="BA69" s="168"/>
      <c r="BB69" s="168"/>
      <c r="BC69" s="168"/>
      <c r="BD69" s="168"/>
      <c r="BE69" s="168"/>
      <c r="BF69" s="168"/>
      <c r="BG69" s="168"/>
      <c r="BH69" s="168"/>
      <c r="BI69" s="168"/>
      <c r="BJ69" s="168"/>
      <c r="BK69" s="168"/>
      <c r="BL69" s="168"/>
    </row>
    <row r="70" spans="1:71" s="166" customFormat="1" x14ac:dyDescent="0.25">
      <c r="A70" s="163">
        <v>10</v>
      </c>
      <c r="B70" s="164" t="s">
        <v>41</v>
      </c>
      <c r="C70" s="164"/>
      <c r="D70" s="164">
        <f>227155.2</f>
        <v>227155.20000000001</v>
      </c>
      <c r="E70" s="169">
        <v>5000</v>
      </c>
      <c r="F70" s="169"/>
      <c r="G70" s="114"/>
      <c r="H70" s="114">
        <f>605244.4+15000</f>
        <v>620244.4</v>
      </c>
      <c r="I70" s="114">
        <f>217525</f>
        <v>217525</v>
      </c>
      <c r="J70" s="170">
        <f>2256313</f>
        <v>2256313</v>
      </c>
      <c r="K70" s="171"/>
      <c r="L70" s="172"/>
      <c r="M70" s="173">
        <f>87722.2+65421.6</f>
        <v>153143.79999999999</v>
      </c>
      <c r="N70" s="114"/>
      <c r="O70" s="114">
        <f>1837.5</f>
        <v>1837.5</v>
      </c>
      <c r="P70" s="114">
        <f>1123652</f>
        <v>1123652</v>
      </c>
      <c r="Q70" s="173"/>
      <c r="R70" s="174">
        <f>4088252.31</f>
        <v>4088252.31</v>
      </c>
      <c r="S70" s="172">
        <f>633000</f>
        <v>633000</v>
      </c>
      <c r="T70" s="170">
        <f>493689.52+1347437</f>
        <v>1841126.52</v>
      </c>
      <c r="U70" s="114">
        <f>648808.75</f>
        <v>648808.75</v>
      </c>
      <c r="V70" s="114">
        <f>3328357.15+24870</f>
        <v>3353227.15</v>
      </c>
      <c r="W70" s="175">
        <v>931000</v>
      </c>
      <c r="X70" s="182">
        <f>1243314.72</f>
        <v>1243314.72</v>
      </c>
      <c r="Y70" s="114">
        <v>280000</v>
      </c>
      <c r="Z70" s="176">
        <f>192384.3+51222</f>
        <v>243606.3</v>
      </c>
      <c r="AA70" s="169">
        <v>201670</v>
      </c>
      <c r="AB70" s="114">
        <f>1757849.1+8000</f>
        <v>1765849.1</v>
      </c>
      <c r="AC70" s="114">
        <f>267500</f>
        <v>267500</v>
      </c>
      <c r="AD70" s="170">
        <f>1268669.05</f>
        <v>1268669.05</v>
      </c>
      <c r="AE70" s="114">
        <v>549000</v>
      </c>
      <c r="AF70" s="177">
        <f>159529.5</f>
        <v>159529.5</v>
      </c>
      <c r="AG70" s="173">
        <v>110000</v>
      </c>
      <c r="AH70" s="178">
        <f>115424.54</f>
        <v>115424.54</v>
      </c>
      <c r="AI70" s="114">
        <f>275800</f>
        <v>275800</v>
      </c>
      <c r="AJ70" s="114">
        <f>753218</f>
        <v>753218</v>
      </c>
      <c r="AK70" s="177">
        <v>162116.70000000001</v>
      </c>
      <c r="AL70" s="114">
        <f>5000315.36+31050</f>
        <v>5031365.3600000003</v>
      </c>
      <c r="AM70" s="177">
        <f>40000</f>
        <v>40000</v>
      </c>
      <c r="AN70" s="173">
        <f>1775904.84+20301.55</f>
        <v>1796206.3900000001</v>
      </c>
      <c r="AO70" s="173">
        <f>2178804</f>
        <v>2178804</v>
      </c>
      <c r="AP70" s="114">
        <f>1975782</f>
        <v>1975782</v>
      </c>
      <c r="AQ70" s="173">
        <v>108000</v>
      </c>
      <c r="AR70" s="177">
        <f>5585931+924252</f>
        <v>6510183</v>
      </c>
      <c r="AS70" s="177">
        <f>1400000</f>
        <v>1400000</v>
      </c>
      <c r="AT70" s="173">
        <f>517321.53+1423203</f>
        <v>1940524.53</v>
      </c>
      <c r="AU70" s="170">
        <v>573000</v>
      </c>
      <c r="AV70" s="173"/>
      <c r="AW70" s="170"/>
      <c r="AX70" s="173"/>
      <c r="AY70" s="179"/>
      <c r="AZ70" s="173"/>
      <c r="BA70" s="173"/>
      <c r="BB70" s="173"/>
      <c r="BC70" s="173"/>
      <c r="BD70" s="173"/>
      <c r="BE70" s="171"/>
      <c r="BF70" s="173"/>
      <c r="BG70" s="173"/>
      <c r="BH70" s="173"/>
      <c r="BI70" s="173"/>
      <c r="BJ70" s="173"/>
      <c r="BK70" s="173"/>
      <c r="BL70" s="114"/>
      <c r="BM70" s="165"/>
      <c r="BN70" s="165"/>
      <c r="BO70" s="165"/>
      <c r="BP70" s="165"/>
      <c r="BQ70" s="165"/>
      <c r="BR70" s="165"/>
      <c r="BS70" s="165"/>
    </row>
    <row r="71" spans="1:71" ht="15.75" thickBot="1" x14ac:dyDescent="0.3">
      <c r="A71" s="154"/>
      <c r="B71" s="155"/>
      <c r="C71" s="155"/>
      <c r="D71" s="2">
        <f t="shared" ref="D71:BL71" si="51">SUM(D66,D70)</f>
        <v>227155.20000000001</v>
      </c>
      <c r="E71" s="2">
        <f>SUM(E66,E70)</f>
        <v>1883880</v>
      </c>
      <c r="F71" s="2">
        <f t="shared" si="51"/>
        <v>20500</v>
      </c>
      <c r="G71" s="2">
        <f t="shared" si="51"/>
        <v>1155440</v>
      </c>
      <c r="H71" s="2">
        <f t="shared" si="51"/>
        <v>1241794.3999999999</v>
      </c>
      <c r="I71" s="2">
        <f t="shared" si="51"/>
        <v>4154065</v>
      </c>
      <c r="J71" s="2">
        <f t="shared" si="51"/>
        <v>2274313</v>
      </c>
      <c r="K71" s="2">
        <f t="shared" si="51"/>
        <v>328400</v>
      </c>
      <c r="L71" s="2">
        <f t="shared" si="51"/>
        <v>5242660</v>
      </c>
      <c r="M71" s="2">
        <f t="shared" si="51"/>
        <v>1051543.8</v>
      </c>
      <c r="N71" s="2">
        <f t="shared" si="51"/>
        <v>6843020</v>
      </c>
      <c r="O71" s="2">
        <f t="shared" si="51"/>
        <v>1837.5</v>
      </c>
      <c r="P71" s="2">
        <f t="shared" si="51"/>
        <v>1522102</v>
      </c>
      <c r="Q71" s="2">
        <f t="shared" si="51"/>
        <v>9257770</v>
      </c>
      <c r="R71" s="2">
        <f t="shared" si="51"/>
        <v>5186852.3100000005</v>
      </c>
      <c r="S71" s="2">
        <f t="shared" si="51"/>
        <v>3502360</v>
      </c>
      <c r="T71" s="2">
        <f t="shared" si="51"/>
        <v>2856576.52</v>
      </c>
      <c r="U71" s="2">
        <f t="shared" si="51"/>
        <v>4027558.75</v>
      </c>
      <c r="V71" s="2">
        <f t="shared" si="51"/>
        <v>3736627.15</v>
      </c>
      <c r="W71" s="2">
        <f t="shared" si="51"/>
        <v>5224136</v>
      </c>
      <c r="X71" s="2">
        <f t="shared" si="51"/>
        <v>1609664.72</v>
      </c>
      <c r="Y71" s="2">
        <f t="shared" si="51"/>
        <v>1541700</v>
      </c>
      <c r="Z71" s="2">
        <f t="shared" si="51"/>
        <v>401556.3</v>
      </c>
      <c r="AA71" s="2">
        <f t="shared" si="51"/>
        <v>1351910</v>
      </c>
      <c r="AB71" s="2">
        <f t="shared" si="51"/>
        <v>2328199.1</v>
      </c>
      <c r="AC71" s="2">
        <f t="shared" si="51"/>
        <v>1961820</v>
      </c>
      <c r="AD71" s="2">
        <f t="shared" si="51"/>
        <v>1885169.05</v>
      </c>
      <c r="AE71" s="2">
        <f t="shared" si="51"/>
        <v>2328008.38002</v>
      </c>
      <c r="AF71" s="2">
        <f t="shared" si="51"/>
        <v>614179.5</v>
      </c>
      <c r="AG71" s="2">
        <f t="shared" si="51"/>
        <v>1804200</v>
      </c>
      <c r="AH71" s="2">
        <f t="shared" si="51"/>
        <v>621724.54</v>
      </c>
      <c r="AI71" s="2">
        <f t="shared" si="51"/>
        <v>2961850</v>
      </c>
      <c r="AJ71" s="2">
        <f t="shared" si="51"/>
        <v>768568</v>
      </c>
      <c r="AK71" s="2">
        <f t="shared" si="51"/>
        <v>403566.7</v>
      </c>
      <c r="AL71" s="2">
        <f t="shared" si="51"/>
        <v>6148765.3600000003</v>
      </c>
      <c r="AM71" s="2">
        <f t="shared" si="51"/>
        <v>1624050</v>
      </c>
      <c r="AN71" s="2">
        <f t="shared" si="51"/>
        <v>2137256.39</v>
      </c>
      <c r="AO71" s="2">
        <f t="shared" si="51"/>
        <v>3008424</v>
      </c>
      <c r="AP71" s="2">
        <f t="shared" si="51"/>
        <v>2435282</v>
      </c>
      <c r="AQ71" s="2">
        <f t="shared" si="51"/>
        <v>1111800</v>
      </c>
      <c r="AR71" s="2">
        <f t="shared" si="51"/>
        <v>6687083</v>
      </c>
      <c r="AS71" s="2">
        <f t="shared" si="51"/>
        <v>2861550</v>
      </c>
      <c r="AT71" s="2">
        <f t="shared" si="51"/>
        <v>2183374.5300000003</v>
      </c>
      <c r="AU71" s="2">
        <f t="shared" si="51"/>
        <v>2972700</v>
      </c>
      <c r="AV71" s="2">
        <f t="shared" si="51"/>
        <v>1069030</v>
      </c>
      <c r="AW71" s="2">
        <f t="shared" si="51"/>
        <v>188000</v>
      </c>
      <c r="AX71" s="2">
        <f t="shared" si="51"/>
        <v>0</v>
      </c>
      <c r="AY71" s="2">
        <f t="shared" si="51"/>
        <v>0</v>
      </c>
      <c r="AZ71" s="2">
        <f t="shared" si="51"/>
        <v>0</v>
      </c>
      <c r="BA71" s="2">
        <f t="shared" si="51"/>
        <v>0</v>
      </c>
      <c r="BB71" s="2">
        <f t="shared" si="51"/>
        <v>0</v>
      </c>
      <c r="BC71" s="2">
        <f t="shared" si="51"/>
        <v>0</v>
      </c>
      <c r="BD71" s="2">
        <f t="shared" si="51"/>
        <v>0</v>
      </c>
      <c r="BE71" s="2">
        <f t="shared" si="51"/>
        <v>0</v>
      </c>
      <c r="BF71" s="2">
        <f t="shared" si="51"/>
        <v>0</v>
      </c>
      <c r="BG71" s="2">
        <f t="shared" si="51"/>
        <v>0</v>
      </c>
      <c r="BH71" s="2">
        <f t="shared" si="51"/>
        <v>0</v>
      </c>
      <c r="BI71" s="2">
        <f t="shared" si="51"/>
        <v>0</v>
      </c>
      <c r="BJ71" s="2">
        <f t="shared" si="51"/>
        <v>0</v>
      </c>
      <c r="BK71" s="2">
        <f t="shared" si="51"/>
        <v>0</v>
      </c>
      <c r="BL71" s="2">
        <f t="shared" si="51"/>
        <v>67698174.380019993</v>
      </c>
      <c r="BM71" s="162"/>
      <c r="BN71" s="162"/>
      <c r="BO71" s="162"/>
      <c r="BP71" s="162"/>
      <c r="BQ71" s="162"/>
      <c r="BR71" s="162"/>
      <c r="BS71" s="162"/>
    </row>
    <row r="72" spans="1:71" ht="15.75" thickTop="1" x14ac:dyDescent="0.25"/>
  </sheetData>
  <mergeCells count="9">
    <mergeCell ref="A44:A47"/>
    <mergeCell ref="A51:A54"/>
    <mergeCell ref="A58:A61"/>
    <mergeCell ref="A2:A8"/>
    <mergeCell ref="A9:A12"/>
    <mergeCell ref="A16:A19"/>
    <mergeCell ref="A23:A26"/>
    <mergeCell ref="A30:A33"/>
    <mergeCell ref="A37:A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</vt:lpstr>
      <vt:lpstr>Sheet1</vt:lpstr>
      <vt:lpstr>JAN2023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</dc:creator>
  <cp:lastModifiedBy>user</cp:lastModifiedBy>
  <dcterms:created xsi:type="dcterms:W3CDTF">2023-01-07T12:03:29Z</dcterms:created>
  <dcterms:modified xsi:type="dcterms:W3CDTF">2023-06-02T12:55:59Z</dcterms:modified>
</cp:coreProperties>
</file>