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8195" windowHeight="7110"/>
  </bookViews>
  <sheets>
    <sheet name="first" sheetId="15" r:id="rId1"/>
    <sheet name="temp" sheetId="14" r:id="rId2"/>
    <sheet name="formula-math" sheetId="2" r:id="rId3"/>
    <sheet name="formula-logical" sheetId="4" r:id="rId4"/>
    <sheet name="formula-text" sheetId="5" r:id="rId5"/>
    <sheet name="formula-info" sheetId="6" r:id="rId6"/>
    <sheet name="formula-datetime" sheetId="7" r:id="rId7"/>
    <sheet name="formula-financial" sheetId="8" r:id="rId8"/>
    <sheet name="formula-statistical" sheetId="9" r:id="rId9"/>
    <sheet name="formula-engineering" sheetId="10" r:id="rId10"/>
    <sheet name="formula-notsupported" sheetId="11" r:id="rId11"/>
    <sheet name="formula-custom" sheetId="13" r:id="rId12"/>
    <sheet name="error" sheetId="12" r:id="rId13"/>
  </sheets>
  <definedNames>
    <definedName name="_xlnm._FilterDatabase" localSheetId="6" hidden="1">'formula-datetime'!$A$10:$C$35</definedName>
    <definedName name="_xlnm._FilterDatabase" localSheetId="9" hidden="1">'formula-engineering'!$A$10:$C$31</definedName>
    <definedName name="_xlnm._FilterDatabase" localSheetId="7" hidden="1">'formula-financial'!$A$13:$C$42</definedName>
    <definedName name="_xlnm._FilterDatabase" localSheetId="5" hidden="1">'formula-info'!$A$10:$C$49</definedName>
    <definedName name="_xlnm._FilterDatabase" localSheetId="3" hidden="1">'formula-logical'!$A$8:$C$19</definedName>
    <definedName name="_xlnm._FilterDatabase" localSheetId="2" hidden="1">'formula-math'!$A$9:$C$21</definedName>
    <definedName name="_xlnm._FilterDatabase" localSheetId="8" hidden="1">'formula-statistical'!$A$11:$C$45</definedName>
    <definedName name="_xlnm._FilterDatabase" localSheetId="4" hidden="1">'formula-text'!$A$5:$C$35</definedName>
  </definedNames>
  <calcPr calcId="125725"/>
</workbook>
</file>

<file path=xl/calcChain.xml><?xml version="1.0" encoding="utf-8"?>
<calcChain xmlns="http://schemas.openxmlformats.org/spreadsheetml/2006/main">
  <c r="B8" i="15"/>
  <c r="D8" s="1"/>
  <c r="D6"/>
  <c r="B6"/>
  <c r="B4"/>
  <c r="D4" s="1"/>
  <c r="D2"/>
  <c r="B2"/>
  <c r="B9" i="14"/>
  <c r="D9" s="1"/>
  <c r="D7"/>
  <c r="B7"/>
  <c r="D5"/>
  <c r="B5"/>
  <c r="B3"/>
  <c r="D3" s="1"/>
  <c r="B6" i="12"/>
  <c r="D6" s="1"/>
  <c r="D4"/>
  <c r="B4"/>
  <c r="D77" i="2"/>
  <c r="D9"/>
  <c r="D5" i="10"/>
  <c r="D43"/>
  <c r="D77"/>
  <c r="D75"/>
  <c r="D73"/>
  <c r="D71"/>
  <c r="D69"/>
  <c r="D67"/>
  <c r="D65"/>
  <c r="D63"/>
  <c r="D61"/>
  <c r="D59"/>
  <c r="D57"/>
  <c r="D55"/>
  <c r="D53"/>
  <c r="D49"/>
  <c r="D51"/>
  <c r="D47"/>
  <c r="D45"/>
  <c r="D41"/>
  <c r="D39"/>
  <c r="D37"/>
  <c r="D35"/>
  <c r="D33"/>
  <c r="D31"/>
  <c r="D29"/>
  <c r="D27"/>
  <c r="D25"/>
  <c r="D23"/>
  <c r="D21"/>
  <c r="D19"/>
  <c r="D17"/>
  <c r="D15"/>
  <c r="D13"/>
  <c r="D11"/>
  <c r="D9"/>
  <c r="D7"/>
  <c r="D3"/>
  <c r="B162" i="9"/>
  <c r="D162" s="1"/>
  <c r="D199"/>
  <c r="D197"/>
  <c r="D195"/>
  <c r="D193"/>
  <c r="D191"/>
  <c r="D189"/>
  <c r="D186"/>
  <c r="D183"/>
  <c r="D179"/>
  <c r="D177"/>
  <c r="D175"/>
  <c r="D172"/>
  <c r="D170"/>
  <c r="D168"/>
  <c r="D166"/>
  <c r="D164"/>
  <c r="D159"/>
  <c r="D156"/>
  <c r="D154"/>
  <c r="D151"/>
  <c r="D149"/>
  <c r="D147"/>
  <c r="D144"/>
  <c r="D142"/>
  <c r="D140"/>
  <c r="D138"/>
  <c r="D136"/>
  <c r="D133"/>
  <c r="D131"/>
  <c r="D129"/>
  <c r="D127"/>
  <c r="D125"/>
  <c r="D123"/>
  <c r="D121"/>
  <c r="D118"/>
  <c r="D116"/>
  <c r="D114"/>
  <c r="D112"/>
  <c r="D110"/>
  <c r="D108"/>
  <c r="D106"/>
  <c r="D100"/>
  <c r="D94"/>
  <c r="D92"/>
  <c r="D89"/>
  <c r="D85"/>
  <c r="D82"/>
  <c r="D80"/>
  <c r="D78"/>
  <c r="D76"/>
  <c r="D73"/>
  <c r="D70"/>
  <c r="D67"/>
  <c r="D65"/>
  <c r="D63"/>
  <c r="D61"/>
  <c r="D59"/>
  <c r="D57"/>
  <c r="D55"/>
  <c r="D53"/>
  <c r="D50"/>
  <c r="D47"/>
  <c r="D45"/>
  <c r="D43"/>
  <c r="D41"/>
  <c r="D37"/>
  <c r="D35"/>
  <c r="D27"/>
  <c r="D25"/>
  <c r="D23"/>
  <c r="D21"/>
  <c r="D19"/>
  <c r="D17"/>
  <c r="D14"/>
  <c r="D11"/>
  <c r="D8"/>
  <c r="D6"/>
  <c r="D3"/>
  <c r="D2" i="11"/>
  <c r="D122" i="8"/>
  <c r="D120"/>
  <c r="D118"/>
  <c r="D115"/>
  <c r="D113"/>
  <c r="D111"/>
  <c r="D109"/>
  <c r="D107"/>
  <c r="D105"/>
  <c r="D103"/>
  <c r="D101"/>
  <c r="D99"/>
  <c r="D97"/>
  <c r="D95"/>
  <c r="D93"/>
  <c r="D91"/>
  <c r="D89"/>
  <c r="D87"/>
  <c r="D84"/>
  <c r="D81"/>
  <c r="D78"/>
  <c r="D73"/>
  <c r="D70"/>
  <c r="D67"/>
  <c r="D64"/>
  <c r="D62"/>
  <c r="D59"/>
  <c r="D57"/>
  <c r="D54"/>
  <c r="D51"/>
  <c r="D49"/>
  <c r="D47"/>
  <c r="D45"/>
  <c r="D42"/>
  <c r="D39"/>
  <c r="D36"/>
  <c r="D33"/>
  <c r="D30"/>
  <c r="D27"/>
  <c r="D24"/>
  <c r="D21"/>
  <c r="D18"/>
  <c r="D15"/>
  <c r="D12"/>
  <c r="D9"/>
  <c r="D6"/>
  <c r="D3"/>
  <c r="D37" i="7"/>
  <c r="D35"/>
  <c r="D33"/>
  <c r="D31"/>
  <c r="D27"/>
  <c r="D25"/>
  <c r="D23"/>
  <c r="D19"/>
  <c r="D17"/>
  <c r="D15"/>
  <c r="D13"/>
  <c r="D10"/>
  <c r="D8"/>
  <c r="D6"/>
  <c r="D3"/>
  <c r="D43" i="6"/>
  <c r="D38"/>
  <c r="D35"/>
  <c r="D33"/>
  <c r="B31"/>
  <c r="D31" s="1"/>
  <c r="B3"/>
  <c r="D3" s="1"/>
  <c r="D29"/>
  <c r="D26"/>
  <c r="D23"/>
  <c r="D21"/>
  <c r="D18"/>
  <c r="D15"/>
  <c r="D10"/>
  <c r="D12"/>
  <c r="D5"/>
  <c r="B27" i="2"/>
  <c r="D27" s="1"/>
  <c r="D184"/>
  <c r="D182"/>
  <c r="D180"/>
  <c r="D171"/>
  <c r="D162"/>
  <c r="D153"/>
  <c r="D150"/>
  <c r="D145"/>
  <c r="D135"/>
  <c r="D129"/>
  <c r="D127"/>
  <c r="D121"/>
  <c r="D119"/>
  <c r="D117"/>
  <c r="D115"/>
  <c r="D113"/>
  <c r="D111"/>
  <c r="D104"/>
  <c r="D102"/>
  <c r="D100"/>
  <c r="D98"/>
  <c r="D96"/>
  <c r="D90"/>
  <c r="D88"/>
  <c r="D83"/>
  <c r="D81"/>
  <c r="D79"/>
  <c r="D75"/>
  <c r="D73"/>
  <c r="D71"/>
  <c r="D63"/>
  <c r="D59"/>
  <c r="D49"/>
  <c r="D51"/>
  <c r="D47"/>
  <c r="D45"/>
  <c r="D43"/>
  <c r="D41"/>
  <c r="D39"/>
  <c r="D37"/>
  <c r="D35"/>
  <c r="D33"/>
  <c r="D31"/>
  <c r="D29"/>
  <c r="D25"/>
  <c r="D23"/>
  <c r="D21"/>
  <c r="D19"/>
  <c r="D17"/>
  <c r="D15"/>
  <c r="D13"/>
  <c r="D11"/>
  <c r="D7"/>
  <c r="D4"/>
  <c r="D18" i="4"/>
  <c r="D16"/>
  <c r="D14"/>
  <c r="D11"/>
  <c r="D8"/>
  <c r="D6"/>
  <c r="D4"/>
  <c r="B3" i="5"/>
  <c r="D3" s="1"/>
  <c r="B2" i="11"/>
  <c r="B23"/>
  <c r="B3" i="13"/>
  <c r="D3" l="1"/>
  <c r="D23" i="11"/>
  <c r="B73" i="8"/>
  <c r="B145" i="2"/>
  <c r="B77" i="10"/>
  <c r="B75"/>
  <c r="B73"/>
  <c r="B71"/>
  <c r="B69"/>
  <c r="B67"/>
  <c r="B65"/>
  <c r="B63"/>
  <c r="B61"/>
  <c r="B59"/>
  <c r="B57"/>
  <c r="B55"/>
  <c r="B53"/>
  <c r="B51"/>
  <c r="B49"/>
  <c r="B47"/>
  <c r="B45"/>
  <c r="B43"/>
  <c r="B41"/>
  <c r="B39"/>
  <c r="B37"/>
  <c r="B35"/>
  <c r="B33"/>
  <c r="B31"/>
  <c r="B29"/>
  <c r="B27"/>
  <c r="B25"/>
  <c r="B23"/>
  <c r="B21"/>
  <c r="B19"/>
  <c r="B17"/>
  <c r="B15"/>
  <c r="B13"/>
  <c r="B11"/>
  <c r="B9"/>
  <c r="B7"/>
  <c r="B5"/>
  <c r="B3"/>
  <c r="B199" i="9"/>
  <c r="B197"/>
  <c r="B195"/>
  <c r="B193"/>
  <c r="B191"/>
  <c r="B189"/>
  <c r="B186"/>
  <c r="B183"/>
  <c r="B179"/>
  <c r="B177"/>
  <c r="B175"/>
  <c r="B172"/>
  <c r="B170"/>
  <c r="B168"/>
  <c r="B166"/>
  <c r="B164"/>
  <c r="B159"/>
  <c r="B156"/>
  <c r="B154"/>
  <c r="B151"/>
  <c r="B149"/>
  <c r="B147"/>
  <c r="B144"/>
  <c r="B142"/>
  <c r="B140"/>
  <c r="B138"/>
  <c r="B136"/>
  <c r="B133"/>
  <c r="B131"/>
  <c r="B129"/>
  <c r="B127"/>
  <c r="B125"/>
  <c r="B123"/>
  <c r="B121"/>
  <c r="B118"/>
  <c r="B116"/>
  <c r="B114"/>
  <c r="B112"/>
  <c r="B110"/>
  <c r="B108"/>
  <c r="B106"/>
  <c r="B103"/>
  <c r="B100"/>
  <c r="B97"/>
  <c r="B94"/>
  <c r="B92"/>
  <c r="B89"/>
  <c r="B85"/>
  <c r="B82"/>
  <c r="B80"/>
  <c r="B78"/>
  <c r="B76"/>
  <c r="B73"/>
  <c r="B70"/>
  <c r="B67"/>
  <c r="B65"/>
  <c r="B63"/>
  <c r="B61"/>
  <c r="B59"/>
  <c r="B57"/>
  <c r="B55"/>
  <c r="B53"/>
  <c r="B50"/>
  <c r="B47"/>
  <c r="B45"/>
  <c r="B43"/>
  <c r="B41"/>
  <c r="B37"/>
  <c r="B35"/>
  <c r="B27"/>
  <c r="B25"/>
  <c r="B23"/>
  <c r="B21"/>
  <c r="B19"/>
  <c r="B17"/>
  <c r="B14"/>
  <c r="B11"/>
  <c r="B8"/>
  <c r="B6"/>
  <c r="B3"/>
  <c r="B122" i="8"/>
  <c r="B120"/>
  <c r="B118"/>
  <c r="B115"/>
  <c r="B113"/>
  <c r="B111"/>
  <c r="B109"/>
  <c r="B107"/>
  <c r="B105"/>
  <c r="B103"/>
  <c r="B101"/>
  <c r="B99"/>
  <c r="B97"/>
  <c r="B95"/>
  <c r="B93"/>
  <c r="B91"/>
  <c r="B89"/>
  <c r="B87"/>
  <c r="B84"/>
  <c r="B81"/>
  <c r="B78"/>
  <c r="B70"/>
  <c r="B67"/>
  <c r="B64"/>
  <c r="B62"/>
  <c r="B59"/>
  <c r="B57"/>
  <c r="B54"/>
  <c r="B51"/>
  <c r="B49"/>
  <c r="B47"/>
  <c r="B45"/>
  <c r="B42"/>
  <c r="B39"/>
  <c r="B36"/>
  <c r="B33"/>
  <c r="B30"/>
  <c r="B27"/>
  <c r="B24"/>
  <c r="B21"/>
  <c r="B18"/>
  <c r="B15"/>
  <c r="B12"/>
  <c r="B9"/>
  <c r="B6"/>
  <c r="B3"/>
  <c r="B37" i="7"/>
  <c r="B19"/>
  <c r="B33"/>
  <c r="B23"/>
  <c r="B73" i="5"/>
  <c r="D73" s="1"/>
  <c r="B8"/>
  <c r="B7" s="1"/>
  <c r="D7" s="1"/>
  <c r="B5"/>
  <c r="D5" s="1"/>
  <c r="B35" i="7"/>
  <c r="B31"/>
  <c r="B29"/>
  <c r="B27"/>
  <c r="B25"/>
  <c r="B21"/>
  <c r="B17"/>
  <c r="B15"/>
  <c r="B13"/>
  <c r="B10"/>
  <c r="B8"/>
  <c r="B6"/>
  <c r="B3"/>
  <c r="B43" i="6"/>
  <c r="B41"/>
  <c r="B38"/>
  <c r="B35"/>
  <c r="B33"/>
  <c r="B29"/>
  <c r="B26"/>
  <c r="B23"/>
  <c r="B21"/>
  <c r="B18"/>
  <c r="B15"/>
  <c r="B12"/>
  <c r="B10"/>
  <c r="B8"/>
  <c r="D8" s="1"/>
  <c r="B5"/>
  <c r="B70" i="5"/>
  <c r="D70" s="1"/>
  <c r="B68"/>
  <c r="D68" s="1"/>
  <c r="B65"/>
  <c r="D65" s="1"/>
  <c r="B62"/>
  <c r="D62" s="1"/>
  <c r="B59"/>
  <c r="D59" s="1"/>
  <c r="B57"/>
  <c r="D57" s="1"/>
  <c r="B55"/>
  <c r="D55" s="1"/>
  <c r="B53"/>
  <c r="D53" s="1"/>
  <c r="B51"/>
  <c r="D51" s="1"/>
  <c r="B49"/>
  <c r="D49" s="1"/>
  <c r="B47"/>
  <c r="D47" s="1"/>
  <c r="B45"/>
  <c r="D45" s="1"/>
  <c r="B42"/>
  <c r="D42" s="1"/>
  <c r="B40"/>
  <c r="D40" s="1"/>
  <c r="B38"/>
  <c r="D38" s="1"/>
  <c r="B35"/>
  <c r="D35" s="1"/>
  <c r="B33"/>
  <c r="D33" s="1"/>
  <c r="B31"/>
  <c r="D31" s="1"/>
  <c r="B27"/>
  <c r="D27" s="1"/>
  <c r="B29"/>
  <c r="D29" s="1"/>
  <c r="B24"/>
  <c r="D24" s="1"/>
  <c r="B22"/>
  <c r="D22" s="1"/>
  <c r="B20"/>
  <c r="D20" s="1"/>
  <c r="B16"/>
  <c r="D16" s="1"/>
  <c r="B14"/>
  <c r="D14" s="1"/>
  <c r="B12"/>
  <c r="D12" s="1"/>
  <c r="B10"/>
  <c r="D10" s="1"/>
  <c r="B18" i="4"/>
  <c r="B16"/>
  <c r="B14"/>
  <c r="B11"/>
  <c r="B8"/>
  <c r="B6"/>
  <c r="B4"/>
  <c r="B184" i="2"/>
  <c r="B182"/>
  <c r="B180"/>
  <c r="B171"/>
  <c r="B162"/>
  <c r="B153"/>
  <c r="B150"/>
  <c r="B135"/>
  <c r="B129"/>
  <c r="B127"/>
  <c r="B121"/>
  <c r="B119"/>
  <c r="B117"/>
  <c r="B115"/>
  <c r="B113"/>
  <c r="B111"/>
  <c r="B105"/>
  <c r="B107"/>
  <c r="B108"/>
  <c r="B109"/>
  <c r="B102"/>
  <c r="B100"/>
  <c r="B98"/>
  <c r="B96"/>
  <c r="B94"/>
  <c r="B92"/>
  <c r="B90"/>
  <c r="B88"/>
  <c r="B83"/>
  <c r="B81"/>
  <c r="B79"/>
  <c r="B77"/>
  <c r="B75"/>
  <c r="B73"/>
  <c r="B71"/>
  <c r="B63"/>
  <c r="B59"/>
  <c r="B53"/>
  <c r="D53" s="1"/>
  <c r="B51"/>
  <c r="B49"/>
  <c r="B47"/>
  <c r="B45"/>
  <c r="B43"/>
  <c r="B41"/>
  <c r="B39"/>
  <c r="B37"/>
  <c r="B33"/>
  <c r="B35"/>
  <c r="B31"/>
  <c r="B29"/>
  <c r="B25"/>
  <c r="B23"/>
  <c r="B21"/>
  <c r="B19"/>
  <c r="B17"/>
  <c r="B15"/>
  <c r="B13"/>
  <c r="B11"/>
  <c r="B9"/>
  <c r="B7"/>
  <c r="B4"/>
  <c r="B104" l="1"/>
</calcChain>
</file>

<file path=xl/comments1.xml><?xml version="1.0" encoding="utf-8"?>
<comments xmlns="http://schemas.openxmlformats.org/spreadsheetml/2006/main">
  <authors>
    <author>Hawk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2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3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* not in document
* text with dollar has format problem</t>
        </r>
      </text>
    </comment>
  </commentList>
</comments>
</file>

<file path=xl/comments4.xml><?xml version="1.0" encoding="utf-8"?>
<comments xmlns="http://schemas.openxmlformats.org/spreadsheetml/2006/main">
  <authors>
    <author>Hawk</author>
  </authors>
  <commentList>
    <comment ref="A1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5.xml><?xml version="1.0" encoding="utf-8"?>
<comments xmlns="http://schemas.openxmlformats.org/spreadsheetml/2006/main">
  <authors>
    <author>Hawk</author>
  </authors>
  <commentLis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0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1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6.xml><?xml version="1.0" encoding="utf-8"?>
<comments xmlns="http://schemas.openxmlformats.org/spreadsheetml/2006/main">
  <authors>
    <author>Hawk</author>
  </authors>
  <commentList>
    <comment ref="A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7.xml><?xml version="1.0" encoding="utf-8"?>
<comments xmlns="http://schemas.openxmlformats.org/spreadsheetml/2006/main">
  <authors>
    <author>Hawk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sharedStrings.xml><?xml version="1.0" encoding="utf-8"?>
<sst xmlns="http://schemas.openxmlformats.org/spreadsheetml/2006/main" count="476" uniqueCount="402">
  <si>
    <t>name-range formula</t>
  </si>
  <si>
    <t>ZSS formula list</t>
  </si>
  <si>
    <t>http://books.zkoss.org/wiki/Small_Talks/2010/December/New_Features_of_ZK_Spreadsheet_2.0#Built-in_Functions</t>
  </si>
  <si>
    <t>Math</t>
  </si>
  <si>
    <t>ABS</t>
  </si>
  <si>
    <t>ACOS</t>
  </si>
  <si>
    <t>ACOSH</t>
  </si>
  <si>
    <t>ASIN</t>
  </si>
  <si>
    <t>ASINH</t>
  </si>
  <si>
    <t>ATAN</t>
  </si>
  <si>
    <t>ATAN2</t>
  </si>
  <si>
    <t>ATANH</t>
  </si>
  <si>
    <t>CEILING</t>
  </si>
  <si>
    <t>COS</t>
  </si>
  <si>
    <t>COSH</t>
  </si>
  <si>
    <t>DEGREES</t>
  </si>
  <si>
    <t>EVEN</t>
  </si>
  <si>
    <t>EXP</t>
  </si>
  <si>
    <t>FACT</t>
  </si>
  <si>
    <t>FACTDOUBLE</t>
  </si>
  <si>
    <t>FLOOR</t>
  </si>
  <si>
    <t>GCD</t>
  </si>
  <si>
    <t>INT</t>
  </si>
  <si>
    <t>LCM</t>
  </si>
  <si>
    <t>LN</t>
  </si>
  <si>
    <t>LOG</t>
  </si>
  <si>
    <t>LOG10</t>
  </si>
  <si>
    <t>MDETERM</t>
  </si>
  <si>
    <t>MINVERSE</t>
  </si>
  <si>
    <t>MMULT</t>
  </si>
  <si>
    <t>MOD</t>
  </si>
  <si>
    <t>MROUND</t>
  </si>
  <si>
    <t>MULTINOMIAL</t>
  </si>
  <si>
    <t>ODD</t>
  </si>
  <si>
    <t>PI</t>
  </si>
  <si>
    <t>POWER</t>
  </si>
  <si>
    <t>PRODUCT</t>
  </si>
  <si>
    <t>QUOTIENT</t>
  </si>
  <si>
    <t>RADIANS</t>
  </si>
  <si>
    <t>RAND</t>
  </si>
  <si>
    <t>RANDBETWEEN</t>
  </si>
  <si>
    <t>ROMAN</t>
  </si>
  <si>
    <t>ROUND</t>
  </si>
  <si>
    <t>ROUNDDOWN</t>
  </si>
  <si>
    <t>ROUNDUP</t>
  </si>
  <si>
    <t>SERIESSUM</t>
  </si>
  <si>
    <t>SIGN</t>
  </si>
  <si>
    <t>SIN</t>
  </si>
  <si>
    <t>SINH</t>
  </si>
  <si>
    <t>SQRT</t>
  </si>
  <si>
    <t>SQRTPI</t>
  </si>
  <si>
    <t>SUBTOTAL</t>
  </si>
  <si>
    <t>SUM</t>
  </si>
  <si>
    <t>SUMIF</t>
  </si>
  <si>
    <t>SUMIFS</t>
  </si>
  <si>
    <t>SUMPRODUCT</t>
  </si>
  <si>
    <t>SUMSQ</t>
  </si>
  <si>
    <t>SUMX2MY2</t>
  </si>
  <si>
    <t>SUMX2PY2</t>
  </si>
  <si>
    <t>SUMXMY2</t>
  </si>
  <si>
    <t>TAN</t>
  </si>
  <si>
    <t>TANH</t>
  </si>
  <si>
    <t>TRUNC</t>
  </si>
  <si>
    <t>formula result</t>
  </si>
  <si>
    <t>formula and parameters</t>
  </si>
  <si>
    <t>COMBIN</t>
  </si>
  <si>
    <t>array1</t>
  </si>
  <si>
    <t>array2</t>
  </si>
  <si>
    <t>I create the following formula test cases based on Excel Help. Open the Help, select "Function reference" and select function category to browser all function of a certain category, e.g. "Math and trigonometry"</t>
  </si>
  <si>
    <t>0-100</t>
  </si>
  <si>
    <t>CDXCIX</t>
  </si>
  <si>
    <t>Apples</t>
  </si>
  <si>
    <t>Artichokes</t>
  </si>
  <si>
    <t>Bananas</t>
  </si>
  <si>
    <t>Carrots</t>
  </si>
  <si>
    <t>Invalid input</t>
  </si>
  <si>
    <t>Logical</t>
  </si>
  <si>
    <t>AND</t>
  </si>
  <si>
    <t>IF</t>
  </si>
  <si>
    <t>IFERROR</t>
  </si>
  <si>
    <t>NOT</t>
  </si>
  <si>
    <t>OR</t>
  </si>
  <si>
    <t>over 10</t>
  </si>
  <si>
    <t>Text</t>
  </si>
  <si>
    <t>BAHTTEXT</t>
  </si>
  <si>
    <t>CHAR</t>
  </si>
  <si>
    <t>CODE</t>
  </si>
  <si>
    <t>CONCATENATE</t>
  </si>
  <si>
    <t>DOLLAR</t>
  </si>
  <si>
    <t>EXACT</t>
  </si>
  <si>
    <t>FIXED</t>
  </si>
  <si>
    <t>LOWER</t>
  </si>
  <si>
    <t>PROPER</t>
  </si>
  <si>
    <t>REPT</t>
  </si>
  <si>
    <t>SUBSTITUTE</t>
  </si>
  <si>
    <t>T</t>
  </si>
  <si>
    <t>TEXT</t>
  </si>
  <si>
    <t>TRIM</t>
  </si>
  <si>
    <t>UPPER</t>
  </si>
  <si>
    <t>Sale Price</t>
  </si>
  <si>
    <t>CLEAN</t>
  </si>
  <si>
    <t>A</t>
  </si>
  <si>
    <t>Z</t>
  </si>
  <si>
    <t>K</t>
  </si>
  <si>
    <t>ZK</t>
  </si>
  <si>
    <t>單字</t>
  </si>
  <si>
    <t>FINDB</t>
  </si>
  <si>
    <t>FIND</t>
  </si>
  <si>
    <t>Miriam McGovern</t>
  </si>
  <si>
    <t>LEFT</t>
  </si>
  <si>
    <t>LEFTB</t>
  </si>
  <si>
    <t>LEN</t>
  </si>
  <si>
    <t>LENB</t>
  </si>
  <si>
    <t>東 京 都 涉 谷 區</t>
  </si>
  <si>
    <t xml:space="preserve">東 京 </t>
  </si>
  <si>
    <t>Phoenix, AZ</t>
  </si>
  <si>
    <t>E. E. Cummings</t>
  </si>
  <si>
    <t>e. e. cummings</t>
  </si>
  <si>
    <t>MIDB</t>
  </si>
  <si>
    <t>REPLACE</t>
  </si>
  <si>
    <t>REPLACEB</t>
  </si>
  <si>
    <t>Fluid Flow</t>
  </si>
  <si>
    <t>MID</t>
  </si>
  <si>
    <t>Fluid</t>
  </si>
  <si>
    <t>ASC</t>
  </si>
  <si>
    <t>PHONETIC</t>
  </si>
  <si>
    <t>this is a TITLE</t>
  </si>
  <si>
    <t>This Is A Title</t>
  </si>
  <si>
    <t>abcdefghijk</t>
  </si>
  <si>
    <t>abcde*k</t>
  </si>
  <si>
    <t>*-*-*-</t>
  </si>
  <si>
    <t>RIGHT</t>
  </si>
  <si>
    <t>RIGHTB</t>
  </si>
  <si>
    <t>Price</t>
  </si>
  <si>
    <t>SEARCH</t>
  </si>
  <si>
    <t>SEARCHB</t>
  </si>
  <si>
    <t>Quarter 1, 2008</t>
  </si>
  <si>
    <t>Quarter 2, 2008</t>
  </si>
  <si>
    <t>Date: 2007-08-06</t>
  </si>
  <si>
    <t>revenue in quarter 1</t>
  </si>
  <si>
    <t>total</t>
  </si>
  <si>
    <t>TOTAL</t>
  </si>
  <si>
    <t>VALUE</t>
  </si>
  <si>
    <t>ERROR.TYPE</t>
  </si>
  <si>
    <t>INFO</t>
  </si>
  <si>
    <t>ISBLANK</t>
  </si>
  <si>
    <t>ISERR</t>
  </si>
  <si>
    <t>ISERROR</t>
  </si>
  <si>
    <t>ISEVEN</t>
  </si>
  <si>
    <t>ISLOGICAL</t>
  </si>
  <si>
    <t>ISNA</t>
  </si>
  <si>
    <t>ISNONTEXT</t>
  </si>
  <si>
    <t>ISNUMBER</t>
  </si>
  <si>
    <t>ISODD</t>
  </si>
  <si>
    <t>ISREF</t>
  </si>
  <si>
    <t>ISTEXT</t>
  </si>
  <si>
    <t>N</t>
  </si>
  <si>
    <t>NA</t>
  </si>
  <si>
    <t>TYPE</t>
  </si>
  <si>
    <t>CELL</t>
  </si>
  <si>
    <t>not blank</t>
  </si>
  <si>
    <t>text</t>
  </si>
  <si>
    <t>zk</t>
  </si>
  <si>
    <t>Info</t>
  </si>
  <si>
    <t>Date &amp; Time</t>
  </si>
  <si>
    <t>DATE</t>
  </si>
  <si>
    <t>DATEVALUE</t>
  </si>
  <si>
    <t>DAY</t>
  </si>
  <si>
    <t>DAYS360</t>
  </si>
  <si>
    <t>HOUR</t>
  </si>
  <si>
    <t>MINUTE</t>
  </si>
  <si>
    <t>MONTH</t>
  </si>
  <si>
    <t>NOW</t>
  </si>
  <si>
    <t>SECOND</t>
  </si>
  <si>
    <t>TIME</t>
  </si>
  <si>
    <t>TIMEVALUE</t>
  </si>
  <si>
    <t>TODAY</t>
  </si>
  <si>
    <t>WEEKDAY</t>
  </si>
  <si>
    <t>YEAR</t>
  </si>
  <si>
    <t>EDATE</t>
  </si>
  <si>
    <t>EOMONTH</t>
  </si>
  <si>
    <t>NETWORKDAYS</t>
  </si>
  <si>
    <t>WEEKNUM</t>
  </si>
  <si>
    <t>WORKDAY</t>
  </si>
  <si>
    <t>YEARFRAC</t>
  </si>
  <si>
    <t>Financial</t>
  </si>
  <si>
    <t>Statistical</t>
  </si>
  <si>
    <t>Engineering</t>
  </si>
  <si>
    <t>ACCRINT</t>
  </si>
  <si>
    <t>ACCRINTM</t>
  </si>
  <si>
    <t>AMORDEGRC</t>
  </si>
  <si>
    <t>AMORLINC</t>
  </si>
  <si>
    <t>COUPDAYBS</t>
  </si>
  <si>
    <t>COUPDAYS</t>
  </si>
  <si>
    <t>COUPDAYSNC</t>
  </si>
  <si>
    <t>COUPNCD</t>
  </si>
  <si>
    <t>COUPNUM</t>
  </si>
  <si>
    <t>COUPPCD</t>
  </si>
  <si>
    <t>CUMIPMT</t>
  </si>
  <si>
    <t>CUMPRINC</t>
  </si>
  <si>
    <t>DB</t>
  </si>
  <si>
    <t>DDB</t>
  </si>
  <si>
    <t>DISC</t>
  </si>
  <si>
    <t>DOLLARDE</t>
  </si>
  <si>
    <t>DOLLARFR</t>
  </si>
  <si>
    <t>DURATION</t>
  </si>
  <si>
    <t>EFFECT</t>
  </si>
  <si>
    <t>FV</t>
  </si>
  <si>
    <t>FVSCHEDULE</t>
  </si>
  <si>
    <t>INTRATE</t>
  </si>
  <si>
    <t>IPMT</t>
  </si>
  <si>
    <t>NOMINAL</t>
  </si>
  <si>
    <t>PPMT</t>
  </si>
  <si>
    <t>PRICE</t>
  </si>
  <si>
    <t>PRICEDISC</t>
  </si>
  <si>
    <t>PRICEMAT</t>
  </si>
  <si>
    <t>PV</t>
  </si>
  <si>
    <t>RECEIVED</t>
  </si>
  <si>
    <t>SLN</t>
  </si>
  <si>
    <t>SYD</t>
  </si>
  <si>
    <t>TBILLEQ</t>
  </si>
  <si>
    <t>TBILLYIELD</t>
  </si>
  <si>
    <t>XNPV</t>
  </si>
  <si>
    <t>YIELD</t>
  </si>
  <si>
    <t>YIELDDISC</t>
  </si>
  <si>
    <t>YIELDMAT</t>
  </si>
  <si>
    <t>IRR</t>
  </si>
  <si>
    <t>ISPMT</t>
  </si>
  <si>
    <t>MDURATION </t>
  </si>
  <si>
    <t>MIRR</t>
  </si>
  <si>
    <t>NPER</t>
  </si>
  <si>
    <t>NPV</t>
  </si>
  <si>
    <t>ODDFPRICE</t>
  </si>
  <si>
    <t>ODDFYIELD </t>
  </si>
  <si>
    <t>ODDLPRICE</t>
  </si>
  <si>
    <t>ODDLYIELD</t>
  </si>
  <si>
    <t>PMT</t>
  </si>
  <si>
    <t>RATE</t>
  </si>
  <si>
    <t>TBILLPRICE</t>
  </si>
  <si>
    <t>VDB</t>
  </si>
  <si>
    <t>XIRR </t>
  </si>
  <si>
    <t>AVEDEV</t>
  </si>
  <si>
    <t>AVERAGE</t>
  </si>
  <si>
    <t>AVERAGEA</t>
  </si>
  <si>
    <t>AVERAGEIF</t>
  </si>
  <si>
    <t>AVERAGEIFS</t>
  </si>
  <si>
    <t>BETADIST</t>
  </si>
  <si>
    <t>BETAINV</t>
  </si>
  <si>
    <t>BINOMDIST</t>
  </si>
  <si>
    <t>CHIDIST</t>
  </si>
  <si>
    <t>CHIINV</t>
  </si>
  <si>
    <t>COUNT</t>
  </si>
  <si>
    <t>COUNTA</t>
  </si>
  <si>
    <t>COUNTBLANK</t>
  </si>
  <si>
    <t>COUNTIF</t>
  </si>
  <si>
    <t>DEVSQ</t>
  </si>
  <si>
    <t>EXPONDIST</t>
  </si>
  <si>
    <t>FDIST</t>
  </si>
  <si>
    <t>FINV</t>
  </si>
  <si>
    <t>GAMMADIST</t>
  </si>
  <si>
    <t>GAMMAINV</t>
  </si>
  <si>
    <t>GAMMALN</t>
  </si>
  <si>
    <t>GEOMEAN</t>
  </si>
  <si>
    <t>GROWTH</t>
  </si>
  <si>
    <t>HARMEAN</t>
  </si>
  <si>
    <t>HYPGEOMDIST</t>
  </si>
  <si>
    <t>INTERCEPT</t>
  </si>
  <si>
    <t>KURT</t>
  </si>
  <si>
    <t>LARGE</t>
  </si>
  <si>
    <t>MAX</t>
  </si>
  <si>
    <t>MAXA</t>
  </si>
  <si>
    <t>MEDIAN</t>
  </si>
  <si>
    <t>MIN</t>
  </si>
  <si>
    <t>MINA</t>
  </si>
  <si>
    <t>MODE</t>
  </si>
  <si>
    <t>NORMDIST</t>
  </si>
  <si>
    <t>POISSON</t>
  </si>
  <si>
    <t>SKEW</t>
  </si>
  <si>
    <t>SLOPE</t>
  </si>
  <si>
    <t>SMALL</t>
  </si>
  <si>
    <t>STDEV</t>
  </si>
  <si>
    <t>STDEVA</t>
  </si>
  <si>
    <t>TDIST</t>
  </si>
  <si>
    <t>TINV</t>
  </si>
  <si>
    <t>VAR</t>
  </si>
  <si>
    <t>WEIBULL</t>
  </si>
  <si>
    <t>無法使用</t>
  </si>
  <si>
    <t>未完成</t>
  </si>
  <si>
    <t>CHITEST</t>
  </si>
  <si>
    <t>CONFIDENCE</t>
  </si>
  <si>
    <t>CORREL</t>
  </si>
  <si>
    <t>Sales</t>
  </si>
  <si>
    <t>apples</t>
  </si>
  <si>
    <t>oranges</t>
  </si>
  <si>
    <t>peaches</t>
  </si>
  <si>
    <t>COUNTIFS</t>
  </si>
  <si>
    <t>COVAR</t>
  </si>
  <si>
    <t>CRITBINOM</t>
  </si>
  <si>
    <t>FISHER</t>
  </si>
  <si>
    <t>FISHERINV</t>
  </si>
  <si>
    <t>FORECAST</t>
  </si>
  <si>
    <t>FREQUENCY</t>
  </si>
  <si>
    <t>FTEST</t>
  </si>
  <si>
    <t>LINEST</t>
  </si>
  <si>
    <t>LOGINV</t>
  </si>
  <si>
    <t>LOGNORMDIST</t>
  </si>
  <si>
    <t>NEGBINOMDIST</t>
  </si>
  <si>
    <t>NORMINV</t>
  </si>
  <si>
    <t>NORMSDIST</t>
  </si>
  <si>
    <t>NORMSINV</t>
  </si>
  <si>
    <t>PEARSON</t>
  </si>
  <si>
    <t>PERCENTILE</t>
  </si>
  <si>
    <t>PERCENTRANK</t>
  </si>
  <si>
    <t>PERMUT</t>
  </si>
  <si>
    <t>PROB</t>
  </si>
  <si>
    <t>QUARTILE</t>
  </si>
  <si>
    <t>RANK</t>
  </si>
  <si>
    <t>RSQ</t>
  </si>
  <si>
    <t>STANDARDIZE</t>
  </si>
  <si>
    <t>STDEVP</t>
  </si>
  <si>
    <t>STDEVPA</t>
  </si>
  <si>
    <t>STEYX</t>
  </si>
  <si>
    <t>TREND</t>
  </si>
  <si>
    <t>TRIMMEAN</t>
  </si>
  <si>
    <t>TTEST</t>
  </si>
  <si>
    <t>VARA</t>
  </si>
  <si>
    <t>VARP</t>
  </si>
  <si>
    <t>VARPA</t>
  </si>
  <si>
    <t>ZTEST</t>
  </si>
  <si>
    <t>BESSELI</t>
  </si>
  <si>
    <t>BESSELJ</t>
  </si>
  <si>
    <t>BESSELK</t>
  </si>
  <si>
    <t>BESSELY</t>
  </si>
  <si>
    <t>BIN2DEC</t>
  </si>
  <si>
    <t>BIN2HEX</t>
  </si>
  <si>
    <t>BIN2OCT</t>
  </si>
  <si>
    <t>COMPLEX</t>
  </si>
  <si>
    <t>DEC2BIN</t>
  </si>
  <si>
    <t>DEC2HEX</t>
  </si>
  <si>
    <t>DEC2OCT</t>
  </si>
  <si>
    <t>DELTA</t>
  </si>
  <si>
    <t>ERF</t>
  </si>
  <si>
    <t>ERFC</t>
  </si>
  <si>
    <t>GESTEP</t>
  </si>
  <si>
    <t>HEX2BIN</t>
  </si>
  <si>
    <t>HEX2DEC</t>
  </si>
  <si>
    <t>HEX2OCT</t>
  </si>
  <si>
    <t>IMABS</t>
  </si>
  <si>
    <t>IMAGINARY</t>
  </si>
  <si>
    <t>IMARGUMENT</t>
  </si>
  <si>
    <t>IMCONJUGATE</t>
  </si>
  <si>
    <t>IMCOS</t>
  </si>
  <si>
    <t>IMDIV</t>
  </si>
  <si>
    <t>IMEXP</t>
  </si>
  <si>
    <t>IMLN</t>
  </si>
  <si>
    <t>IMLOG10</t>
  </si>
  <si>
    <t>IMLOG2</t>
  </si>
  <si>
    <t>IMPOWER</t>
  </si>
  <si>
    <t>IMPRODUCT</t>
  </si>
  <si>
    <t>IMREAL</t>
  </si>
  <si>
    <t>IMSIN</t>
  </si>
  <si>
    <t>IMSQRT</t>
  </si>
  <si>
    <t>IMSUB</t>
  </si>
  <si>
    <t>IMSUM</t>
  </si>
  <si>
    <t>OCT2BIN</t>
  </si>
  <si>
    <t>OCT2DEC</t>
  </si>
  <si>
    <t>OCT2HEX</t>
  </si>
  <si>
    <t>00FB</t>
  </si>
  <si>
    <t>011</t>
  </si>
  <si>
    <t>3+4i</t>
  </si>
  <si>
    <t>CONVERT</t>
  </si>
  <si>
    <t>0064</t>
  </si>
  <si>
    <t>072</t>
  </si>
  <si>
    <t>00001111</t>
  </si>
  <si>
    <t>017</t>
  </si>
  <si>
    <t>3-4i</t>
  </si>
  <si>
    <t>0.833730025131149-0.988897705762865i</t>
  </si>
  <si>
    <t>5+12i</t>
  </si>
  <si>
    <t>1.46869393991589+2.28735528717884i</t>
  </si>
  <si>
    <t>1.6094379124341+0.927295218001612i</t>
  </si>
  <si>
    <t>0.698970004336019+0.402719196273373i</t>
  </si>
  <si>
    <t>2.32192809506607+1.33780421255394i</t>
  </si>
  <si>
    <t>-46+9.00000000000001i</t>
  </si>
  <si>
    <t>27+11i</t>
  </si>
  <si>
    <t>3.85373803791938-27.0168132580039i</t>
  </si>
  <si>
    <t>1.09868411346781+0.455089860562227i</t>
  </si>
  <si>
    <t>8+i</t>
  </si>
  <si>
    <t>0040</t>
  </si>
  <si>
    <t>JIS</t>
  </si>
  <si>
    <t>LOGEST</t>
  </si>
  <si>
    <t>DateTime</t>
  </si>
  <si>
    <t>EXCEL</t>
  </si>
  <si>
    <t>NT$1,234.57</t>
  </si>
  <si>
    <t>1,234.6</t>
  </si>
  <si>
    <t>human check</t>
  </si>
  <si>
    <t>12.0</t>
  </si>
  <si>
    <t>Not a Formula</t>
  </si>
  <si>
    <t>abc()</t>
  </si>
  <si>
    <t>1001</t>
  </si>
  <si>
    <t>END OF FORMULA</t>
  </si>
  <si>
    <t>toTWD</t>
  </si>
  <si>
    <t>Custom</t>
  </si>
</sst>
</file>

<file path=xl/styles.xml><?xml version="1.0" encoding="utf-8"?>
<styleSheet xmlns="http://schemas.openxmlformats.org/spreadsheetml/2006/main">
  <numFmts count="8">
    <numFmt numFmtId="8" formatCode="&quot;NT$&quot;#,##0.00;[Red]\-&quot;NT$&quot;#,##0.00"/>
    <numFmt numFmtId="164" formatCode="0.0000"/>
    <numFmt numFmtId="165" formatCode="0.0"/>
    <numFmt numFmtId="166" formatCode="#,##0.00_ ;[Red]\-#,##0.00\ "/>
    <numFmt numFmtId="167" formatCode="0.00_ ;[Red]\-0.00\ "/>
    <numFmt numFmtId="168" formatCode="0.0%"/>
    <numFmt numFmtId="169" formatCode="0_ ;[Red]\-0\ "/>
    <numFmt numFmtId="170" formatCode="0.000000"/>
  </numFmts>
  <fonts count="12">
    <font>
      <sz val="11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36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  <font>
      <sz val="11"/>
      <color rgb="FF444444"/>
      <name val="Segoe UI"/>
      <family val="2"/>
    </font>
    <font>
      <sz val="10"/>
      <color rgb="FF222222"/>
      <name val="Arial"/>
      <family val="2"/>
    </font>
    <font>
      <sz val="9"/>
      <color rgb="FF666666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BBBBBB"/>
      </bottom>
      <diagonal/>
    </border>
    <border>
      <left/>
      <right style="medium">
        <color rgb="FFBBBBBB"/>
      </right>
      <top/>
      <bottom style="medium">
        <color rgb="FFBBBBBB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NumberFormat="1" applyFont="1"/>
    <xf numFmtId="0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/>
    <xf numFmtId="0" fontId="7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0" xfId="0" applyAlignment="1"/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2" borderId="2" xfId="0" applyFill="1" applyBorder="1"/>
    <xf numFmtId="8" fontId="0" fillId="0" borderId="0" xfId="0" applyNumberFormat="1"/>
    <xf numFmtId="165" fontId="0" fillId="0" borderId="0" xfId="0" applyNumberFormat="1"/>
    <xf numFmtId="0" fontId="8" fillId="0" borderId="0" xfId="0" applyFont="1"/>
    <xf numFmtId="0" fontId="0" fillId="2" borderId="0" xfId="0" applyFill="1" applyBorder="1"/>
    <xf numFmtId="14" fontId="0" fillId="0" borderId="0" xfId="0" applyNumberFormat="1"/>
    <xf numFmtId="14" fontId="5" fillId="0" borderId="0" xfId="0" applyNumberFormat="1" applyFont="1"/>
    <xf numFmtId="22" fontId="0" fillId="0" borderId="0" xfId="0" applyNumberFormat="1"/>
    <xf numFmtId="0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9" fontId="0" fillId="0" borderId="0" xfId="0" applyNumberFormat="1"/>
    <xf numFmtId="168" fontId="0" fillId="0" borderId="0" xfId="0" applyNumberFormat="1"/>
    <xf numFmtId="9" fontId="5" fillId="0" borderId="0" xfId="0" applyNumberFormat="1" applyFont="1"/>
    <xf numFmtId="169" fontId="0" fillId="0" borderId="0" xfId="0" applyNumberFormat="1"/>
    <xf numFmtId="170" fontId="0" fillId="0" borderId="0" xfId="0" applyNumberFormat="1"/>
    <xf numFmtId="2" fontId="5" fillId="0" borderId="0" xfId="0" applyNumberFormat="1" applyFont="1"/>
    <xf numFmtId="0" fontId="1" fillId="0" borderId="0" xfId="0" applyFont="1" applyAlignment="1">
      <alignment wrapText="1"/>
    </xf>
    <xf numFmtId="49" fontId="0" fillId="0" borderId="0" xfId="0" applyNumberFormat="1"/>
    <xf numFmtId="0" fontId="11" fillId="0" borderId="0" xfId="0" applyFont="1"/>
    <xf numFmtId="2" fontId="6" fillId="0" borderId="0" xfId="0" applyNumberFormat="1" applyFo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47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0000FF"/>
      <color rgb="FF3333FF"/>
      <color rgb="FF00FF00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ooks.zkoss.org/wiki/Small_Talks/2010/December/New_Features_of_ZK_Spreadsheet_2.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0"/>
  <sheetViews>
    <sheetView tabSelected="1" workbookViewId="0">
      <selection activeCell="C6" sqref="C6"/>
    </sheetView>
  </sheetViews>
  <sheetFormatPr defaultRowHeight="15"/>
  <sheetData>
    <row r="2" spans="1:4" ht="15.75">
      <c r="A2" s="1" t="s">
        <v>124</v>
      </c>
      <c r="B2" t="str">
        <f>ASC("EXCEL")</f>
        <v>EXCEL</v>
      </c>
      <c r="C2" t="s">
        <v>391</v>
      </c>
      <c r="D2" t="str">
        <f>IF(B2=C2,"T","WARN")</f>
        <v>T</v>
      </c>
    </row>
    <row r="4" spans="1:4" ht="15.75">
      <c r="A4" s="1" t="s">
        <v>85</v>
      </c>
      <c r="B4" s="5" t="str">
        <f>CHAR(65)</f>
        <v>A</v>
      </c>
      <c r="C4" t="s">
        <v>101</v>
      </c>
      <c r="D4" t="str">
        <f>IF(B4=C4,"T","WARN")</f>
        <v>T</v>
      </c>
    </row>
    <row r="6" spans="1:4" ht="15.75">
      <c r="A6" s="1" t="s">
        <v>246</v>
      </c>
      <c r="B6" s="25">
        <f>BETADIST(2,8,10,1,3)</f>
        <v>0.68547058095349067</v>
      </c>
      <c r="C6">
        <v>0.68547058095349067</v>
      </c>
      <c r="D6" t="str">
        <f>IF(B6=C6,"T","WARN")</f>
        <v>T</v>
      </c>
    </row>
    <row r="7" spans="1:4" ht="15.75">
      <c r="A7" s="1"/>
    </row>
    <row r="8" spans="1:4" ht="15.75">
      <c r="A8" s="1" t="s">
        <v>247</v>
      </c>
      <c r="B8" s="12">
        <f>BETAINV(0.6854,8,10,1,3)</f>
        <v>1.9999523162841797</v>
      </c>
      <c r="C8">
        <v>1.9999523162841797</v>
      </c>
      <c r="D8" t="str">
        <f>IF(B8=C8,"T","WARN")</f>
        <v>T</v>
      </c>
    </row>
    <row r="10" spans="1:4">
      <c r="A10" t="s">
        <v>399</v>
      </c>
    </row>
  </sheetData>
  <conditionalFormatting sqref="D2:D4">
    <cfRule type="cellIs" dxfId="3" priority="2" operator="equal">
      <formula>"WARN"</formula>
    </cfRule>
  </conditionalFormatting>
  <conditionalFormatting sqref="D6 D8">
    <cfRule type="cellIs" dxfId="1" priority="1" operator="equal">
      <formula>"WARN"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501"/>
  <sheetViews>
    <sheetView workbookViewId="0">
      <selection sqref="A1:C1"/>
    </sheetView>
  </sheetViews>
  <sheetFormatPr defaultRowHeight="15"/>
  <cols>
    <col min="1" max="1" width="19.42578125" bestFit="1" customWidth="1"/>
    <col min="2" max="3" width="36.57031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187</v>
      </c>
      <c r="B1" s="1" t="s">
        <v>64</v>
      </c>
      <c r="C1" s="1" t="s">
        <v>63</v>
      </c>
    </row>
    <row r="2" spans="1:4" ht="25.5" customHeight="1"/>
    <row r="3" spans="1:4" ht="15.75">
      <c r="A3" s="1" t="s">
        <v>329</v>
      </c>
      <c r="B3" s="25">
        <f>BESSELI(1.5,1)</f>
        <v>0.98166642847516605</v>
      </c>
      <c r="C3" s="25">
        <v>0.98166642847516605</v>
      </c>
      <c r="D3" t="str">
        <f>IF(B3=C3,"T","WARN")</f>
        <v>T</v>
      </c>
    </row>
    <row r="4" spans="1:4" ht="15.75">
      <c r="A4" s="1"/>
      <c r="B4" s="24"/>
      <c r="C4" s="24"/>
    </row>
    <row r="5" spans="1:4" ht="15.75">
      <c r="A5" s="1" t="s">
        <v>330</v>
      </c>
      <c r="B5" s="25">
        <f>BESSELJ(1.9,2)</f>
        <v>0.3299258286697852</v>
      </c>
      <c r="C5" s="25">
        <v>0.3299258286697852</v>
      </c>
      <c r="D5" t="str">
        <f>IF(B5=C5,"T","WARN")</f>
        <v>T</v>
      </c>
    </row>
    <row r="6" spans="1:4" ht="15.75">
      <c r="A6" s="1"/>
      <c r="B6" s="24"/>
      <c r="C6" s="24"/>
    </row>
    <row r="7" spans="1:4" ht="15.75">
      <c r="A7" s="1" t="s">
        <v>331</v>
      </c>
      <c r="B7" s="25">
        <f>BESSELK(1.5,1)</f>
        <v>0.27738780363225868</v>
      </c>
      <c r="C7" s="25">
        <v>0.27738780363225868</v>
      </c>
      <c r="D7" t="str">
        <f>IF(B7=C7,"T","WARN")</f>
        <v>T</v>
      </c>
    </row>
    <row r="8" spans="1:4" ht="15.75">
      <c r="A8" s="1"/>
      <c r="B8" s="24"/>
      <c r="C8" s="24"/>
    </row>
    <row r="9" spans="1:4" ht="15.75">
      <c r="A9" s="1" t="s">
        <v>332</v>
      </c>
      <c r="B9" s="25">
        <f>BESSELY(2.5,1)</f>
        <v>0.14591813750831284</v>
      </c>
      <c r="C9" s="25">
        <v>0.14591813750831284</v>
      </c>
      <c r="D9" t="str">
        <f>IF(B9=C9,"T","WARN")</f>
        <v>T</v>
      </c>
    </row>
    <row r="10" spans="1:4" ht="15.75">
      <c r="A10" s="1"/>
      <c r="B10" s="24"/>
      <c r="C10" s="24"/>
    </row>
    <row r="11" spans="1:4" ht="15.75">
      <c r="A11" s="1" t="s">
        <v>333</v>
      </c>
      <c r="B11" s="7">
        <f>BIN2DEC(1100100)</f>
        <v>100</v>
      </c>
      <c r="C11" s="7">
        <v>100</v>
      </c>
      <c r="D11" t="str">
        <f>IF(B11=C11,"T","WARN")</f>
        <v>T</v>
      </c>
    </row>
    <row r="12" spans="1:4" ht="15.75">
      <c r="A12" s="1"/>
      <c r="B12" s="24"/>
      <c r="C12" s="24"/>
    </row>
    <row r="13" spans="1:4" ht="15.75">
      <c r="A13" s="1" t="s">
        <v>334</v>
      </c>
      <c r="B13" s="24" t="str">
        <f>BIN2HEX(11111011,4)</f>
        <v>00FB</v>
      </c>
      <c r="C13" s="24" t="s">
        <v>367</v>
      </c>
      <c r="D13" t="str">
        <f>IF(B13=C13,"T","WARN")</f>
        <v>T</v>
      </c>
    </row>
    <row r="14" spans="1:4" ht="15.75">
      <c r="A14" s="1"/>
      <c r="B14" s="24"/>
      <c r="C14" s="24"/>
    </row>
    <row r="15" spans="1:4" ht="15.75">
      <c r="A15" s="1" t="s">
        <v>335</v>
      </c>
      <c r="B15" s="24" t="str">
        <f>BIN2OCT(1001,3)</f>
        <v>011</v>
      </c>
      <c r="C15" s="35" t="s">
        <v>368</v>
      </c>
      <c r="D15" t="str">
        <f>IF(B15=C15,"T","WARN")</f>
        <v>T</v>
      </c>
    </row>
    <row r="16" spans="1:4" ht="15.75">
      <c r="A16" s="1"/>
      <c r="B16" s="24"/>
      <c r="C16" s="24"/>
    </row>
    <row r="17" spans="1:4" ht="15.75">
      <c r="A17" s="1" t="s">
        <v>336</v>
      </c>
      <c r="B17" s="12" t="str">
        <f>COMPLEX(3,4)</f>
        <v>3+4i</v>
      </c>
      <c r="C17" s="12" t="s">
        <v>369</v>
      </c>
      <c r="D17" t="str">
        <f>IF(B17=C17,"T","WARN")</f>
        <v>T</v>
      </c>
    </row>
    <row r="18" spans="1:4" ht="15.75">
      <c r="A18" s="1"/>
      <c r="B18" s="24"/>
      <c r="C18" s="24"/>
    </row>
    <row r="19" spans="1:4" ht="15.75">
      <c r="A19" s="1" t="s">
        <v>337</v>
      </c>
      <c r="B19" s="24" t="str">
        <f>DEC2BIN(9,4)</f>
        <v>1001</v>
      </c>
      <c r="C19" s="24" t="s">
        <v>398</v>
      </c>
      <c r="D19" t="str">
        <f>IF(B19=C19,"T","WARN")</f>
        <v>T</v>
      </c>
    </row>
    <row r="20" spans="1:4" ht="15.75">
      <c r="A20" s="1"/>
      <c r="B20" s="24"/>
      <c r="C20" s="24"/>
    </row>
    <row r="21" spans="1:4" ht="15.75">
      <c r="A21" s="1" t="s">
        <v>338</v>
      </c>
      <c r="B21" s="24" t="str">
        <f>DEC2HEX(100,4)</f>
        <v>0064</v>
      </c>
      <c r="C21" s="35" t="s">
        <v>371</v>
      </c>
      <c r="D21" t="str">
        <f>IF(B21=C21,"T","WARN")</f>
        <v>T</v>
      </c>
    </row>
    <row r="22" spans="1:4" ht="15.75">
      <c r="A22" s="1"/>
      <c r="B22" s="24"/>
      <c r="C22" s="24"/>
    </row>
    <row r="23" spans="1:4" ht="15.75">
      <c r="A23" s="1" t="s">
        <v>339</v>
      </c>
      <c r="B23" s="24" t="str">
        <f>DEC2OCT(58,3)</f>
        <v>072</v>
      </c>
      <c r="C23" s="35" t="s">
        <v>372</v>
      </c>
      <c r="D23" t="str">
        <f>IF(B23=C23,"T","WARN")</f>
        <v>T</v>
      </c>
    </row>
    <row r="24" spans="1:4" ht="15.75">
      <c r="A24" s="1"/>
      <c r="B24" s="24"/>
      <c r="C24" s="24"/>
    </row>
    <row r="25" spans="1:4" ht="15.75">
      <c r="A25" s="1" t="s">
        <v>340</v>
      </c>
      <c r="B25" s="7">
        <f>DELTA(5,4)</f>
        <v>0</v>
      </c>
      <c r="C25" s="24">
        <v>0</v>
      </c>
      <c r="D25" t="str">
        <f>IF(B25=C25,"T","WARN")</f>
        <v>T</v>
      </c>
    </row>
    <row r="26" spans="1:4" ht="15.75">
      <c r="A26" s="1"/>
      <c r="B26" s="24"/>
      <c r="C26" s="24"/>
    </row>
    <row r="27" spans="1:4" ht="15.75">
      <c r="A27" s="1" t="s">
        <v>341</v>
      </c>
      <c r="B27" s="33">
        <f>ERF(0.745)</f>
        <v>0.70792869314881979</v>
      </c>
      <c r="C27" s="25">
        <v>0.70792869314881979</v>
      </c>
      <c r="D27" t="str">
        <f>IF(B27=C27,"T","WARN")</f>
        <v>T</v>
      </c>
    </row>
    <row r="28" spans="1:4" ht="15.75">
      <c r="A28" s="1"/>
      <c r="B28" s="24"/>
      <c r="C28" s="24"/>
    </row>
    <row r="29" spans="1:4" ht="15.75">
      <c r="A29" s="1" t="s">
        <v>342</v>
      </c>
      <c r="B29" s="25">
        <f>ERFC(1)</f>
        <v>0.15729926482544476</v>
      </c>
      <c r="C29" s="25">
        <v>0.15729926482544476</v>
      </c>
      <c r="D29" t="str">
        <f>IF(B29=C29,"T","WARN")</f>
        <v>T</v>
      </c>
    </row>
    <row r="30" spans="1:4" ht="15.75">
      <c r="A30" s="1"/>
      <c r="B30" s="24"/>
      <c r="C30" s="24"/>
    </row>
    <row r="31" spans="1:4" ht="15.75">
      <c r="A31" s="1" t="s">
        <v>343</v>
      </c>
      <c r="B31" s="24">
        <f>GESTEP(5,4)</f>
        <v>1</v>
      </c>
      <c r="C31" s="24">
        <v>1</v>
      </c>
      <c r="D31" t="str">
        <f>IF(B31=C31,"T","WARN")</f>
        <v>T</v>
      </c>
    </row>
    <row r="32" spans="1:4" ht="15.75">
      <c r="A32" s="1"/>
      <c r="B32" s="24"/>
      <c r="C32" s="24"/>
    </row>
    <row r="33" spans="1:4" ht="15.75">
      <c r="A33" s="1" t="s">
        <v>344</v>
      </c>
      <c r="B33" s="24" t="str">
        <f>HEX2BIN("F",8)</f>
        <v>00001111</v>
      </c>
      <c r="C33" s="35" t="s">
        <v>373</v>
      </c>
      <c r="D33" t="str">
        <f>IF(B33=C33,"T","WARN")</f>
        <v>T</v>
      </c>
    </row>
    <row r="34" spans="1:4" ht="15.75">
      <c r="A34" s="1"/>
      <c r="B34" s="24"/>
      <c r="C34" s="24"/>
    </row>
    <row r="35" spans="1:4" ht="15.75">
      <c r="A35" s="1" t="s">
        <v>345</v>
      </c>
      <c r="B35" s="24">
        <f>HEX2DEC("A5")</f>
        <v>165</v>
      </c>
      <c r="C35" s="24">
        <v>165</v>
      </c>
      <c r="D35" t="str">
        <f>IF(B35=C35,"T","WARN")</f>
        <v>T</v>
      </c>
    </row>
    <row r="36" spans="1:4" ht="15.75">
      <c r="A36" s="1"/>
      <c r="B36" s="24"/>
      <c r="C36" s="24"/>
    </row>
    <row r="37" spans="1:4" ht="15.75">
      <c r="A37" s="1" t="s">
        <v>346</v>
      </c>
      <c r="B37" s="24" t="str">
        <f>HEX2OCT("F",3)</f>
        <v>017</v>
      </c>
      <c r="C37" s="35" t="s">
        <v>374</v>
      </c>
      <c r="D37" t="str">
        <f>IF(B37=C37,"T","WARN")</f>
        <v>T</v>
      </c>
    </row>
    <row r="38" spans="1:4" ht="15.75">
      <c r="A38" s="1"/>
      <c r="B38" s="24"/>
      <c r="C38" s="24"/>
    </row>
    <row r="39" spans="1:4" ht="15.75">
      <c r="A39" s="1" t="s">
        <v>347</v>
      </c>
      <c r="B39" s="24">
        <f>IMABS("5+12i")</f>
        <v>13</v>
      </c>
      <c r="C39" s="24">
        <v>13</v>
      </c>
      <c r="D39" t="str">
        <f>IF(B39=C39,"T","WARN")</f>
        <v>T</v>
      </c>
    </row>
    <row r="40" spans="1:4" ht="15.75">
      <c r="A40" s="1"/>
      <c r="B40" s="24"/>
      <c r="C40" s="24"/>
    </row>
    <row r="41" spans="1:4" ht="15.75">
      <c r="A41" s="1" t="s">
        <v>348</v>
      </c>
      <c r="B41" s="24">
        <f>IMAGINARY("3+4i")</f>
        <v>4</v>
      </c>
      <c r="C41" s="24">
        <v>4</v>
      </c>
      <c r="D41" t="str">
        <f>IF(B41=C41,"T","WARN")</f>
        <v>T</v>
      </c>
    </row>
    <row r="42" spans="1:4" ht="15.75">
      <c r="A42" s="1"/>
      <c r="B42" s="24"/>
      <c r="C42" s="24"/>
    </row>
    <row r="43" spans="1:4" ht="15.75">
      <c r="A43" s="1" t="s">
        <v>349</v>
      </c>
      <c r="B43" s="25">
        <f>IMARGUMENT("3+4i")</f>
        <v>0.92729521800161219</v>
      </c>
      <c r="C43" s="25">
        <v>0.92729521800161219</v>
      </c>
      <c r="D43" t="str">
        <f>IF(B43=C43,"T","WARN")</f>
        <v>T</v>
      </c>
    </row>
    <row r="44" spans="1:4" ht="15.75">
      <c r="A44" s="1"/>
      <c r="C44" s="24"/>
    </row>
    <row r="45" spans="1:4" ht="15.75">
      <c r="A45" s="1" t="s">
        <v>350</v>
      </c>
      <c r="B45" t="str">
        <f>IMCONJUGATE("3+4i")</f>
        <v>3-4i</v>
      </c>
      <c r="C45" s="24" t="s">
        <v>375</v>
      </c>
      <c r="D45" t="str">
        <f>IF(B45=C45,"T","WARN")</f>
        <v>T</v>
      </c>
    </row>
    <row r="46" spans="1:4" ht="15.75">
      <c r="A46" s="1"/>
      <c r="C46" s="24"/>
    </row>
    <row r="47" spans="1:4" ht="15.75">
      <c r="A47" s="1" t="s">
        <v>351</v>
      </c>
      <c r="B47" s="25" t="str">
        <f>IMCOS("1+i")</f>
        <v>0.833730025131149-0.988897705762865i</v>
      </c>
      <c r="C47" s="24" t="s">
        <v>376</v>
      </c>
      <c r="D47" t="str">
        <f>IF(B47=C47,"T","WARN")</f>
        <v>T</v>
      </c>
    </row>
    <row r="48" spans="1:4" ht="15.75">
      <c r="A48" s="1"/>
      <c r="C48" s="24"/>
    </row>
    <row r="49" spans="1:4" ht="15.75">
      <c r="A49" s="1" t="s">
        <v>352</v>
      </c>
      <c r="B49" t="str">
        <f>IMDIV("-238+240i","10+24i")</f>
        <v>5+12i</v>
      </c>
      <c r="C49" s="24" t="s">
        <v>377</v>
      </c>
      <c r="D49" t="str">
        <f>IF(B49=C49,"T","WARN")</f>
        <v>T</v>
      </c>
    </row>
    <row r="50" spans="1:4" ht="15.75">
      <c r="A50" s="1"/>
      <c r="B50" s="24"/>
      <c r="C50" s="24"/>
    </row>
    <row r="51" spans="1:4" ht="15.75">
      <c r="A51" s="1" t="s">
        <v>353</v>
      </c>
      <c r="B51" s="24" t="str">
        <f>IMEXP("1+i")</f>
        <v>1.46869393991589+2.28735528717884i</v>
      </c>
      <c r="C51" s="24" t="s">
        <v>378</v>
      </c>
      <c r="D51" t="str">
        <f>IF(B51=C51,"T","WARN")</f>
        <v>T</v>
      </c>
    </row>
    <row r="52" spans="1:4" ht="15.75">
      <c r="A52" s="1"/>
      <c r="B52" s="24"/>
      <c r="C52" s="24"/>
    </row>
    <row r="53" spans="1:4" ht="15.75">
      <c r="A53" s="1" t="s">
        <v>354</v>
      </c>
      <c r="B53" s="24" t="str">
        <f>IMLN("3+4i")</f>
        <v>1.6094379124341+0.927295218001612i</v>
      </c>
      <c r="C53" s="24" t="s">
        <v>379</v>
      </c>
      <c r="D53" t="str">
        <f>IF(B53=C53,"T","WARN")</f>
        <v>T</v>
      </c>
    </row>
    <row r="54" spans="1:4" ht="15.75">
      <c r="A54" s="1"/>
      <c r="B54" s="24"/>
      <c r="C54" s="24"/>
    </row>
    <row r="55" spans="1:4" ht="15.75">
      <c r="A55" s="1" t="s">
        <v>355</v>
      </c>
      <c r="B55" s="24" t="str">
        <f>IMLOG10("3+4i")</f>
        <v>0.698970004336019+0.402719196273373i</v>
      </c>
      <c r="C55" s="24" t="s">
        <v>380</v>
      </c>
      <c r="D55" t="str">
        <f>IF(B55=C55,"T","WARN")</f>
        <v>T</v>
      </c>
    </row>
    <row r="56" spans="1:4" ht="15.75">
      <c r="A56" s="1"/>
      <c r="B56" s="24"/>
      <c r="C56" s="24"/>
    </row>
    <row r="57" spans="1:4" ht="15.75">
      <c r="A57" s="1" t="s">
        <v>356</v>
      </c>
      <c r="B57" s="24" t="str">
        <f>IMLOG2("3+4i")</f>
        <v>2.32192809506607+1.33780421255394i</v>
      </c>
      <c r="C57" s="24" t="s">
        <v>381</v>
      </c>
      <c r="D57" t="str">
        <f>IF(B57=C57,"T","WARN")</f>
        <v>T</v>
      </c>
    </row>
    <row r="58" spans="1:4" ht="15.75">
      <c r="A58" s="1"/>
      <c r="B58" s="24"/>
      <c r="C58" s="24"/>
    </row>
    <row r="59" spans="1:4" ht="15.75">
      <c r="A59" s="1" t="s">
        <v>357</v>
      </c>
      <c r="B59" s="24" t="str">
        <f>IMPOWER("2+3i", 3)</f>
        <v>-46+9.00000000000001i</v>
      </c>
      <c r="C59" s="24" t="s">
        <v>382</v>
      </c>
      <c r="D59" t="str">
        <f>IF(B59=C59,"T","WARN")</f>
        <v>T</v>
      </c>
    </row>
    <row r="60" spans="1:4" ht="15.75">
      <c r="A60" s="1"/>
      <c r="B60" s="24"/>
      <c r="C60" s="24"/>
    </row>
    <row r="61" spans="1:4" ht="15.75">
      <c r="A61" s="1" t="s">
        <v>358</v>
      </c>
      <c r="B61" s="24" t="str">
        <f>IMPRODUCT("3+4i","5-3i")</f>
        <v>27+11i</v>
      </c>
      <c r="C61" s="24" t="s">
        <v>383</v>
      </c>
      <c r="D61" t="str">
        <f>IF(B61=C61,"T","WARN")</f>
        <v>T</v>
      </c>
    </row>
    <row r="62" spans="1:4" ht="15.75">
      <c r="A62" s="1"/>
      <c r="B62" s="24"/>
      <c r="C62" s="24"/>
    </row>
    <row r="63" spans="1:4" ht="15.75">
      <c r="A63" s="1" t="s">
        <v>359</v>
      </c>
      <c r="B63" s="24">
        <f>IMREAL("6-9i")</f>
        <v>6</v>
      </c>
      <c r="C63" s="24">
        <v>6</v>
      </c>
      <c r="D63" t="str">
        <f>IF(B63=C63,"T","WARN")</f>
        <v>T</v>
      </c>
    </row>
    <row r="64" spans="1:4" ht="15.75">
      <c r="A64" s="1"/>
      <c r="B64" s="24"/>
      <c r="C64" s="24"/>
    </row>
    <row r="65" spans="1:4" ht="15.75">
      <c r="A65" s="1" t="s">
        <v>360</v>
      </c>
      <c r="B65" s="24" t="str">
        <f>IMSIN("3+4i")</f>
        <v>3.85373803791938-27.0168132580039i</v>
      </c>
      <c r="C65" s="24" t="s">
        <v>384</v>
      </c>
      <c r="D65" t="str">
        <f>IF(B65=C65,"T","WARN")</f>
        <v>T</v>
      </c>
    </row>
    <row r="66" spans="1:4" ht="15.75">
      <c r="A66" s="1"/>
      <c r="B66" s="7"/>
      <c r="C66" s="24"/>
    </row>
    <row r="67" spans="1:4" ht="15.75">
      <c r="A67" s="1" t="s">
        <v>361</v>
      </c>
      <c r="B67" s="24" t="str">
        <f>IMSQRT("1+i")</f>
        <v>1.09868411346781+0.455089860562227i</v>
      </c>
      <c r="C67" s="24" t="s">
        <v>385</v>
      </c>
      <c r="D67" t="str">
        <f>IF(B67=C67,"T","WARN")</f>
        <v>T</v>
      </c>
    </row>
    <row r="68" spans="1:4" ht="15.75">
      <c r="A68" s="1"/>
      <c r="B68" s="7"/>
      <c r="C68" s="24"/>
    </row>
    <row r="69" spans="1:4" ht="15.75">
      <c r="A69" s="1" t="s">
        <v>362</v>
      </c>
      <c r="B69" s="24" t="str">
        <f>IMSUB("13+4i","5+3i")</f>
        <v>8+i</v>
      </c>
      <c r="C69" s="24" t="s">
        <v>386</v>
      </c>
      <c r="D69" t="str">
        <f>IF(B69=C69,"T","WARN")</f>
        <v>T</v>
      </c>
    </row>
    <row r="70" spans="1:4" ht="15.75">
      <c r="A70" s="1"/>
      <c r="B70" s="7"/>
      <c r="C70" s="24"/>
    </row>
    <row r="71" spans="1:4" ht="15.75">
      <c r="A71" s="1" t="s">
        <v>363</v>
      </c>
      <c r="B71" s="24" t="str">
        <f>IMSUM("3+4i","5-3i")</f>
        <v>8+i</v>
      </c>
      <c r="C71" s="24" t="s">
        <v>386</v>
      </c>
      <c r="D71" t="str">
        <f>IF(B71=C71,"T","WARN")</f>
        <v>T</v>
      </c>
    </row>
    <row r="72" spans="1:4" ht="15.75">
      <c r="A72" s="1"/>
      <c r="B72" s="7"/>
      <c r="C72" s="24"/>
    </row>
    <row r="73" spans="1:4" ht="15.75">
      <c r="A73" s="1" t="s">
        <v>364</v>
      </c>
      <c r="B73" s="24" t="str">
        <f>OCT2BIN(3, 3)</f>
        <v>011</v>
      </c>
      <c r="C73" s="35" t="s">
        <v>368</v>
      </c>
      <c r="D73" t="str">
        <f>IF(B73=C73,"T","WARN")</f>
        <v>T</v>
      </c>
    </row>
    <row r="74" spans="1:4" ht="15.75">
      <c r="A74" s="1"/>
      <c r="B74" s="7"/>
      <c r="C74" s="24"/>
    </row>
    <row r="75" spans="1:4" ht="15.75">
      <c r="A75" s="1" t="s">
        <v>365</v>
      </c>
      <c r="B75" s="24">
        <f>OCT2DEC(54)</f>
        <v>44</v>
      </c>
      <c r="C75" s="24">
        <v>44</v>
      </c>
      <c r="D75" t="str">
        <f>IF(B75=C75,"T","WARN")</f>
        <v>T</v>
      </c>
    </row>
    <row r="76" spans="1:4" ht="15.75">
      <c r="A76" s="1"/>
      <c r="B76" s="7"/>
      <c r="C76" s="24"/>
    </row>
    <row r="77" spans="1:4" ht="15.75">
      <c r="A77" s="1" t="s">
        <v>366</v>
      </c>
      <c r="B77" s="24" t="str">
        <f>OCT2HEX(100, 4)</f>
        <v>0040</v>
      </c>
      <c r="C77" s="35" t="s">
        <v>387</v>
      </c>
      <c r="D77" t="str">
        <f>IF(B77=C77,"T","WARN")</f>
        <v>T</v>
      </c>
    </row>
    <row r="78" spans="1:4" ht="15.75">
      <c r="A78" s="1"/>
      <c r="B78" s="24"/>
    </row>
    <row r="79" spans="1:4">
      <c r="A79" t="s">
        <v>399</v>
      </c>
      <c r="B79" s="24"/>
    </row>
    <row r="80" spans="1:4" ht="15.75">
      <c r="A80" s="1"/>
      <c r="B80" s="24"/>
    </row>
    <row r="81" spans="1:2" ht="15.75">
      <c r="A81" s="1"/>
      <c r="B81" s="24"/>
    </row>
    <row r="82" spans="1:2" ht="15.75">
      <c r="A82" s="1"/>
      <c r="B82" s="24"/>
    </row>
    <row r="83" spans="1:2" ht="15.75">
      <c r="A83" s="1"/>
      <c r="B83" s="24"/>
    </row>
    <row r="84" spans="1:2" ht="15.75">
      <c r="A84" s="1"/>
    </row>
    <row r="85" spans="1:2" ht="15.75">
      <c r="A85" s="1"/>
    </row>
    <row r="86" spans="1:2" ht="15.75">
      <c r="A86" s="1"/>
    </row>
    <row r="87" spans="1:2" ht="15.75">
      <c r="A87" s="1"/>
    </row>
    <row r="88" spans="1:2" ht="15.75">
      <c r="A88" s="1"/>
    </row>
    <row r="89" spans="1:2" ht="15.75">
      <c r="A89" s="1"/>
    </row>
    <row r="90" spans="1:2" ht="15.75">
      <c r="A90" s="1"/>
    </row>
    <row r="91" spans="1:2" ht="15.75">
      <c r="A91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  <c r="B99" s="5"/>
    </row>
    <row r="100" spans="1:2" ht="15.75">
      <c r="A100" s="1"/>
    </row>
    <row r="101" spans="1:2" ht="15.75">
      <c r="A101" s="1"/>
      <c r="B101" s="5"/>
    </row>
    <row r="102" spans="1:2" ht="15.75">
      <c r="A102" s="1"/>
    </row>
    <row r="103" spans="1:2" ht="15.75">
      <c r="A103" s="1"/>
      <c r="B103" s="5"/>
    </row>
    <row r="104" spans="1:2" ht="15.75">
      <c r="A104" s="1"/>
    </row>
    <row r="105" spans="1:2" ht="15.75">
      <c r="A105" s="1"/>
      <c r="B105" s="5"/>
    </row>
    <row r="106" spans="1:2" ht="15.75">
      <c r="A106" s="1"/>
    </row>
    <row r="107" spans="1:2" ht="15.75">
      <c r="A107" s="1"/>
      <c r="B107" s="8"/>
    </row>
    <row r="108" spans="1:2" ht="15.75">
      <c r="A108" s="1"/>
    </row>
    <row r="109" spans="1:2" ht="15.75">
      <c r="A109" s="1"/>
      <c r="B109" s="5"/>
    </row>
    <row r="110" spans="1:2" ht="15.75">
      <c r="A110" s="1"/>
    </row>
    <row r="111" spans="1:2" ht="15.75">
      <c r="A111" s="1"/>
      <c r="B111" s="5"/>
    </row>
    <row r="112" spans="1:2" ht="15.75">
      <c r="A112" s="1"/>
    </row>
    <row r="113" spans="1:2" ht="15.75">
      <c r="A113" s="1"/>
    </row>
    <row r="114" spans="1:2" ht="15.75">
      <c r="A114" s="1"/>
    </row>
    <row r="115" spans="1:2" ht="15.75">
      <c r="A115" s="1"/>
    </row>
    <row r="116" spans="1:2" ht="15.75">
      <c r="A116" s="1"/>
      <c r="B116" s="5"/>
    </row>
    <row r="117" spans="1:2" ht="15.75">
      <c r="A117" s="1"/>
    </row>
    <row r="118" spans="1:2" ht="15.75">
      <c r="A118" s="1"/>
      <c r="B118" s="11"/>
    </row>
    <row r="119" spans="1:2" ht="15.75">
      <c r="A119" s="1"/>
    </row>
    <row r="120" spans="1:2" ht="15.75">
      <c r="A120" s="1"/>
      <c r="B120" s="9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  <c r="B124" s="5"/>
    </row>
    <row r="125" spans="1:2" ht="15.75">
      <c r="A125" s="1"/>
    </row>
    <row r="126" spans="1:2" ht="15.75">
      <c r="A126" s="1"/>
      <c r="B126" s="5"/>
    </row>
    <row r="127" spans="1:2" ht="15.75">
      <c r="A127" s="1"/>
    </row>
    <row r="128" spans="1:2" ht="15.75">
      <c r="A128" s="1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  <c r="B132" s="8"/>
    </row>
    <row r="133" spans="1:2" ht="15.75">
      <c r="A133" s="1"/>
    </row>
    <row r="134" spans="1:2" ht="15.75">
      <c r="A134" s="1"/>
    </row>
    <row r="135" spans="1:2" ht="15.75">
      <c r="A135" s="1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1" spans="1:2">
      <c r="B141" s="12"/>
    </row>
    <row r="143" spans="1:2">
      <c r="B143" s="8"/>
    </row>
    <row r="144" spans="1:2" ht="15.75">
      <c r="A144" s="1"/>
    </row>
    <row r="145" spans="1:2" ht="15.75">
      <c r="A145" s="1"/>
      <c r="B145" s="5"/>
    </row>
    <row r="146" spans="1:2" ht="15.75">
      <c r="A146" s="1"/>
    </row>
    <row r="147" spans="1:2" ht="15.75">
      <c r="A147" s="1"/>
      <c r="B147" s="11"/>
    </row>
    <row r="148" spans="1:2" ht="15.75">
      <c r="A148" s="1"/>
    </row>
    <row r="149" spans="1:2" ht="15.75">
      <c r="A149" s="1"/>
    </row>
    <row r="150" spans="1:2" ht="15.75">
      <c r="A150" s="1"/>
    </row>
    <row r="151" spans="1:2" ht="15.75">
      <c r="A151" s="1"/>
    </row>
    <row r="152" spans="1:2" ht="15.75">
      <c r="A152" s="1"/>
    </row>
    <row r="153" spans="1:2" ht="15.75">
      <c r="A153" s="1"/>
    </row>
    <row r="154" spans="1:2" ht="15.75">
      <c r="A154" s="1"/>
    </row>
    <row r="155" spans="1:2" ht="15.75">
      <c r="A155" s="1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  <c r="B178" s="5"/>
    </row>
    <row r="179" spans="1:2" ht="15.75">
      <c r="A179" s="1"/>
    </row>
    <row r="180" spans="1:2" ht="15.75">
      <c r="A180" s="1"/>
    </row>
    <row r="181" spans="1:2" ht="15.75">
      <c r="A181" s="1"/>
      <c r="B181" s="5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</row>
    <row r="189" spans="1:2" ht="15.75">
      <c r="A189" s="1"/>
    </row>
    <row r="190" spans="1:2" ht="15.75">
      <c r="A190" s="1"/>
    </row>
    <row r="191" spans="1:2" ht="15.75">
      <c r="A191" s="1"/>
    </row>
    <row r="192" spans="1:2" ht="15.75">
      <c r="A192" s="1"/>
    </row>
    <row r="193" spans="1:2" ht="15.75">
      <c r="A193" s="1"/>
    </row>
    <row r="194" spans="1:2" ht="15.75">
      <c r="A194" s="1"/>
    </row>
    <row r="195" spans="1:2" ht="15.75">
      <c r="A195" s="1"/>
    </row>
    <row r="196" spans="1:2" ht="15.75">
      <c r="A196" s="1"/>
    </row>
    <row r="197" spans="1:2" ht="15.75">
      <c r="A197" s="1"/>
    </row>
    <row r="198" spans="1:2" ht="15.75">
      <c r="A198" s="1"/>
    </row>
    <row r="199" spans="1:2" ht="15.75">
      <c r="A199" s="1"/>
    </row>
    <row r="200" spans="1:2" ht="15.75">
      <c r="A200" s="1"/>
    </row>
    <row r="201" spans="1:2" ht="15.75">
      <c r="A201" s="1"/>
    </row>
    <row r="202" spans="1:2" ht="15.75">
      <c r="A202" s="1"/>
    </row>
    <row r="203" spans="1:2" ht="15.75">
      <c r="A203" s="1"/>
    </row>
    <row r="204" spans="1:2" ht="15.75">
      <c r="A204" s="1"/>
    </row>
    <row r="205" spans="1:2" ht="15.75">
      <c r="A205" s="1"/>
    </row>
    <row r="206" spans="1:2" ht="15.75">
      <c r="A206" s="1"/>
    </row>
    <row r="207" spans="1:2" ht="15.75">
      <c r="A207" s="1"/>
    </row>
    <row r="208" spans="1:2" ht="15.75">
      <c r="A208" s="1"/>
      <c r="B208" s="11"/>
    </row>
    <row r="209" spans="1:2" ht="15.75">
      <c r="A209" s="1"/>
    </row>
    <row r="210" spans="1:2" ht="15.75">
      <c r="A210" s="1"/>
      <c r="B210" s="11"/>
    </row>
    <row r="211" spans="1:2" ht="15.75">
      <c r="A211" s="1"/>
      <c r="B211" s="11"/>
    </row>
    <row r="212" spans="1:2" ht="15.75">
      <c r="A212" s="1"/>
      <c r="B212" s="5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</row>
    <row r="218" spans="1:2" ht="15.75">
      <c r="A218" s="1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</row>
    <row r="225" spans="1:1" ht="15.75">
      <c r="A225" s="1"/>
    </row>
    <row r="226" spans="1:1" ht="15.75">
      <c r="A226" s="1"/>
    </row>
    <row r="227" spans="1:1" ht="15.75">
      <c r="A227" s="1"/>
    </row>
    <row r="228" spans="1:1" ht="15.75">
      <c r="A228" s="1"/>
    </row>
    <row r="229" spans="1:1" ht="15.75">
      <c r="A229" s="1"/>
    </row>
    <row r="230" spans="1:1" ht="15.75">
      <c r="A230" s="1"/>
    </row>
    <row r="231" spans="1:1" ht="15.75">
      <c r="A231" s="1"/>
    </row>
    <row r="232" spans="1:1" ht="15.75">
      <c r="A232" s="1"/>
    </row>
    <row r="233" spans="1:1" ht="15.75">
      <c r="A233" s="1"/>
    </row>
    <row r="234" spans="1:1" ht="15.75">
      <c r="A234" s="1"/>
    </row>
    <row r="235" spans="1:1" ht="15.75">
      <c r="A235" s="1"/>
    </row>
    <row r="236" spans="1:1" ht="15.75">
      <c r="A236" s="1"/>
    </row>
    <row r="237" spans="1:1" ht="15.75">
      <c r="A237" s="1"/>
    </row>
    <row r="238" spans="1:1" ht="15.75">
      <c r="A238" s="1"/>
    </row>
    <row r="239" spans="1:1" ht="15.75">
      <c r="A239" s="1"/>
    </row>
    <row r="240" spans="1:1" ht="15.75">
      <c r="A240" s="1"/>
    </row>
    <row r="241" spans="1:1" ht="15.75">
      <c r="A241" s="1"/>
    </row>
    <row r="242" spans="1:1" ht="15.75">
      <c r="A242" s="1"/>
    </row>
    <row r="243" spans="1:1" ht="15.75">
      <c r="A243" s="1"/>
    </row>
    <row r="244" spans="1:1" ht="15.75">
      <c r="A244" s="1"/>
    </row>
    <row r="245" spans="1:1" ht="15.75">
      <c r="A245" s="1"/>
    </row>
    <row r="246" spans="1:1" ht="15.75">
      <c r="A246" s="1"/>
    </row>
    <row r="247" spans="1:1" ht="15.75">
      <c r="A247" s="1"/>
    </row>
    <row r="248" spans="1:1" ht="15.75">
      <c r="A248" s="1"/>
    </row>
    <row r="249" spans="1:1" ht="15.75">
      <c r="A249" s="1"/>
    </row>
    <row r="250" spans="1:1" ht="15.75">
      <c r="A250" s="1"/>
    </row>
    <row r="251" spans="1:1" ht="15.75">
      <c r="A251" s="1"/>
    </row>
    <row r="252" spans="1:1" ht="15.75">
      <c r="A252" s="1"/>
    </row>
    <row r="253" spans="1:1" ht="15.75">
      <c r="A253" s="1"/>
    </row>
    <row r="254" spans="1:1" ht="15.75">
      <c r="A254" s="1"/>
    </row>
    <row r="255" spans="1:1" ht="15.75">
      <c r="A255" s="1"/>
    </row>
    <row r="256" spans="1:1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2" spans="1:1" ht="15.75">
      <c r="A262" s="1"/>
    </row>
    <row r="263" spans="1:1" ht="15.75">
      <c r="A263" s="1"/>
    </row>
    <row r="264" spans="1:1" ht="15.75">
      <c r="A264" s="1"/>
    </row>
    <row r="265" spans="1:1" ht="15.75">
      <c r="A265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2" spans="1:1" ht="15.75">
      <c r="A272" s="1"/>
    </row>
    <row r="501" spans="1:1">
      <c r="A501" s="3" t="s">
        <v>0</v>
      </c>
    </row>
  </sheetData>
  <sortState ref="D3:D42">
    <sortCondition ref="D3"/>
  </sortState>
  <conditionalFormatting sqref="D3 D5 D7 D9 D11">
    <cfRule type="cellIs" dxfId="15" priority="7" operator="equal">
      <formula>"WARN"</formula>
    </cfRule>
  </conditionalFormatting>
  <conditionalFormatting sqref="D13 D15 D17 D19 D21 D23 D25 D27 D29">
    <cfRule type="cellIs" dxfId="14" priority="6" operator="equal">
      <formula>"WARN"</formula>
    </cfRule>
  </conditionalFormatting>
  <conditionalFormatting sqref="D31 D33 D35 D37 D39 D41 D43">
    <cfRule type="cellIs" dxfId="13" priority="5" operator="equal">
      <formula>"WARN"</formula>
    </cfRule>
  </conditionalFormatting>
  <conditionalFormatting sqref="D45">
    <cfRule type="cellIs" dxfId="12" priority="4" operator="equal">
      <formula>"WARN"</formula>
    </cfRule>
  </conditionalFormatting>
  <conditionalFormatting sqref="D47 D51 D49 D53 D55 D57">
    <cfRule type="cellIs" dxfId="11" priority="3" operator="equal">
      <formula>"WARN"</formula>
    </cfRule>
  </conditionalFormatting>
  <conditionalFormatting sqref="D47 D51 D49 D53 D55 D57 D59 D61 D63 D65 D67">
    <cfRule type="cellIs" dxfId="10" priority="2" operator="equal">
      <formula>"WARN"</formula>
    </cfRule>
  </conditionalFormatting>
  <conditionalFormatting sqref="D47 D51 D49 D53 D55 D57 D59 D61 D63 D65 D67 D69 D71 D73 D75 D77">
    <cfRule type="cellIs" dxfId="9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5"/>
  <sheetViews>
    <sheetView workbookViewId="0">
      <selection activeCell="E20" sqref="E20"/>
    </sheetView>
  </sheetViews>
  <sheetFormatPr defaultRowHeight="15"/>
  <cols>
    <col min="1" max="1" width="17.5703125" bestFit="1" customWidth="1"/>
    <col min="2" max="2" width="30.7109375" customWidth="1"/>
    <col min="3" max="3" width="30.140625" bestFit="1" customWidth="1"/>
  </cols>
  <sheetData>
    <row r="1" spans="1:4" ht="18.75">
      <c r="A1" s="4" t="s">
        <v>83</v>
      </c>
    </row>
    <row r="2" spans="1:4">
      <c r="A2" t="s">
        <v>84</v>
      </c>
      <c r="B2" t="str">
        <f>BAHTTEXT(1234)</f>
        <v>หนึ่งพันสองร้อยสามสิบสี่บาทถ้วน</v>
      </c>
      <c r="C2" t="e">
        <v>#NAME?</v>
      </c>
      <c r="D2" t="e">
        <f>IF(B2=C2,"T","WARN")</f>
        <v>#NAME?</v>
      </c>
    </row>
    <row r="3" spans="1:4" ht="15.75">
      <c r="A3" s="36" t="s">
        <v>125</v>
      </c>
      <c r="B3" s="11"/>
    </row>
    <row r="4" spans="1:4" ht="15.75">
      <c r="A4" s="36" t="s">
        <v>388</v>
      </c>
      <c r="B4" s="11"/>
    </row>
    <row r="5" spans="1:4" ht="18.75">
      <c r="A5" s="4" t="s">
        <v>390</v>
      </c>
    </row>
    <row r="6" spans="1:4">
      <c r="A6" t="s">
        <v>179</v>
      </c>
    </row>
    <row r="7" spans="1:4">
      <c r="A7" t="s">
        <v>180</v>
      </c>
    </row>
    <row r="8" spans="1:4">
      <c r="A8" t="s">
        <v>182</v>
      </c>
    </row>
    <row r="9" spans="1:4" ht="18.75">
      <c r="A9" s="4" t="s">
        <v>185</v>
      </c>
    </row>
    <row r="10" spans="1:4">
      <c r="A10" t="s">
        <v>228</v>
      </c>
    </row>
    <row r="11" spans="1:4">
      <c r="A11" t="s">
        <v>232</v>
      </c>
    </row>
    <row r="12" spans="1:4">
      <c r="A12" t="s">
        <v>233</v>
      </c>
    </row>
    <row r="13" spans="1:4">
      <c r="A13" t="s">
        <v>234</v>
      </c>
    </row>
    <row r="14" spans="1:4">
      <c r="A14" t="s">
        <v>235</v>
      </c>
    </row>
    <row r="15" spans="1:4">
      <c r="A15" t="s">
        <v>238</v>
      </c>
    </row>
    <row r="16" spans="1:4">
      <c r="A16" t="s">
        <v>240</v>
      </c>
    </row>
    <row r="17" spans="1:4" ht="18.75">
      <c r="A17" s="4" t="s">
        <v>186</v>
      </c>
    </row>
    <row r="18" spans="1:4">
      <c r="A18" t="s">
        <v>295</v>
      </c>
    </row>
    <row r="19" spans="1:4" ht="18.75">
      <c r="A19" s="4" t="s">
        <v>187</v>
      </c>
    </row>
    <row r="20" spans="1:4">
      <c r="A20" t="s">
        <v>370</v>
      </c>
    </row>
    <row r="22" spans="1:4" ht="18.75">
      <c r="A22" s="4" t="s">
        <v>396</v>
      </c>
    </row>
    <row r="23" spans="1:4">
      <c r="A23" t="s">
        <v>397</v>
      </c>
      <c r="B23" t="e">
        <f ca="1">abc()</f>
        <v>#NAME?</v>
      </c>
      <c r="C23" t="e">
        <v>#NAME?</v>
      </c>
      <c r="D23" t="str">
        <f ca="1">IF(ISERR(B23),"T","WARN")</f>
        <v>T</v>
      </c>
    </row>
    <row r="25" spans="1:4">
      <c r="A25" t="s">
        <v>399</v>
      </c>
    </row>
  </sheetData>
  <conditionalFormatting sqref="D2">
    <cfRule type="cellIs" dxfId="8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B4" sqref="B4"/>
    </sheetView>
  </sheetViews>
  <sheetFormatPr defaultRowHeight="15"/>
  <cols>
    <col min="1" max="1" width="14.85546875" bestFit="1" customWidth="1"/>
    <col min="2" max="2" width="25.140625" bestFit="1" customWidth="1"/>
    <col min="3" max="3" width="15" bestFit="1" customWidth="1"/>
    <col min="4" max="4" width="8.42578125" bestFit="1" customWidth="1"/>
  </cols>
  <sheetData>
    <row r="1" spans="1:4" ht="18.75">
      <c r="A1" s="4" t="s">
        <v>401</v>
      </c>
      <c r="B1" s="1" t="s">
        <v>64</v>
      </c>
      <c r="C1" s="1" t="s">
        <v>63</v>
      </c>
    </row>
    <row r="2" spans="1:4" ht="18.75">
      <c r="A2" s="4"/>
      <c r="B2" s="1"/>
      <c r="C2" s="1"/>
    </row>
    <row r="3" spans="1:4" ht="15.75">
      <c r="A3" s="1" t="s">
        <v>400</v>
      </c>
      <c r="B3" t="e">
        <f ca="1">toTWD(B4,C4)</f>
        <v>#NAME?</v>
      </c>
      <c r="C3">
        <v>300</v>
      </c>
      <c r="D3" t="e">
        <f ca="1">IF(B3=C3,"T","WARN")</f>
        <v>#NAME?</v>
      </c>
    </row>
    <row r="4" spans="1:4">
      <c r="B4">
        <v>10</v>
      </c>
      <c r="C4">
        <v>30</v>
      </c>
    </row>
  </sheetData>
  <conditionalFormatting sqref="D3">
    <cfRule type="cellIs" dxfId="7" priority="3" operator="equal">
      <formula>"WARN"</formula>
    </cfRule>
  </conditionalFormatting>
  <conditionalFormatting sqref="D3">
    <cfRule type="cellIs" dxfId="6" priority="2" operator="equal">
      <formula>"WARN"</formula>
    </cfRule>
  </conditionalFormatting>
  <conditionalFormatting sqref="D3">
    <cfRule type="cellIs" dxfId="5" priority="1" operator="equal">
      <formula>"WARN"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4:D8"/>
  <sheetViews>
    <sheetView workbookViewId="0">
      <selection activeCell="A8" sqref="A8"/>
    </sheetView>
  </sheetViews>
  <sheetFormatPr defaultRowHeight="15"/>
  <cols>
    <col min="1" max="1" width="16.85546875" bestFit="1" customWidth="1"/>
  </cols>
  <sheetData>
    <row r="4" spans="1:4" ht="15.75">
      <c r="A4" s="1" t="s">
        <v>124</v>
      </c>
      <c r="B4" t="str">
        <f>ASC("EXCEL")</f>
        <v>EXCEL</v>
      </c>
      <c r="C4" t="s">
        <v>391</v>
      </c>
      <c r="D4" t="str">
        <f>IF(B4=C4,"T","WARN")</f>
        <v>T</v>
      </c>
    </row>
    <row r="6" spans="1:4" ht="15.75">
      <c r="A6" s="1" t="s">
        <v>85</v>
      </c>
      <c r="B6" s="5" t="str">
        <f>CHAR(65)</f>
        <v>A</v>
      </c>
      <c r="C6" t="s">
        <v>101</v>
      </c>
      <c r="D6" t="str">
        <f>IF(B6=C6,"T","WARN")</f>
        <v>T</v>
      </c>
    </row>
    <row r="8" spans="1:4">
      <c r="A8" t="s">
        <v>399</v>
      </c>
    </row>
  </sheetData>
  <conditionalFormatting sqref="D4:D6">
    <cfRule type="cellIs" dxfId="4" priority="1" operator="equal">
      <formula>"WARN"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D11"/>
  <sheetViews>
    <sheetView workbookViewId="0">
      <selection activeCell="A9" sqref="A9"/>
    </sheetView>
  </sheetViews>
  <sheetFormatPr defaultRowHeight="15"/>
  <cols>
    <col min="1" max="1" width="16.85546875" bestFit="1" customWidth="1"/>
  </cols>
  <sheetData>
    <row r="3" spans="1:4" ht="15.75">
      <c r="A3" s="1" t="s">
        <v>124</v>
      </c>
      <c r="B3" t="str">
        <f>ASC("EXCEL")</f>
        <v>EXCEL</v>
      </c>
      <c r="C3" t="s">
        <v>391</v>
      </c>
      <c r="D3" t="str">
        <f>IF(B3=C3,"T","WARN")</f>
        <v>T</v>
      </c>
    </row>
    <row r="5" spans="1:4" ht="15.75">
      <c r="A5" s="1" t="s">
        <v>85</v>
      </c>
      <c r="B5" s="5" t="str">
        <f>CHAR(65)</f>
        <v>A</v>
      </c>
      <c r="C5" t="s">
        <v>101</v>
      </c>
      <c r="D5" t="str">
        <f>IF(B5=C5,"T","WARN")</f>
        <v>T</v>
      </c>
    </row>
    <row r="7" spans="1:4" ht="15.75">
      <c r="A7" s="1" t="s">
        <v>246</v>
      </c>
      <c r="B7" s="25">
        <f>BETADIST(2,8,10,1,3)</f>
        <v>0.68547058095349067</v>
      </c>
      <c r="C7">
        <v>0.68547058095349067</v>
      </c>
      <c r="D7" t="str">
        <f>IF(B7=C7,"T","WARN")</f>
        <v>T</v>
      </c>
    </row>
    <row r="8" spans="1:4" ht="15.75">
      <c r="A8" s="1"/>
    </row>
    <row r="9" spans="1:4" ht="15.75">
      <c r="A9" s="1" t="s">
        <v>247</v>
      </c>
      <c r="B9" s="12">
        <f>BETAINV(0.6854,8,10,1,3)</f>
        <v>1.9999523162841797</v>
      </c>
      <c r="C9">
        <v>1.9999523162841797</v>
      </c>
      <c r="D9" t="str">
        <f>IF(B9=C9,"T","WARN")</f>
        <v>T</v>
      </c>
    </row>
    <row r="11" spans="1:4">
      <c r="A11" t="s">
        <v>399</v>
      </c>
    </row>
  </sheetData>
  <conditionalFormatting sqref="D3:D5">
    <cfRule type="cellIs" dxfId="46" priority="2" operator="equal">
      <formula>"WARN"</formula>
    </cfRule>
  </conditionalFormatting>
  <conditionalFormatting sqref="D7 D9">
    <cfRule type="cellIs" dxfId="45" priority="1" operator="equal">
      <formula>"WARN"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15"/>
  <sheetViews>
    <sheetView topLeftCell="A177" workbookViewId="0">
      <selection activeCell="A188" sqref="A188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8.75">
      <c r="A1" s="4" t="s">
        <v>1</v>
      </c>
      <c r="B1" s="2" t="s">
        <v>2</v>
      </c>
    </row>
    <row r="2" spans="1:9" ht="36.75" customHeight="1">
      <c r="A2" s="38" t="s">
        <v>68</v>
      </c>
      <c r="B2" s="38"/>
      <c r="C2" s="38"/>
      <c r="D2" s="38"/>
      <c r="E2" s="38"/>
      <c r="F2" s="38"/>
      <c r="G2" s="38"/>
      <c r="H2" s="38"/>
      <c r="I2" s="38"/>
    </row>
    <row r="3" spans="1:9" ht="25.5" customHeight="1">
      <c r="A3" s="4" t="s">
        <v>3</v>
      </c>
      <c r="B3" s="1" t="s">
        <v>64</v>
      </c>
      <c r="C3" s="1" t="s">
        <v>63</v>
      </c>
    </row>
    <row r="4" spans="1:9" ht="15.75">
      <c r="A4" s="1" t="s">
        <v>4</v>
      </c>
      <c r="B4">
        <f>ABS(B5)</f>
        <v>4</v>
      </c>
      <c r="C4">
        <v>4</v>
      </c>
      <c r="D4" t="str">
        <f>IF(B4=C4,"T","WARN")</f>
        <v>T</v>
      </c>
    </row>
    <row r="5" spans="1:9" ht="15.75">
      <c r="A5" s="1"/>
      <c r="B5">
        <v>-4</v>
      </c>
    </row>
    <row r="6" spans="1:9" ht="15.75">
      <c r="A6" s="1"/>
    </row>
    <row r="7" spans="1:9" ht="16.5">
      <c r="A7" s="1" t="s">
        <v>5</v>
      </c>
      <c r="B7" s="25">
        <f>ACOS(-0.5)</f>
        <v>2.0943951023931957</v>
      </c>
      <c r="C7" s="37">
        <v>2.0943951023931957</v>
      </c>
      <c r="D7" t="str">
        <f>IF(B7=C7,"T","WARN")</f>
        <v>T</v>
      </c>
    </row>
    <row r="8" spans="1:9" ht="15.75">
      <c r="A8" s="1"/>
      <c r="B8" s="7"/>
    </row>
    <row r="9" spans="1:9" ht="15.75">
      <c r="A9" s="1" t="s">
        <v>6</v>
      </c>
      <c r="B9" s="5">
        <f>ACOSH(1)</f>
        <v>0</v>
      </c>
      <c r="C9">
        <v>0</v>
      </c>
      <c r="D9" t="str">
        <f>IF(B9=C9,"T","WARN")</f>
        <v>T</v>
      </c>
    </row>
    <row r="10" spans="1:9" ht="15.75">
      <c r="A10" s="1"/>
    </row>
    <row r="11" spans="1:9" ht="15.75">
      <c r="A11" s="1" t="s">
        <v>7</v>
      </c>
      <c r="B11" s="8">
        <f>ASIN(-0.5)</f>
        <v>-0.52359877559829893</v>
      </c>
      <c r="C11" s="11">
        <v>-0.52359877559829893</v>
      </c>
      <c r="D11" t="str">
        <f>IF(B11=C11,"T","WARN")</f>
        <v>T</v>
      </c>
    </row>
    <row r="12" spans="1:9" ht="15.75">
      <c r="A12" s="1"/>
    </row>
    <row r="13" spans="1:9" ht="15.75">
      <c r="A13" s="1" t="s">
        <v>8</v>
      </c>
      <c r="B13" s="33">
        <f>ASINH(-2.5)</f>
        <v>-1.6472311463710965</v>
      </c>
      <c r="C13" s="25">
        <v>-1.6472311463710965</v>
      </c>
      <c r="D13" t="str">
        <f>IF(B13=C13,"T","WARN")</f>
        <v>T</v>
      </c>
    </row>
    <row r="14" spans="1:9" ht="15.75">
      <c r="A14" s="1"/>
    </row>
    <row r="15" spans="1:9" ht="15.75">
      <c r="A15" s="1" t="s">
        <v>9</v>
      </c>
      <c r="B15" s="33">
        <f>ATAN(1)</f>
        <v>0.78539816339744828</v>
      </c>
      <c r="C15" s="25">
        <v>0.78539816339744828</v>
      </c>
      <c r="D15" t="str">
        <f>IF(B15=C15,"T","WARN")</f>
        <v>T</v>
      </c>
    </row>
    <row r="16" spans="1:9" ht="15.75">
      <c r="A16" s="1"/>
    </row>
    <row r="17" spans="1:4" ht="15.75">
      <c r="A17" s="1" t="s">
        <v>10</v>
      </c>
      <c r="B17" s="33">
        <f>ATAN2(1, 1)</f>
        <v>0.78539816339744828</v>
      </c>
      <c r="C17" s="33">
        <v>0.78539816339744828</v>
      </c>
      <c r="D17" t="str">
        <f>IF(B17=C17,"T","WARN")</f>
        <v>T</v>
      </c>
    </row>
    <row r="18" spans="1:4" ht="15.75">
      <c r="A18" s="1"/>
    </row>
    <row r="19" spans="1:4" ht="15.75">
      <c r="A19" s="1" t="s">
        <v>11</v>
      </c>
      <c r="B19" s="33">
        <f>ATANH(0.76159416)</f>
        <v>1.0000000096297197</v>
      </c>
      <c r="C19" s="25">
        <v>1.0000000096297197</v>
      </c>
      <c r="D19" t="str">
        <f>IF(B19=C19,"T","WARN")</f>
        <v>T</v>
      </c>
    </row>
    <row r="20" spans="1:4" ht="15.75">
      <c r="A20" s="1"/>
    </row>
    <row r="21" spans="1:4" ht="15.75">
      <c r="A21" s="1" t="s">
        <v>12</v>
      </c>
      <c r="B21" s="5">
        <f>CEILING(2.5, 1)</f>
        <v>3</v>
      </c>
      <c r="C21">
        <v>3</v>
      </c>
      <c r="D21" t="str">
        <f>IF(B21=C21,"T","WARN")</f>
        <v>T</v>
      </c>
    </row>
    <row r="22" spans="1:4">
      <c r="A22" s="10"/>
    </row>
    <row r="23" spans="1:4" ht="15.75">
      <c r="A23" s="1" t="s">
        <v>65</v>
      </c>
      <c r="B23" s="5">
        <f>COMBIN(8,2)</f>
        <v>28</v>
      </c>
      <c r="C23">
        <v>28</v>
      </c>
      <c r="D23" t="str">
        <f>IF(B23=C23,"T","WARN")</f>
        <v>T</v>
      </c>
    </row>
    <row r="24" spans="1:4" ht="15.75">
      <c r="A24" s="1"/>
    </row>
    <row r="25" spans="1:4" ht="15.75">
      <c r="A25" s="1" t="s">
        <v>13</v>
      </c>
      <c r="B25" s="33">
        <f>COS(1.047)</f>
        <v>0.50017107459707011</v>
      </c>
      <c r="C25" s="25">
        <v>0.50017107459707011</v>
      </c>
      <c r="D25" t="str">
        <f>IF(B25=C25,"T","WARN")</f>
        <v>T</v>
      </c>
    </row>
    <row r="26" spans="1:4" ht="15.75">
      <c r="A26" s="1"/>
    </row>
    <row r="27" spans="1:4" ht="15.75">
      <c r="A27" s="1" t="s">
        <v>14</v>
      </c>
      <c r="B27" s="33">
        <f>COSH(4)</f>
        <v>27.308232836016487</v>
      </c>
      <c r="C27" s="25">
        <v>27.308232836016487</v>
      </c>
      <c r="D27" t="str">
        <f>IF(B27=C27,"T","WARN")</f>
        <v>T</v>
      </c>
    </row>
    <row r="28" spans="1:4" ht="15.75">
      <c r="A28" s="1"/>
    </row>
    <row r="29" spans="1:4" ht="15.75">
      <c r="A29" s="1" t="s">
        <v>15</v>
      </c>
      <c r="B29" s="5">
        <f>DEGREES(PI())</f>
        <v>180</v>
      </c>
      <c r="C29">
        <v>180</v>
      </c>
      <c r="D29" t="str">
        <f>IF(B29=C29,"T","WARN")</f>
        <v>T</v>
      </c>
    </row>
    <row r="30" spans="1:4" ht="15.75">
      <c r="A30" s="1"/>
    </row>
    <row r="31" spans="1:4" ht="15.75">
      <c r="A31" s="1" t="s">
        <v>16</v>
      </c>
      <c r="B31" s="5">
        <f>EVEN(1.5)</f>
        <v>2</v>
      </c>
      <c r="C31">
        <v>2</v>
      </c>
      <c r="D31" t="str">
        <f>IF(B31=C31,"T","WARN")</f>
        <v>T</v>
      </c>
    </row>
    <row r="32" spans="1:4" ht="15.75">
      <c r="A32" s="1"/>
    </row>
    <row r="33" spans="1:4" ht="15.75">
      <c r="A33" s="1" t="s">
        <v>17</v>
      </c>
      <c r="B33" s="25">
        <f>EXP(1)</f>
        <v>2.7182818284590451</v>
      </c>
      <c r="C33" s="25">
        <v>2.7182818284590451</v>
      </c>
      <c r="D33" t="str">
        <f>IF(B33=C33,"T","WARN")</f>
        <v>T</v>
      </c>
    </row>
    <row r="34" spans="1:4" ht="15.75">
      <c r="A34" s="1"/>
    </row>
    <row r="35" spans="1:4" ht="15.75">
      <c r="A35" s="1" t="s">
        <v>18</v>
      </c>
      <c r="B35">
        <f>FACT(5)</f>
        <v>120</v>
      </c>
      <c r="C35">
        <v>120</v>
      </c>
      <c r="D35" t="str">
        <f>IF(B35=C35,"T","WARN")</f>
        <v>T</v>
      </c>
    </row>
    <row r="36" spans="1:4" ht="15.75">
      <c r="A36" s="1"/>
    </row>
    <row r="37" spans="1:4" ht="15.75">
      <c r="A37" s="1" t="s">
        <v>19</v>
      </c>
      <c r="B37" s="5">
        <f>FACTDOUBLE(6)</f>
        <v>48</v>
      </c>
      <c r="C37">
        <v>48</v>
      </c>
      <c r="D37" t="str">
        <f>IF(B37=C37,"T","WARN")</f>
        <v>T</v>
      </c>
    </row>
    <row r="38" spans="1:4" ht="15.75">
      <c r="A38" s="1"/>
    </row>
    <row r="39" spans="1:4" ht="15.75">
      <c r="A39" s="1" t="s">
        <v>20</v>
      </c>
      <c r="B39" s="5">
        <f>FLOOR(2.5, 1)</f>
        <v>2</v>
      </c>
      <c r="C39">
        <v>2</v>
      </c>
      <c r="D39" t="str">
        <f>IF(B39=C39,"T","WARN")</f>
        <v>T</v>
      </c>
    </row>
    <row r="40" spans="1:4" ht="15.75">
      <c r="A40" s="1"/>
    </row>
    <row r="41" spans="1:4" ht="15.75">
      <c r="A41" s="1" t="s">
        <v>21</v>
      </c>
      <c r="B41" s="5">
        <f>GCD(5, 2)</f>
        <v>1</v>
      </c>
      <c r="C41">
        <v>1</v>
      </c>
      <c r="D41" t="str">
        <f>IF(B41=C41,"T","WARN")</f>
        <v>T</v>
      </c>
    </row>
    <row r="42" spans="1:4" ht="15.75">
      <c r="A42" s="1"/>
    </row>
    <row r="43" spans="1:4" ht="15.75">
      <c r="A43" s="1" t="s">
        <v>22</v>
      </c>
      <c r="B43" s="5">
        <f>INT(8.9)</f>
        <v>8</v>
      </c>
      <c r="C43">
        <v>8</v>
      </c>
      <c r="D43" t="str">
        <f>IF(B43=C43,"T","WARN")</f>
        <v>T</v>
      </c>
    </row>
    <row r="44" spans="1:4" ht="15.75">
      <c r="A44" s="1"/>
    </row>
    <row r="45" spans="1:4" ht="15.75">
      <c r="A45" s="1" t="s">
        <v>23</v>
      </c>
      <c r="B45" s="5">
        <f>LCM(5, 2)</f>
        <v>10</v>
      </c>
      <c r="C45">
        <v>10</v>
      </c>
      <c r="D45" t="str">
        <f>IF(B45=C45,"T","WARN")</f>
        <v>T</v>
      </c>
    </row>
    <row r="46" spans="1:4" ht="15.75">
      <c r="A46" s="1"/>
    </row>
    <row r="47" spans="1:4" ht="15.75">
      <c r="A47" s="1" t="s">
        <v>24</v>
      </c>
      <c r="B47" s="8">
        <f>LN(86)</f>
        <v>4.4543472962535073</v>
      </c>
      <c r="C47" s="11">
        <v>4.4543472962535073</v>
      </c>
      <c r="D47" t="str">
        <f>IF(B47=C47,"T","WARN")</f>
        <v>T</v>
      </c>
    </row>
    <row r="48" spans="1:4" ht="15.75">
      <c r="A48" s="1"/>
    </row>
    <row r="49" spans="1:5" ht="15.75">
      <c r="A49" s="1" t="s">
        <v>25</v>
      </c>
      <c r="B49" s="5">
        <f>LOG(8, 2)</f>
        <v>3</v>
      </c>
      <c r="C49">
        <v>3</v>
      </c>
      <c r="D49" t="str">
        <f>IF(B49=C49,"T","WARN")</f>
        <v>T</v>
      </c>
    </row>
    <row r="50" spans="1:5" ht="15.75">
      <c r="A50" s="1"/>
    </row>
    <row r="51" spans="1:5" ht="15.75">
      <c r="A51" s="1" t="s">
        <v>26</v>
      </c>
      <c r="B51">
        <f>LOG10(10)</f>
        <v>1</v>
      </c>
      <c r="C51">
        <v>1</v>
      </c>
      <c r="D51" t="str">
        <f>IF(B51=C51,"T","WARN")</f>
        <v>T</v>
      </c>
    </row>
    <row r="52" spans="1:5" ht="15.75">
      <c r="A52" s="1"/>
    </row>
    <row r="53" spans="1:5" ht="15.75">
      <c r="A53" s="1" t="s">
        <v>27</v>
      </c>
      <c r="B53">
        <f>MDETERM(B54:E57)</f>
        <v>87.999999999999972</v>
      </c>
      <c r="C53">
        <v>88</v>
      </c>
      <c r="D53" t="str">
        <f>IF(B53=C53,"T","WARN")</f>
        <v>T</v>
      </c>
    </row>
    <row r="54" spans="1:5">
      <c r="B54">
        <v>1</v>
      </c>
      <c r="C54">
        <v>3</v>
      </c>
      <c r="D54">
        <v>8</v>
      </c>
      <c r="E54">
        <v>5</v>
      </c>
    </row>
    <row r="55" spans="1:5">
      <c r="B55">
        <v>1</v>
      </c>
      <c r="C55">
        <v>3</v>
      </c>
      <c r="D55">
        <v>6</v>
      </c>
      <c r="E55">
        <v>1</v>
      </c>
    </row>
    <row r="56" spans="1:5">
      <c r="B56">
        <v>1</v>
      </c>
      <c r="C56">
        <v>1</v>
      </c>
      <c r="D56">
        <v>1</v>
      </c>
      <c r="E56">
        <v>0</v>
      </c>
    </row>
    <row r="57" spans="1:5">
      <c r="B57">
        <v>7</v>
      </c>
      <c r="C57">
        <v>3</v>
      </c>
      <c r="D57">
        <v>10</v>
      </c>
      <c r="E57">
        <v>2</v>
      </c>
    </row>
    <row r="58" spans="1:5" ht="15.75">
      <c r="A58" s="1"/>
    </row>
    <row r="59" spans="1:5" ht="15.75">
      <c r="A59" s="1" t="s">
        <v>28</v>
      </c>
      <c r="B59">
        <f>MINVERSE(B60:C61)</f>
        <v>0</v>
      </c>
      <c r="C59">
        <v>0</v>
      </c>
      <c r="D59" t="str">
        <f>IF(B59=C59,"T","WARN")</f>
        <v>T</v>
      </c>
    </row>
    <row r="60" spans="1:5" ht="15.75">
      <c r="A60" s="1"/>
      <c r="B60">
        <v>4</v>
      </c>
      <c r="C60">
        <v>-1</v>
      </c>
    </row>
    <row r="61" spans="1:5" ht="15.75">
      <c r="A61" s="1"/>
      <c r="B61">
        <v>2</v>
      </c>
      <c r="C61">
        <v>0</v>
      </c>
    </row>
    <row r="62" spans="1:5" ht="15.75">
      <c r="A62" s="1"/>
    </row>
    <row r="63" spans="1:5" ht="15.75">
      <c r="A63" s="1" t="s">
        <v>29</v>
      </c>
      <c r="B63">
        <f>MMULT(B65:C66,B68:C69)</f>
        <v>2</v>
      </c>
      <c r="C63">
        <v>2</v>
      </c>
      <c r="D63" t="str">
        <f>IF(B63=C63,"T","WARN")</f>
        <v>T</v>
      </c>
    </row>
    <row r="64" spans="1:5" ht="15.75">
      <c r="A64" s="1"/>
      <c r="B64" t="s">
        <v>66</v>
      </c>
    </row>
    <row r="65" spans="1:4" ht="15.75">
      <c r="A65" s="1"/>
      <c r="B65">
        <v>1</v>
      </c>
      <c r="C65">
        <v>3</v>
      </c>
    </row>
    <row r="66" spans="1:4" ht="15.75">
      <c r="A66" s="1"/>
      <c r="B66">
        <v>7</v>
      </c>
      <c r="C66">
        <v>2</v>
      </c>
    </row>
    <row r="67" spans="1:4" ht="15.75">
      <c r="A67" s="1"/>
      <c r="B67" t="s">
        <v>67</v>
      </c>
    </row>
    <row r="68" spans="1:4" ht="15.75">
      <c r="A68" s="1"/>
      <c r="B68">
        <v>2</v>
      </c>
      <c r="C68">
        <v>0</v>
      </c>
    </row>
    <row r="69" spans="1:4" ht="15.75">
      <c r="A69" s="1"/>
      <c r="B69">
        <v>0</v>
      </c>
      <c r="C69">
        <v>2</v>
      </c>
    </row>
    <row r="70" spans="1:4" ht="15.75">
      <c r="A70" s="1"/>
    </row>
    <row r="71" spans="1:4" ht="15.75">
      <c r="A71" s="1" t="s">
        <v>30</v>
      </c>
      <c r="B71" s="5">
        <f>MOD(3, 2)</f>
        <v>1</v>
      </c>
      <c r="C71">
        <v>1</v>
      </c>
      <c r="D71" t="str">
        <f>IF(B71=C71,"T","WARN")</f>
        <v>T</v>
      </c>
    </row>
    <row r="72" spans="1:4" ht="15.75">
      <c r="A72" s="1"/>
    </row>
    <row r="73" spans="1:4" ht="15.75">
      <c r="A73" s="1" t="s">
        <v>31</v>
      </c>
      <c r="B73" s="5">
        <f>MROUND(10, 3)</f>
        <v>9</v>
      </c>
      <c r="C73">
        <v>9</v>
      </c>
      <c r="D73" t="str">
        <f>IF(B74=C74,"T","WARN")</f>
        <v>T</v>
      </c>
    </row>
    <row r="74" spans="1:4" ht="15.75">
      <c r="A74" s="1"/>
    </row>
    <row r="75" spans="1:4" ht="15.75">
      <c r="A75" s="1" t="s">
        <v>32</v>
      </c>
      <c r="B75" s="5">
        <f>MULTINOMIAL(2, 3, 4)</f>
        <v>1259.9999999999991</v>
      </c>
      <c r="C75">
        <v>1260</v>
      </c>
      <c r="D75" t="str">
        <f>IF(B75=C75,"T","WARN")</f>
        <v>T</v>
      </c>
    </row>
    <row r="76" spans="1:4" ht="15.75">
      <c r="A76" s="1"/>
    </row>
    <row r="77" spans="1:4" ht="15.75">
      <c r="A77" s="1" t="s">
        <v>33</v>
      </c>
      <c r="B77" s="5">
        <f>ODD(1.5)</f>
        <v>3</v>
      </c>
      <c r="C77">
        <v>3</v>
      </c>
      <c r="D77" t="str">
        <f>IF(B77=C77,"T","WARN")</f>
        <v>T</v>
      </c>
    </row>
    <row r="78" spans="1:4" ht="15.75">
      <c r="A78" s="1"/>
    </row>
    <row r="79" spans="1:4" ht="15.75">
      <c r="A79" s="1" t="s">
        <v>34</v>
      </c>
      <c r="B79" s="8">
        <f>PI()</f>
        <v>3.1415926535897931</v>
      </c>
      <c r="C79" s="11">
        <v>3.1415926535897931</v>
      </c>
      <c r="D79" t="str">
        <f>IF(B79=C79,"T","WARN")</f>
        <v>T</v>
      </c>
    </row>
    <row r="80" spans="1:4" ht="15.75">
      <c r="A80" s="1"/>
    </row>
    <row r="81" spans="1:4" ht="15.75">
      <c r="A81" s="1" t="s">
        <v>35</v>
      </c>
      <c r="B81" s="5">
        <f>POWER(5,2)</f>
        <v>25</v>
      </c>
      <c r="C81">
        <v>25</v>
      </c>
      <c r="D81" t="str">
        <f>IF(B81=C81,"T","WARN")</f>
        <v>T</v>
      </c>
    </row>
    <row r="82" spans="1:4" ht="15.75">
      <c r="A82" s="1"/>
    </row>
    <row r="83" spans="1:4" ht="15.75">
      <c r="A83" s="1" t="s">
        <v>36</v>
      </c>
      <c r="B83" s="5">
        <f>PRODUCT(B84:B86)</f>
        <v>2250</v>
      </c>
      <c r="C83">
        <v>2250</v>
      </c>
      <c r="D83" t="str">
        <f>IF(B83=C83,"T","WARN")</f>
        <v>T</v>
      </c>
    </row>
    <row r="84" spans="1:4" ht="15.75">
      <c r="A84" s="1"/>
      <c r="B84">
        <v>5</v>
      </c>
    </row>
    <row r="85" spans="1:4" ht="15.75">
      <c r="A85" s="1"/>
      <c r="B85">
        <v>15</v>
      </c>
    </row>
    <row r="86" spans="1:4" ht="15.75">
      <c r="A86" s="1"/>
      <c r="B86">
        <v>30</v>
      </c>
    </row>
    <row r="87" spans="1:4" ht="15.75">
      <c r="A87" s="1"/>
    </row>
    <row r="88" spans="1:4" ht="15.75">
      <c r="A88" s="1" t="s">
        <v>37</v>
      </c>
      <c r="B88" s="5">
        <f>QUOTIENT(5, 2)</f>
        <v>2</v>
      </c>
      <c r="C88">
        <v>2</v>
      </c>
      <c r="D88" t="str">
        <f t="shared" ref="D88" si="0">IF(B88=C88,"T","WARN")</f>
        <v>T</v>
      </c>
    </row>
    <row r="89" spans="1:4" ht="15.75">
      <c r="A89" s="1"/>
    </row>
    <row r="90" spans="1:4" ht="15.75">
      <c r="A90" s="1" t="s">
        <v>38</v>
      </c>
      <c r="B90" s="11">
        <f>RADIANS(270)</f>
        <v>4.7123889803846897</v>
      </c>
      <c r="C90" s="11">
        <v>4.7123889803846897</v>
      </c>
      <c r="D90" t="str">
        <f>IF(B90=C90,"T","WARN")</f>
        <v>T</v>
      </c>
    </row>
    <row r="91" spans="1:4" ht="15.75">
      <c r="A91" s="1"/>
    </row>
    <row r="92" spans="1:4" ht="15.75">
      <c r="A92" s="1" t="s">
        <v>39</v>
      </c>
      <c r="B92" s="9">
        <f ca="1">RAND()*100</f>
        <v>31.358356266281451</v>
      </c>
      <c r="C92" t="s">
        <v>69</v>
      </c>
      <c r="D92" t="s">
        <v>394</v>
      </c>
    </row>
    <row r="93" spans="1:4" ht="15.75">
      <c r="A93" s="1"/>
    </row>
    <row r="94" spans="1:4" ht="15.75">
      <c r="A94" s="1" t="s">
        <v>40</v>
      </c>
      <c r="B94">
        <f ca="1">RANDBETWEEN(1,100)</f>
        <v>44</v>
      </c>
      <c r="C94" t="s">
        <v>69</v>
      </c>
      <c r="D94" t="s">
        <v>394</v>
      </c>
    </row>
    <row r="95" spans="1:4" ht="15.75">
      <c r="A95" s="1"/>
    </row>
    <row r="96" spans="1:4" ht="15.75">
      <c r="A96" s="1" t="s">
        <v>41</v>
      </c>
      <c r="B96" s="5" t="str">
        <f>ROMAN(499)</f>
        <v>CDXCIX</v>
      </c>
      <c r="C96" t="s">
        <v>70</v>
      </c>
      <c r="D96" t="str">
        <f>IF(B96=C96,"T","WARN")</f>
        <v>T</v>
      </c>
    </row>
    <row r="97" spans="1:4" ht="15.75">
      <c r="A97" s="1"/>
    </row>
    <row r="98" spans="1:4" ht="15.75">
      <c r="A98" s="1" t="s">
        <v>42</v>
      </c>
      <c r="B98" s="5">
        <f>ROUND(2.15, 1)</f>
        <v>2.2000000000000002</v>
      </c>
      <c r="C98">
        <v>2.2000000000000002</v>
      </c>
      <c r="D98" t="str">
        <f t="shared" ref="D98" si="1">IF(B98=C98,"T","WARN")</f>
        <v>T</v>
      </c>
    </row>
    <row r="99" spans="1:4" ht="15.75">
      <c r="A99" s="1"/>
    </row>
    <row r="100" spans="1:4" ht="15.75">
      <c r="A100" s="1" t="s">
        <v>43</v>
      </c>
      <c r="B100">
        <f>ROUNDDOWN(3.2, 0)</f>
        <v>3</v>
      </c>
      <c r="C100">
        <v>3</v>
      </c>
      <c r="D100" t="str">
        <f>IF(B100=C100,"T","WARN")</f>
        <v>T</v>
      </c>
    </row>
    <row r="101" spans="1:4" ht="15.75">
      <c r="A101" s="1"/>
    </row>
    <row r="102" spans="1:4" ht="15.75">
      <c r="A102" s="1" t="s">
        <v>44</v>
      </c>
      <c r="B102">
        <f>ROUNDUP(3.2,0)</f>
        <v>4</v>
      </c>
      <c r="C102">
        <v>4</v>
      </c>
      <c r="D102" t="str">
        <f>IF(B102=C102,"T","WARN")</f>
        <v>T</v>
      </c>
    </row>
    <row r="103" spans="1:4" ht="15.75">
      <c r="A103" s="1"/>
    </row>
    <row r="104" spans="1:4" ht="15.75">
      <c r="A104" s="1" t="s">
        <v>45</v>
      </c>
      <c r="B104" s="8">
        <f>SERIESSUM(B105,0,2,B106:B109)</f>
        <v>0.70710321482284566</v>
      </c>
      <c r="C104" s="11">
        <v>0.70710321482284566</v>
      </c>
      <c r="D104" t="str">
        <f>IF(B104=C104,"T","WARN")</f>
        <v>T</v>
      </c>
    </row>
    <row r="105" spans="1:4" ht="15.75">
      <c r="A105" s="1"/>
      <c r="B105">
        <f>PI()/4</f>
        <v>0.78539816339744828</v>
      </c>
    </row>
    <row r="106" spans="1:4" ht="15.75">
      <c r="A106" s="1"/>
      <c r="B106">
        <v>1</v>
      </c>
    </row>
    <row r="107" spans="1:4" ht="15.75">
      <c r="A107" s="1"/>
      <c r="B107">
        <f>-1/FACT(2)</f>
        <v>-0.5</v>
      </c>
    </row>
    <row r="108" spans="1:4" ht="15.75">
      <c r="A108" s="1"/>
      <c r="B108">
        <f>1/FACT(4)</f>
        <v>4.1666666666666664E-2</v>
      </c>
    </row>
    <row r="109" spans="1:4" ht="15.75">
      <c r="A109" s="1"/>
      <c r="B109">
        <f>-1/FACT(6)</f>
        <v>-1.3888888888888889E-3</v>
      </c>
    </row>
    <row r="110" spans="1:4" ht="15.75">
      <c r="A110" s="1"/>
    </row>
    <row r="111" spans="1:4" ht="15.75">
      <c r="A111" s="1" t="s">
        <v>46</v>
      </c>
      <c r="B111">
        <f>SIGN(10)</f>
        <v>1</v>
      </c>
      <c r="C111">
        <v>1</v>
      </c>
      <c r="D111" t="str">
        <f>IF(B111=C111,"T","WARN")</f>
        <v>T</v>
      </c>
    </row>
    <row r="112" spans="1:4" ht="15.75">
      <c r="A112" s="1"/>
    </row>
    <row r="113" spans="1:4" ht="15.75">
      <c r="A113" s="1" t="s">
        <v>47</v>
      </c>
      <c r="B113" s="25">
        <f>SIN(PI())</f>
        <v>1.22514845490862E-16</v>
      </c>
      <c r="C113" s="25">
        <v>1.22514845490862E-16</v>
      </c>
      <c r="D113" t="str">
        <f>IF(B113=C113,"T","WARN")</f>
        <v>T</v>
      </c>
    </row>
    <row r="114" spans="1:4" ht="15.75">
      <c r="A114" s="1"/>
    </row>
    <row r="115" spans="1:4" ht="15.75">
      <c r="A115" s="1" t="s">
        <v>48</v>
      </c>
      <c r="B115" s="8">
        <f>SINH(1)</f>
        <v>1.1752011936438014</v>
      </c>
      <c r="C115" s="11">
        <v>1.1752011936438014</v>
      </c>
      <c r="D115" t="str">
        <f>IF(B115=C115,"T","WARN")</f>
        <v>T</v>
      </c>
    </row>
    <row r="116" spans="1:4" ht="15.75">
      <c r="A116" s="1"/>
    </row>
    <row r="117" spans="1:4" ht="15.75">
      <c r="A117" s="1" t="s">
        <v>49</v>
      </c>
      <c r="B117" s="5">
        <f>SQRT(16)</f>
        <v>4</v>
      </c>
      <c r="C117">
        <v>4</v>
      </c>
      <c r="D117" t="str">
        <f>IF(B117=C117,"T","WARN")</f>
        <v>T</v>
      </c>
    </row>
    <row r="118" spans="1:4" ht="15.75">
      <c r="A118" s="1"/>
    </row>
    <row r="119" spans="1:4" ht="15.75">
      <c r="A119" s="1" t="s">
        <v>50</v>
      </c>
      <c r="B119" s="11">
        <f>SQRTPI(1)</f>
        <v>1.7724538509055159</v>
      </c>
      <c r="C119" s="11">
        <v>1.7724538509055159</v>
      </c>
      <c r="D119" t="str">
        <f>IF(B119=C119,"T","WARN")</f>
        <v>T</v>
      </c>
    </row>
    <row r="120" spans="1:4" ht="15.75">
      <c r="A120" s="1"/>
    </row>
    <row r="121" spans="1:4" ht="15.75">
      <c r="A121" s="1" t="s">
        <v>51</v>
      </c>
      <c r="B121">
        <f>SUBTOTAL(9,B122:B125)</f>
        <v>303</v>
      </c>
      <c r="C121">
        <v>303</v>
      </c>
      <c r="D121" t="str">
        <f>IF(B121=C121,"T","WARN")</f>
        <v>T</v>
      </c>
    </row>
    <row r="122" spans="1:4" ht="15.75">
      <c r="A122" s="1"/>
      <c r="B122">
        <v>120</v>
      </c>
    </row>
    <row r="123" spans="1:4" ht="15.75">
      <c r="A123" s="1"/>
      <c r="B123">
        <v>10</v>
      </c>
    </row>
    <row r="124" spans="1:4" ht="15.75">
      <c r="A124" s="1"/>
      <c r="B124">
        <v>150</v>
      </c>
    </row>
    <row r="125" spans="1:4" ht="15.75">
      <c r="A125" s="1"/>
      <c r="B125">
        <v>23</v>
      </c>
    </row>
    <row r="126" spans="1:4" ht="15.75">
      <c r="A126" s="1"/>
    </row>
    <row r="127" spans="1:4" ht="15.75">
      <c r="A127" s="1" t="s">
        <v>52</v>
      </c>
      <c r="B127">
        <f>SUM(3, 2)</f>
        <v>5</v>
      </c>
      <c r="C127">
        <v>5</v>
      </c>
      <c r="D127" t="str">
        <f>IF(B127=C127,"T","WARN")</f>
        <v>T</v>
      </c>
    </row>
    <row r="128" spans="1:4" ht="15.75">
      <c r="A128" s="1"/>
    </row>
    <row r="129" spans="1:4" ht="15.75">
      <c r="A129" s="1" t="s">
        <v>53</v>
      </c>
      <c r="B129">
        <f>SUMIF(B130:B133,"&gt;160000",C130:C133)</f>
        <v>63000</v>
      </c>
      <c r="C129">
        <v>63000</v>
      </c>
      <c r="D129" t="str">
        <f>IF(B129=C129,"T","WARN")</f>
        <v>T</v>
      </c>
    </row>
    <row r="130" spans="1:4" ht="15.75">
      <c r="A130" s="1"/>
      <c r="B130">
        <v>100000</v>
      </c>
      <c r="C130">
        <v>7000</v>
      </c>
    </row>
    <row r="131" spans="1:4" ht="15.75">
      <c r="A131" s="1"/>
      <c r="B131">
        <v>200000</v>
      </c>
      <c r="C131">
        <v>14000</v>
      </c>
    </row>
    <row r="132" spans="1:4" ht="15.75">
      <c r="A132" s="1"/>
      <c r="B132">
        <v>300000</v>
      </c>
      <c r="C132">
        <v>21000</v>
      </c>
    </row>
    <row r="133" spans="1:4" ht="15.75">
      <c r="A133" s="1"/>
      <c r="B133">
        <v>400000</v>
      </c>
      <c r="C133">
        <v>28000</v>
      </c>
    </row>
    <row r="134" spans="1:4" ht="15.75">
      <c r="A134" s="1"/>
    </row>
    <row r="135" spans="1:4" ht="15.75">
      <c r="A135" s="1" t="s">
        <v>54</v>
      </c>
      <c r="B135">
        <f>SUMIFS(B136:B143,C136:C143,"=a*",D136:D143,1)</f>
        <v>20</v>
      </c>
      <c r="C135">
        <v>20</v>
      </c>
      <c r="D135" t="str">
        <f>IF(B135=C135,"T","WARN")</f>
        <v>T</v>
      </c>
    </row>
    <row r="136" spans="1:4" ht="15.75">
      <c r="A136" s="1"/>
      <c r="B136">
        <v>5</v>
      </c>
      <c r="C136" t="s">
        <v>71</v>
      </c>
      <c r="D136">
        <v>1</v>
      </c>
    </row>
    <row r="137" spans="1:4" ht="15.75">
      <c r="A137" s="1"/>
      <c r="B137">
        <v>4</v>
      </c>
      <c r="C137" t="s">
        <v>71</v>
      </c>
      <c r="D137">
        <v>2</v>
      </c>
    </row>
    <row r="138" spans="1:4" ht="15.75">
      <c r="A138" s="1"/>
      <c r="B138">
        <v>15</v>
      </c>
      <c r="C138" t="s">
        <v>72</v>
      </c>
      <c r="D138">
        <v>1</v>
      </c>
    </row>
    <row r="139" spans="1:4" ht="15.75">
      <c r="A139" s="1"/>
      <c r="B139">
        <v>3</v>
      </c>
      <c r="C139" t="s">
        <v>72</v>
      </c>
      <c r="D139">
        <v>2</v>
      </c>
    </row>
    <row r="140" spans="1:4" ht="15.75">
      <c r="A140" s="1"/>
      <c r="B140">
        <v>22</v>
      </c>
      <c r="C140" t="s">
        <v>73</v>
      </c>
      <c r="D140">
        <v>1</v>
      </c>
    </row>
    <row r="141" spans="1:4" ht="15.75">
      <c r="A141" s="1"/>
      <c r="B141">
        <v>12</v>
      </c>
      <c r="C141" t="s">
        <v>73</v>
      </c>
      <c r="D141">
        <v>2</v>
      </c>
    </row>
    <row r="142" spans="1:4" ht="15.75">
      <c r="A142" s="1"/>
      <c r="B142">
        <v>10</v>
      </c>
      <c r="C142" t="s">
        <v>74</v>
      </c>
      <c r="D142">
        <v>1</v>
      </c>
    </row>
    <row r="143" spans="1:4" ht="15.75">
      <c r="A143" s="1"/>
      <c r="B143">
        <v>33</v>
      </c>
      <c r="C143" t="s">
        <v>74</v>
      </c>
      <c r="D143">
        <v>2</v>
      </c>
    </row>
    <row r="144" spans="1:4" ht="15.75">
      <c r="A144" s="1"/>
    </row>
    <row r="145" spans="1:5" ht="15.75">
      <c r="A145" s="1" t="s">
        <v>55</v>
      </c>
      <c r="B145">
        <f>SUMPRODUCT(B146:C148,D146:E148)</f>
        <v>156</v>
      </c>
      <c r="C145">
        <v>156</v>
      </c>
      <c r="D145" t="str">
        <f>IF(B145=C145,"T","WARN")</f>
        <v>T</v>
      </c>
    </row>
    <row r="146" spans="1:5" ht="15.75">
      <c r="A146" s="1"/>
      <c r="B146">
        <v>3</v>
      </c>
      <c r="C146">
        <v>4</v>
      </c>
      <c r="D146">
        <v>2</v>
      </c>
      <c r="E146">
        <v>7</v>
      </c>
    </row>
    <row r="147" spans="1:5" ht="15.75">
      <c r="A147" s="1"/>
      <c r="B147">
        <v>8</v>
      </c>
      <c r="C147">
        <v>6</v>
      </c>
      <c r="D147">
        <v>6</v>
      </c>
      <c r="E147">
        <v>7</v>
      </c>
    </row>
    <row r="148" spans="1:5" ht="15.75">
      <c r="A148" s="1"/>
      <c r="B148">
        <v>1</v>
      </c>
      <c r="C148">
        <v>9</v>
      </c>
      <c r="D148">
        <v>5</v>
      </c>
      <c r="E148">
        <v>3</v>
      </c>
    </row>
    <row r="149" spans="1:5" ht="15.75">
      <c r="A149" s="1"/>
    </row>
    <row r="150" spans="1:5" ht="15.75">
      <c r="A150" s="1" t="s">
        <v>56</v>
      </c>
      <c r="B150" s="5">
        <f>SUMSQ(3, 4)</f>
        <v>25</v>
      </c>
      <c r="C150">
        <v>25</v>
      </c>
      <c r="D150" t="str">
        <f>IF(B150=C150,"T","WARN")</f>
        <v>T</v>
      </c>
    </row>
    <row r="151" spans="1:5" ht="15.75">
      <c r="A151" s="1"/>
    </row>
    <row r="152" spans="1:5" ht="15.75">
      <c r="A152" s="1"/>
    </row>
    <row r="153" spans="1:5" ht="15.75">
      <c r="A153" s="1" t="s">
        <v>57</v>
      </c>
      <c r="B153" s="5">
        <f>SUMX2MY2(B154:B160,C154:C160)</f>
        <v>-55</v>
      </c>
      <c r="C153">
        <v>-55</v>
      </c>
      <c r="D153" t="str">
        <f>IF(B153=C153,"T","WARN")</f>
        <v>T</v>
      </c>
    </row>
    <row r="154" spans="1:5" ht="15.75">
      <c r="A154" s="1"/>
      <c r="B154">
        <v>2</v>
      </c>
      <c r="C154">
        <v>6</v>
      </c>
    </row>
    <row r="155" spans="1:5" ht="15.75">
      <c r="A155" s="1"/>
      <c r="B155">
        <v>3</v>
      </c>
      <c r="C155">
        <v>5</v>
      </c>
    </row>
    <row r="156" spans="1:5" ht="15.75">
      <c r="A156" s="1"/>
      <c r="B156">
        <v>9</v>
      </c>
      <c r="C156">
        <v>11</v>
      </c>
    </row>
    <row r="157" spans="1:5" ht="15.75">
      <c r="A157" s="1"/>
      <c r="B157">
        <v>1</v>
      </c>
      <c r="C157">
        <v>7</v>
      </c>
    </row>
    <row r="158" spans="1:5" ht="15.75">
      <c r="A158" s="1"/>
      <c r="B158">
        <v>8</v>
      </c>
      <c r="C158">
        <v>5</v>
      </c>
    </row>
    <row r="159" spans="1:5" ht="15.75">
      <c r="A159" s="1"/>
      <c r="B159">
        <v>7</v>
      </c>
      <c r="C159">
        <v>4</v>
      </c>
    </row>
    <row r="160" spans="1:5" ht="15.75">
      <c r="A160" s="1"/>
      <c r="B160">
        <v>5</v>
      </c>
      <c r="C160">
        <v>4</v>
      </c>
    </row>
    <row r="161" spans="1:4" ht="15.75">
      <c r="A161" s="1"/>
    </row>
    <row r="162" spans="1:4" ht="15.75">
      <c r="A162" s="1" t="s">
        <v>58</v>
      </c>
      <c r="B162">
        <f>SUMX2PY2(B163:B169,C163:C169)</f>
        <v>521</v>
      </c>
      <c r="C162">
        <v>521</v>
      </c>
      <c r="D162" t="str">
        <f>IF(B162=C162,"T","WARN")</f>
        <v>T</v>
      </c>
    </row>
    <row r="163" spans="1:4" ht="15.75">
      <c r="A163" s="1"/>
      <c r="B163">
        <v>2</v>
      </c>
      <c r="C163">
        <v>6</v>
      </c>
    </row>
    <row r="164" spans="1:4" ht="15.75">
      <c r="A164" s="1"/>
      <c r="B164">
        <v>3</v>
      </c>
      <c r="C164">
        <v>5</v>
      </c>
    </row>
    <row r="165" spans="1:4" ht="15.75">
      <c r="A165" s="1"/>
      <c r="B165">
        <v>9</v>
      </c>
      <c r="C165">
        <v>11</v>
      </c>
    </row>
    <row r="166" spans="1:4" ht="15.75">
      <c r="A166" s="1"/>
      <c r="B166">
        <v>1</v>
      </c>
      <c r="C166">
        <v>7</v>
      </c>
    </row>
    <row r="167" spans="1:4" ht="15.75">
      <c r="A167" s="1"/>
      <c r="B167">
        <v>8</v>
      </c>
      <c r="C167">
        <v>5</v>
      </c>
    </row>
    <row r="168" spans="1:4" ht="15.75">
      <c r="A168" s="1"/>
      <c r="B168">
        <v>7</v>
      </c>
      <c r="C168">
        <v>4</v>
      </c>
    </row>
    <row r="169" spans="1:4" ht="15.75">
      <c r="A169" s="1"/>
      <c r="B169">
        <v>5</v>
      </c>
      <c r="C169">
        <v>4</v>
      </c>
    </row>
    <row r="170" spans="1:4" ht="15.75">
      <c r="A170" s="1"/>
    </row>
    <row r="171" spans="1:4" ht="15.75">
      <c r="A171" s="1" t="s">
        <v>59</v>
      </c>
      <c r="B171">
        <f>SUMXMY2(B172:B178,C172:C178)</f>
        <v>79</v>
      </c>
      <c r="C171">
        <v>79</v>
      </c>
      <c r="D171" t="str">
        <f>IF(B171=C171,"T","WARN")</f>
        <v>T</v>
      </c>
    </row>
    <row r="172" spans="1:4" ht="15.75">
      <c r="A172" s="1"/>
      <c r="B172">
        <v>2</v>
      </c>
      <c r="C172">
        <v>6</v>
      </c>
    </row>
    <row r="173" spans="1:4" ht="15.75">
      <c r="A173" s="1"/>
      <c r="B173">
        <v>3</v>
      </c>
      <c r="C173">
        <v>5</v>
      </c>
    </row>
    <row r="174" spans="1:4" ht="15.75">
      <c r="A174" s="1"/>
      <c r="B174">
        <v>9</v>
      </c>
      <c r="C174">
        <v>11</v>
      </c>
    </row>
    <row r="175" spans="1:4" ht="15.75">
      <c r="A175" s="1"/>
      <c r="B175">
        <v>1</v>
      </c>
      <c r="C175">
        <v>7</v>
      </c>
    </row>
    <row r="176" spans="1:4" ht="15.75">
      <c r="A176" s="1"/>
      <c r="B176">
        <v>8</v>
      </c>
      <c r="C176">
        <v>5</v>
      </c>
    </row>
    <row r="177" spans="1:4" ht="15.75">
      <c r="A177" s="1"/>
      <c r="B177">
        <v>7</v>
      </c>
      <c r="C177">
        <v>4</v>
      </c>
    </row>
    <row r="178" spans="1:4" ht="15.75">
      <c r="A178" s="1"/>
      <c r="B178">
        <v>5</v>
      </c>
      <c r="C178">
        <v>4</v>
      </c>
    </row>
    <row r="179" spans="1:4" ht="15.75">
      <c r="A179" s="1"/>
    </row>
    <row r="180" spans="1:4" ht="15.75">
      <c r="A180" s="1" t="s">
        <v>60</v>
      </c>
      <c r="B180" s="11">
        <f>TAN(0.785)</f>
        <v>0.99920399010504268</v>
      </c>
      <c r="C180" s="11">
        <v>0.99920399010504268</v>
      </c>
      <c r="D180" t="str">
        <f>IF(B180=C180,"T","WARN")</f>
        <v>T</v>
      </c>
    </row>
    <row r="181" spans="1:4" ht="15.75">
      <c r="A181" s="1"/>
    </row>
    <row r="182" spans="1:4" ht="15.75">
      <c r="A182" s="1" t="s">
        <v>61</v>
      </c>
      <c r="B182" s="25">
        <f>TANH(-2)</f>
        <v>-0.96402758007581701</v>
      </c>
      <c r="C182" s="25">
        <v>-0.96402758007581701</v>
      </c>
      <c r="D182" t="str">
        <f>IF(B182=C182,"T","WARN")</f>
        <v>T</v>
      </c>
    </row>
    <row r="183" spans="1:4" ht="15.75">
      <c r="A183" s="1"/>
      <c r="B183" s="11"/>
    </row>
    <row r="184" spans="1:4" ht="15.75">
      <c r="A184" s="1" t="s">
        <v>62</v>
      </c>
      <c r="B184" s="5">
        <f>TRUNC(8.9)</f>
        <v>8</v>
      </c>
      <c r="C184">
        <v>8</v>
      </c>
      <c r="D184" t="str">
        <f>IF(B184=C184,"T","WARN")</f>
        <v>T</v>
      </c>
    </row>
    <row r="186" spans="1:4" ht="15.75">
      <c r="A186" s="1" t="s">
        <v>75</v>
      </c>
      <c r="B186" t="e">
        <v>#NAME?</v>
      </c>
      <c r="C186" t="e">
        <v>#NAME?</v>
      </c>
      <c r="D186" t="s">
        <v>394</v>
      </c>
    </row>
    <row r="188" spans="1:4">
      <c r="A188" t="s">
        <v>399</v>
      </c>
    </row>
    <row r="415" spans="1:1">
      <c r="A415" s="3" t="s">
        <v>0</v>
      </c>
    </row>
  </sheetData>
  <sortState ref="A4:A63">
    <sortCondition ref="A4"/>
  </sortState>
  <mergeCells count="1">
    <mergeCell ref="A2:I2"/>
  </mergeCells>
  <conditionalFormatting sqref="D4 D7 D11 D13 D15 D17 D19 D21 D23 D25:D27 D29 D31 D33 D35 D37 D39 D41 D43 D45 D47 D53 D51 D49 D59 D63 D71 D75 D73 D79 D81 D83 D88:D90 D92 D96 D98:D100 D102 D104:D105 D111 D113 D115 D94 D117 D119 D121 D127 D129 D135 D145 D150 D153 D162 D171 D180 D182 D184 D9 D77 D186">
    <cfRule type="cellIs" dxfId="44" priority="14" operator="equal">
      <formula>"WARN"</formula>
    </cfRule>
  </conditionalFormatting>
  <hyperlinks>
    <hyperlink ref="B1" r:id="rId1" location="Built-in_Functions" display="http://books.zkoss.org/wiki/Small_Talks/2010/December/New_Features_of_ZK_Spreadsheet_2.0 - Built-in_Functions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48"/>
  <sheetViews>
    <sheetView workbookViewId="0">
      <selection activeCell="A11" sqref="A11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8.75">
      <c r="A1" s="4"/>
      <c r="B1" s="2"/>
    </row>
    <row r="2" spans="1:9" ht="36.75" customHeight="1">
      <c r="A2" s="4" t="s">
        <v>76</v>
      </c>
      <c r="B2" s="1" t="s">
        <v>64</v>
      </c>
      <c r="C2" s="1" t="s">
        <v>63</v>
      </c>
      <c r="D2" s="13"/>
      <c r="E2" s="13"/>
      <c r="F2" s="13"/>
      <c r="G2" s="13"/>
      <c r="H2" s="13"/>
      <c r="I2" s="13"/>
    </row>
    <row r="3" spans="1:9" ht="25.5" customHeight="1"/>
    <row r="4" spans="1:9" ht="15.75">
      <c r="A4" s="1" t="s">
        <v>77</v>
      </c>
      <c r="B4" s="5" t="b">
        <f>AND(TRUE, TRUE)</f>
        <v>1</v>
      </c>
      <c r="C4" t="b">
        <v>1</v>
      </c>
      <c r="D4" t="str">
        <f>IF(B4=C4,"T","WARN")</f>
        <v>T</v>
      </c>
    </row>
    <row r="5" spans="1:9" ht="15.75">
      <c r="A5" s="1"/>
    </row>
    <row r="6" spans="1:9" ht="16.5">
      <c r="A6" s="14" t="b">
        <v>0</v>
      </c>
      <c r="B6" s="11" t="b">
        <f>FALSE()</f>
        <v>0</v>
      </c>
      <c r="C6" s="6" t="b">
        <v>0</v>
      </c>
      <c r="D6" t="str">
        <f>IF(B6=C6,"T","WARN")</f>
        <v>T</v>
      </c>
    </row>
    <row r="7" spans="1:9" ht="15.75">
      <c r="A7" s="1"/>
      <c r="B7" s="7"/>
    </row>
    <row r="8" spans="1:9" ht="15.75">
      <c r="A8" s="1" t="s">
        <v>78</v>
      </c>
      <c r="B8" s="5" t="str">
        <f>IF(B9&gt;10,"over 10", "less than 10")</f>
        <v>over 10</v>
      </c>
      <c r="C8" t="s">
        <v>82</v>
      </c>
      <c r="D8" t="str">
        <f>IF(B8=C8,"T","WARN")</f>
        <v>T</v>
      </c>
    </row>
    <row r="9" spans="1:9" ht="15.75">
      <c r="A9" s="1"/>
      <c r="B9">
        <v>11</v>
      </c>
    </row>
    <row r="10" spans="1:9" ht="15.75">
      <c r="A10" s="1"/>
    </row>
    <row r="11" spans="1:9" ht="15.75">
      <c r="A11" s="1" t="s">
        <v>79</v>
      </c>
      <c r="B11" s="7">
        <f>IFERROR(B12/C12,"error")</f>
        <v>6</v>
      </c>
      <c r="C11">
        <v>6</v>
      </c>
      <c r="D11" t="str">
        <f>IF(B11=C11,"T","WARN")</f>
        <v>T</v>
      </c>
    </row>
    <row r="12" spans="1:9" ht="15.75">
      <c r="A12" s="1"/>
      <c r="B12" s="8">
        <v>210</v>
      </c>
      <c r="C12">
        <v>35</v>
      </c>
    </row>
    <row r="13" spans="1:9" ht="15.75">
      <c r="A13" s="1"/>
    </row>
    <row r="14" spans="1:9" ht="15.75">
      <c r="A14" s="1" t="s">
        <v>80</v>
      </c>
      <c r="B14" s="5" t="b">
        <f>NOT(FALSE)</f>
        <v>1</v>
      </c>
      <c r="C14" t="b">
        <v>1</v>
      </c>
      <c r="D14" t="str">
        <f>IF(B14=C14,"T","WARN")</f>
        <v>T</v>
      </c>
    </row>
    <row r="15" spans="1:9" ht="15.75">
      <c r="A15" s="1"/>
    </row>
    <row r="16" spans="1:9" ht="15.75">
      <c r="A16" s="1" t="s">
        <v>81</v>
      </c>
      <c r="B16" s="8" t="b">
        <f>OR(1+1=1,2+2=5)</f>
        <v>0</v>
      </c>
      <c r="C16" t="b">
        <v>0</v>
      </c>
      <c r="D16" t="str">
        <f>IF(B16=C16,"T","WARN")</f>
        <v>T</v>
      </c>
    </row>
    <row r="17" spans="1:4" ht="15.75">
      <c r="A17" s="1"/>
    </row>
    <row r="18" spans="1:4" ht="15.75">
      <c r="A18" s="14" t="b">
        <v>1</v>
      </c>
      <c r="B18" s="8" t="b">
        <f>TRUE()</f>
        <v>1</v>
      </c>
      <c r="C18" t="b">
        <v>1</v>
      </c>
      <c r="D18" t="str">
        <f>IF(B18=C18,"T","WARN")</f>
        <v>T</v>
      </c>
    </row>
    <row r="19" spans="1:4" ht="15.75">
      <c r="A19" s="1"/>
    </row>
    <row r="20" spans="1:4">
      <c r="A20" t="s">
        <v>399</v>
      </c>
    </row>
    <row r="248" spans="1:1">
      <c r="A248" s="3" t="s">
        <v>0</v>
      </c>
    </row>
  </sheetData>
  <conditionalFormatting sqref="D4 D6 D8 D11 D14 D16 D18">
    <cfRule type="cellIs" dxfId="43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24"/>
  <sheetViews>
    <sheetView topLeftCell="A56" zoomScale="115" zoomScaleNormal="115" workbookViewId="0">
      <selection activeCell="A3" sqref="A3:D5"/>
    </sheetView>
  </sheetViews>
  <sheetFormatPr defaultRowHeight="15"/>
  <cols>
    <col min="1" max="1" width="34.7109375" customWidth="1"/>
    <col min="2" max="2" width="25" bestFit="1" customWidth="1"/>
    <col min="3" max="3" width="19.285156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83</v>
      </c>
      <c r="B1" s="1" t="s">
        <v>64</v>
      </c>
      <c r="C1" s="1" t="s">
        <v>63</v>
      </c>
    </row>
    <row r="2" spans="1:4" ht="25.5" customHeight="1"/>
    <row r="3" spans="1:4" ht="25.5" customHeight="1">
      <c r="A3" s="1" t="s">
        <v>124</v>
      </c>
      <c r="B3" t="str">
        <f>ASC("EXCEL")</f>
        <v>EXCEL</v>
      </c>
      <c r="C3" t="s">
        <v>391</v>
      </c>
      <c r="D3" t="str">
        <f>IF(B3=C3,"T","WARN")</f>
        <v>T</v>
      </c>
    </row>
    <row r="4" spans="1:4" ht="25.5" customHeight="1"/>
    <row r="5" spans="1:4" ht="15.75">
      <c r="A5" s="1" t="s">
        <v>85</v>
      </c>
      <c r="B5" s="5" t="str">
        <f>CHAR(65)</f>
        <v>A</v>
      </c>
      <c r="C5" t="s">
        <v>101</v>
      </c>
      <c r="D5" t="str">
        <f>IF(B5=C5,"T","WARN")</f>
        <v>T</v>
      </c>
    </row>
    <row r="6" spans="1:4" ht="15.75">
      <c r="A6" s="1"/>
      <c r="B6" s="5"/>
    </row>
    <row r="7" spans="1:4" ht="15.75">
      <c r="A7" s="1" t="s">
        <v>100</v>
      </c>
      <c r="B7" s="5" t="str">
        <f>CLEAN(B8)</f>
        <v>text</v>
      </c>
      <c r="C7" t="s">
        <v>161</v>
      </c>
      <c r="D7" t="str">
        <f>IF(B7=C7,"T","WARN")</f>
        <v>T</v>
      </c>
    </row>
    <row r="8" spans="1:4" ht="15.75">
      <c r="A8" s="1"/>
      <c r="B8" s="5" t="str">
        <f>CHAR(9)&amp;"text"&amp;CHAR(10)</f>
        <v xml:space="preserve">	text
</v>
      </c>
    </row>
    <row r="9" spans="1:4" ht="15.75">
      <c r="A9" s="1"/>
      <c r="B9" s="5"/>
    </row>
    <row r="10" spans="1:4" ht="15.75">
      <c r="A10" s="1" t="s">
        <v>86</v>
      </c>
      <c r="B10">
        <f>CODE("A")</f>
        <v>65</v>
      </c>
      <c r="C10">
        <v>65</v>
      </c>
      <c r="D10" t="str">
        <f>IF(B10=C10,"T","WARN")</f>
        <v>T</v>
      </c>
    </row>
    <row r="11" spans="1:4" ht="15.75">
      <c r="A11" s="1"/>
    </row>
    <row r="12" spans="1:4" ht="15.75">
      <c r="A12" s="1" t="s">
        <v>87</v>
      </c>
      <c r="B12" t="str">
        <f>CONCATENATE(B13,C13)</f>
        <v>ZK</v>
      </c>
      <c r="C12" t="s">
        <v>104</v>
      </c>
      <c r="D12" t="str">
        <f>IF(B12=C12,"T","WARN")</f>
        <v>T</v>
      </c>
    </row>
    <row r="13" spans="1:4" ht="15.75">
      <c r="A13" s="1"/>
      <c r="B13" t="s">
        <v>102</v>
      </c>
      <c r="C13" t="s">
        <v>103</v>
      </c>
    </row>
    <row r="14" spans="1:4" ht="15.75">
      <c r="A14" s="1" t="s">
        <v>88</v>
      </c>
      <c r="B14" s="24" t="str">
        <f>DOLLAR(B15,2)</f>
        <v>NT$1,234.57</v>
      </c>
      <c r="C14" s="17" t="s">
        <v>392</v>
      </c>
      <c r="D14" t="str">
        <f>IF(B14=C14,"T","WARN")</f>
        <v>T</v>
      </c>
    </row>
    <row r="15" spans="1:4" ht="15.75">
      <c r="A15" s="1"/>
      <c r="B15" s="5">
        <v>1234.567</v>
      </c>
    </row>
    <row r="16" spans="1:4" ht="15.75">
      <c r="A16" s="1" t="s">
        <v>89</v>
      </c>
      <c r="B16" t="b">
        <f>EXACT(B17,B18)</f>
        <v>1</v>
      </c>
      <c r="C16" t="b">
        <v>1</v>
      </c>
      <c r="D16" t="str">
        <f>IF(B16=C16,"T","WARN")</f>
        <v>T</v>
      </c>
    </row>
    <row r="17" spans="1:4" ht="15.75">
      <c r="A17" s="1"/>
      <c r="B17" t="s">
        <v>105</v>
      </c>
    </row>
    <row r="18" spans="1:4" ht="15.75">
      <c r="A18" s="1"/>
      <c r="B18" t="s">
        <v>105</v>
      </c>
    </row>
    <row r="19" spans="1:4" ht="15.75">
      <c r="A19" s="1"/>
    </row>
    <row r="20" spans="1:4" ht="15.75">
      <c r="A20" s="1" t="s">
        <v>107</v>
      </c>
      <c r="B20">
        <f>FIND("M",B21)</f>
        <v>1</v>
      </c>
      <c r="C20">
        <v>1</v>
      </c>
      <c r="D20" t="str">
        <f>IF(B20=C20,"T","WARN")</f>
        <v>T</v>
      </c>
    </row>
    <row r="21" spans="1:4" ht="15.75">
      <c r="A21" s="1"/>
      <c r="B21" t="s">
        <v>108</v>
      </c>
    </row>
    <row r="22" spans="1:4" ht="15.75">
      <c r="A22" s="1" t="s">
        <v>106</v>
      </c>
      <c r="B22">
        <f>FINDB("M",B21)</f>
        <v>1</v>
      </c>
      <c r="C22">
        <v>1</v>
      </c>
      <c r="D22" t="str">
        <f>IF(B22=C22,"T","WARN")</f>
        <v>T</v>
      </c>
    </row>
    <row r="23" spans="1:4" ht="15.75">
      <c r="A23" s="1"/>
    </row>
    <row r="24" spans="1:4" ht="15.75">
      <c r="A24" s="1" t="s">
        <v>90</v>
      </c>
      <c r="B24" s="18" t="str">
        <f>FIXED(B25,1)</f>
        <v>1,234.6</v>
      </c>
      <c r="C24" t="s">
        <v>393</v>
      </c>
      <c r="D24" t="str">
        <f>IF(B24=C24,"T","WARN")</f>
        <v>T</v>
      </c>
    </row>
    <row r="25" spans="1:4" ht="15.75">
      <c r="A25" s="1"/>
      <c r="B25" s="5">
        <v>1234.567</v>
      </c>
    </row>
    <row r="26" spans="1:4" ht="15.75">
      <c r="A26" s="1"/>
    </row>
    <row r="27" spans="1:4" ht="15.75">
      <c r="A27" s="1" t="s">
        <v>109</v>
      </c>
      <c r="B27" t="str">
        <f>LEFT(B28,4)</f>
        <v xml:space="preserve">東 京 </v>
      </c>
      <c r="C27" t="s">
        <v>114</v>
      </c>
      <c r="D27" t="str">
        <f>IF(B27=C27,"T","WARN")</f>
        <v>T</v>
      </c>
    </row>
    <row r="28" spans="1:4" ht="15.75">
      <c r="A28" s="1"/>
      <c r="B28" s="19" t="s">
        <v>113</v>
      </c>
    </row>
    <row r="29" spans="1:4" ht="15.75">
      <c r="A29" s="1" t="s">
        <v>110</v>
      </c>
      <c r="B29" t="str">
        <f>LEFTB(B28,4)</f>
        <v xml:space="preserve">東 京 </v>
      </c>
      <c r="C29" t="s">
        <v>114</v>
      </c>
      <c r="D29" t="str">
        <f>IF(B29=C29,"T","WARN")</f>
        <v>T</v>
      </c>
    </row>
    <row r="30" spans="1:4" ht="15.75">
      <c r="A30" s="1"/>
    </row>
    <row r="31" spans="1:4" ht="15.75">
      <c r="A31" s="1" t="s">
        <v>111</v>
      </c>
      <c r="B31">
        <f>LEN(B32)</f>
        <v>11</v>
      </c>
      <c r="C31">
        <v>11</v>
      </c>
      <c r="D31" t="str">
        <f>IF(B31=C31,"T","WARN")</f>
        <v>T</v>
      </c>
    </row>
    <row r="32" spans="1:4" ht="15.75">
      <c r="A32" s="1"/>
      <c r="B32" t="s">
        <v>115</v>
      </c>
    </row>
    <row r="33" spans="1:4" ht="15.75">
      <c r="A33" s="1" t="s">
        <v>112</v>
      </c>
      <c r="B33">
        <f>LENB(B32)</f>
        <v>11</v>
      </c>
      <c r="C33">
        <v>11</v>
      </c>
      <c r="D33" t="str">
        <f>IF(B33=C33,"T","WARN")</f>
        <v>T</v>
      </c>
    </row>
    <row r="34" spans="1:4" ht="15.75">
      <c r="A34" s="1"/>
    </row>
    <row r="35" spans="1:4" ht="15.75">
      <c r="A35" s="1" t="s">
        <v>91</v>
      </c>
      <c r="B35" s="5" t="str">
        <f>LOWER(B36)</f>
        <v>e. e. cummings</v>
      </c>
      <c r="C35" t="s">
        <v>117</v>
      </c>
      <c r="D35" t="str">
        <f>IF(B35=C35,"T","WARN")</f>
        <v>T</v>
      </c>
    </row>
    <row r="36" spans="1:4" ht="15.75">
      <c r="A36" s="1"/>
      <c r="B36" s="5" t="s">
        <v>116</v>
      </c>
    </row>
    <row r="37" spans="1:4" ht="15.75">
      <c r="A37" s="1"/>
      <c r="B37" s="5"/>
    </row>
    <row r="38" spans="1:4" ht="15.75">
      <c r="A38" s="1" t="s">
        <v>122</v>
      </c>
      <c r="B38" t="str">
        <f>MID(B39,1,5)</f>
        <v>Fluid</v>
      </c>
      <c r="C38" t="s">
        <v>123</v>
      </c>
      <c r="D38" t="str">
        <f>IF(B38=C38,"T","WARN")</f>
        <v>T</v>
      </c>
    </row>
    <row r="39" spans="1:4" ht="15.75">
      <c r="A39" s="1"/>
      <c r="B39" s="5" t="s">
        <v>121</v>
      </c>
    </row>
    <row r="40" spans="1:4" ht="15.75">
      <c r="A40" s="1" t="s">
        <v>118</v>
      </c>
      <c r="B40" t="str">
        <f>MIDB(B39,1,5)</f>
        <v>Fluid</v>
      </c>
      <c r="C40" t="s">
        <v>123</v>
      </c>
      <c r="D40" t="str">
        <f>IF(B40=C40,"T","WARN")</f>
        <v>T</v>
      </c>
    </row>
    <row r="41" spans="1:4" ht="15.75">
      <c r="A41" s="1"/>
    </row>
    <row r="42" spans="1:4" ht="15.75">
      <c r="A42" s="1" t="s">
        <v>92</v>
      </c>
      <c r="B42" t="str">
        <f>PROPER(B43)</f>
        <v>This Is A Title</v>
      </c>
      <c r="C42" s="5" t="s">
        <v>127</v>
      </c>
      <c r="D42" t="str">
        <f>IF(B42=C42,"T","WARN")</f>
        <v>T</v>
      </c>
    </row>
    <row r="43" spans="1:4" ht="15.75">
      <c r="A43" s="1"/>
      <c r="B43" s="5" t="s">
        <v>126</v>
      </c>
    </row>
    <row r="44" spans="1:4" ht="15.75">
      <c r="A44" s="1"/>
    </row>
    <row r="45" spans="1:4" ht="15.75">
      <c r="A45" s="1" t="s">
        <v>119</v>
      </c>
      <c r="B45" t="str">
        <f>REPLACE(B46,6,5,"*")</f>
        <v>abcde*k</v>
      </c>
      <c r="C45" s="5" t="s">
        <v>129</v>
      </c>
      <c r="D45" t="str">
        <f>IF(B45=C45,"T","WARN")</f>
        <v>T</v>
      </c>
    </row>
    <row r="46" spans="1:4" ht="15.75">
      <c r="A46" s="1"/>
      <c r="B46" s="5" t="s">
        <v>128</v>
      </c>
    </row>
    <row r="47" spans="1:4" ht="15.75">
      <c r="A47" s="1" t="s">
        <v>120</v>
      </c>
      <c r="B47" t="str">
        <f>REPLACEB(B46,6,5,"*")</f>
        <v>abcde*k</v>
      </c>
      <c r="C47" s="5" t="s">
        <v>129</v>
      </c>
      <c r="D47" t="str">
        <f>IF(B47=C47,"T","WARN")</f>
        <v>T</v>
      </c>
    </row>
    <row r="48" spans="1:4" ht="15.75">
      <c r="A48" s="1"/>
    </row>
    <row r="49" spans="1:4" ht="15.75">
      <c r="A49" s="1" t="s">
        <v>93</v>
      </c>
      <c r="B49" t="str">
        <f>REPT("*-", 3)</f>
        <v>*-*-*-</v>
      </c>
      <c r="C49" s="5" t="s">
        <v>130</v>
      </c>
      <c r="D49" t="str">
        <f>IF(B49=C49,"T","WARN")</f>
        <v>T</v>
      </c>
    </row>
    <row r="50" spans="1:4" ht="15.75">
      <c r="A50" s="1"/>
    </row>
    <row r="51" spans="1:4" ht="15.75">
      <c r="A51" s="1" t="s">
        <v>131</v>
      </c>
      <c r="B51" t="str">
        <f>RIGHT(B52,5)</f>
        <v>Price</v>
      </c>
      <c r="C51" t="s">
        <v>133</v>
      </c>
      <c r="D51" t="str">
        <f>IF(B51=C51,"T","WARN")</f>
        <v>T</v>
      </c>
    </row>
    <row r="52" spans="1:4" ht="15.75">
      <c r="A52" s="1"/>
      <c r="B52" s="5" t="s">
        <v>99</v>
      </c>
    </row>
    <row r="53" spans="1:4" ht="15.75">
      <c r="A53" s="1" t="s">
        <v>132</v>
      </c>
      <c r="B53" t="str">
        <f>RIGHTB(B52,5)</f>
        <v>Price</v>
      </c>
      <c r="C53" t="s">
        <v>133</v>
      </c>
      <c r="D53" t="str">
        <f>IF(B53=C53,"T","WARN")</f>
        <v>T</v>
      </c>
    </row>
    <row r="54" spans="1:4" ht="15.75">
      <c r="A54" s="1"/>
    </row>
    <row r="55" spans="1:4" ht="15.75">
      <c r="A55" s="1" t="s">
        <v>134</v>
      </c>
      <c r="B55">
        <f>SEARCH("Price",B56)</f>
        <v>6</v>
      </c>
      <c r="C55">
        <v>6</v>
      </c>
      <c r="D55" t="str">
        <f>IF(B55=C55,"T","WARN")</f>
        <v>T</v>
      </c>
    </row>
    <row r="56" spans="1:4" ht="15.75">
      <c r="A56" s="1"/>
      <c r="B56" s="5" t="s">
        <v>99</v>
      </c>
    </row>
    <row r="57" spans="1:4" ht="15.75">
      <c r="A57" s="1" t="s">
        <v>135</v>
      </c>
      <c r="B57">
        <f>SEARCHB("Price",B56)</f>
        <v>6</v>
      </c>
      <c r="C57">
        <v>6</v>
      </c>
      <c r="D57" t="str">
        <f>IF(B57=C57,"T","WARN")</f>
        <v>T</v>
      </c>
    </row>
    <row r="58" spans="1:4" ht="15.75">
      <c r="A58" s="1"/>
    </row>
    <row r="59" spans="1:4" ht="15.75">
      <c r="A59" s="1" t="s">
        <v>94</v>
      </c>
      <c r="B59" t="str">
        <f>SUBSTITUTE(B60,"1","2",1)</f>
        <v>Quarter 2, 2008</v>
      </c>
      <c r="C59" t="s">
        <v>137</v>
      </c>
      <c r="D59" t="str">
        <f>IF(B59=C59,"T","WARN")</f>
        <v>T</v>
      </c>
    </row>
    <row r="60" spans="1:4" ht="15.75">
      <c r="A60" s="1"/>
      <c r="B60" t="s">
        <v>136</v>
      </c>
    </row>
    <row r="61" spans="1:4" ht="15.75">
      <c r="A61" s="1"/>
    </row>
    <row r="62" spans="1:4" ht="15.75">
      <c r="A62" s="1" t="s">
        <v>95</v>
      </c>
      <c r="B62" t="str">
        <f>T(B63)</f>
        <v>Sale Price</v>
      </c>
      <c r="C62" s="5" t="s">
        <v>99</v>
      </c>
      <c r="D62" t="str">
        <f>IF(B62=C62,"T","WARN")</f>
        <v>T</v>
      </c>
    </row>
    <row r="63" spans="1:4" ht="15.75">
      <c r="A63" s="1"/>
      <c r="B63" s="5" t="s">
        <v>99</v>
      </c>
    </row>
    <row r="64" spans="1:4" ht="15.75">
      <c r="A64" s="1"/>
    </row>
    <row r="65" spans="1:4" ht="15.75">
      <c r="A65" s="1" t="s">
        <v>96</v>
      </c>
      <c r="B65" t="str">
        <f>"Date: " &amp; TEXT(B66,"yyyy-mm-dd")</f>
        <v>Date: 2007-08-06</v>
      </c>
      <c r="C65" t="s">
        <v>138</v>
      </c>
      <c r="D65" t="str">
        <f>IF(B65=C65,"T","WARN")</f>
        <v>T</v>
      </c>
    </row>
    <row r="66" spans="1:4" ht="15.75">
      <c r="A66" s="1"/>
      <c r="B66">
        <v>39300.625</v>
      </c>
    </row>
    <row r="67" spans="1:4" ht="15.75">
      <c r="A67" s="1"/>
    </row>
    <row r="68" spans="1:4" ht="15.75">
      <c r="A68" s="1" t="s">
        <v>97</v>
      </c>
      <c r="B68" t="str">
        <f>TRIM(" revenue in quarter 1 ")</f>
        <v>revenue in quarter 1</v>
      </c>
      <c r="C68" t="s">
        <v>139</v>
      </c>
      <c r="D68" t="str">
        <f>IF(B68=C68,"T","WARN")</f>
        <v>T</v>
      </c>
    </row>
    <row r="69" spans="1:4" ht="15.75">
      <c r="A69" s="1"/>
    </row>
    <row r="70" spans="1:4" ht="15.75">
      <c r="A70" s="1" t="s">
        <v>98</v>
      </c>
      <c r="B70" t="str">
        <f>UPPER(B71)</f>
        <v>TOTAL</v>
      </c>
      <c r="C70" t="s">
        <v>141</v>
      </c>
      <c r="D70" t="str">
        <f>IF(B70=C70,"T","WARN")</f>
        <v>T</v>
      </c>
    </row>
    <row r="71" spans="1:4" ht="15.75">
      <c r="A71" s="1"/>
      <c r="B71" s="5" t="s">
        <v>140</v>
      </c>
    </row>
    <row r="72" spans="1:4" ht="15.75">
      <c r="A72" s="1"/>
      <c r="B72" s="5"/>
    </row>
    <row r="73" spans="1:4" ht="15.75">
      <c r="A73" s="1" t="s">
        <v>142</v>
      </c>
      <c r="B73">
        <f>VALUE("16:48:00")</f>
        <v>0.70000000000000007</v>
      </c>
      <c r="C73">
        <v>0.7</v>
      </c>
      <c r="D73" t="str">
        <f>IF(B73=C73,"T","WARN")</f>
        <v>T</v>
      </c>
    </row>
    <row r="74" spans="1:4" ht="15.75">
      <c r="A74" s="1"/>
      <c r="C74" s="21"/>
    </row>
    <row r="75" spans="1:4">
      <c r="A75" t="s">
        <v>399</v>
      </c>
    </row>
    <row r="79" spans="1:4">
      <c r="B79" s="11"/>
    </row>
    <row r="80" spans="1:4" ht="15.75">
      <c r="A80" s="1"/>
    </row>
    <row r="81" spans="1:2" ht="15.75">
      <c r="A81" s="1"/>
      <c r="B81" s="5"/>
    </row>
    <row r="82" spans="1:2" ht="15.75">
      <c r="A82" s="1"/>
    </row>
    <row r="83" spans="1:2" ht="15.75">
      <c r="A83" s="1"/>
      <c r="B83" s="5"/>
    </row>
    <row r="84" spans="1:2" ht="15.75">
      <c r="A84" s="1"/>
    </row>
    <row r="85" spans="1:2" ht="15.75">
      <c r="A85" s="1"/>
      <c r="B85" s="8"/>
    </row>
    <row r="86" spans="1:2" ht="15.75">
      <c r="A86" s="1"/>
    </row>
    <row r="87" spans="1:2" ht="15.75">
      <c r="A87" s="1"/>
      <c r="B87" s="5"/>
    </row>
    <row r="88" spans="1:2" ht="15.75">
      <c r="A88" s="1"/>
    </row>
    <row r="89" spans="1:2" ht="15.75">
      <c r="A89" s="1"/>
    </row>
    <row r="90" spans="1:2" ht="15.75">
      <c r="A90" s="1"/>
    </row>
    <row r="91" spans="1:2" ht="15.75">
      <c r="A91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</row>
    <row r="106" spans="1:2" ht="15.75">
      <c r="A106" s="1"/>
    </row>
    <row r="107" spans="1:2" ht="15.75">
      <c r="A107" s="1"/>
    </row>
    <row r="108" spans="1:2" ht="15.75">
      <c r="A108" s="1"/>
    </row>
    <row r="109" spans="1:2" ht="15.75">
      <c r="A109" s="1"/>
      <c r="B109" s="5"/>
    </row>
    <row r="110" spans="1:2" ht="15.75">
      <c r="A110" s="1"/>
    </row>
    <row r="111" spans="1:2" ht="15.75">
      <c r="A111" s="1"/>
      <c r="B111" s="5"/>
    </row>
    <row r="112" spans="1:2" ht="15.75">
      <c r="A112" s="1"/>
    </row>
    <row r="113" spans="1:2" ht="15.75">
      <c r="A113" s="1"/>
      <c r="B113" s="5"/>
    </row>
    <row r="114" spans="1:2" ht="15.75">
      <c r="A114" s="1"/>
    </row>
    <row r="115" spans="1:2" ht="15.75">
      <c r="A115" s="1"/>
      <c r="B115" s="5"/>
    </row>
    <row r="116" spans="1:2" ht="15.75">
      <c r="A116" s="1"/>
    </row>
    <row r="117" spans="1:2" ht="15.75">
      <c r="A117" s="1"/>
      <c r="B117" s="8"/>
    </row>
    <row r="118" spans="1:2" ht="15.75">
      <c r="A118" s="1"/>
    </row>
    <row r="119" spans="1:2" ht="15.75">
      <c r="A119" s="1"/>
      <c r="B119" s="5"/>
    </row>
    <row r="120" spans="1:2" ht="15.75">
      <c r="A120" s="1"/>
    </row>
    <row r="121" spans="1:2" ht="15.75">
      <c r="A121" s="1"/>
      <c r="B121" s="5"/>
    </row>
    <row r="122" spans="1:2" ht="15.75">
      <c r="A122" s="1"/>
    </row>
    <row r="123" spans="1:2" ht="15.75">
      <c r="A123" s="1"/>
    </row>
    <row r="124" spans="1:2" ht="15.75">
      <c r="A124" s="1"/>
    </row>
    <row r="125" spans="1:2" ht="15.75">
      <c r="A125" s="1"/>
    </row>
    <row r="126" spans="1:2" ht="15.75">
      <c r="A126" s="1"/>
      <c r="B126" s="5"/>
    </row>
    <row r="127" spans="1:2" ht="15.75">
      <c r="A127" s="1"/>
    </row>
    <row r="128" spans="1:2" ht="15.75">
      <c r="A128" s="1"/>
      <c r="B128" s="11"/>
    </row>
    <row r="129" spans="1:2" ht="15.75">
      <c r="A129" s="1"/>
    </row>
    <row r="130" spans="1:2" ht="15.75">
      <c r="A130" s="1"/>
      <c r="B130" s="9"/>
    </row>
    <row r="131" spans="1:2" ht="15.75">
      <c r="A131" s="1"/>
    </row>
    <row r="132" spans="1:2" ht="15.75">
      <c r="A132" s="1"/>
    </row>
    <row r="133" spans="1:2" ht="15.75">
      <c r="A133" s="1"/>
    </row>
    <row r="134" spans="1:2" ht="15.75">
      <c r="A134" s="1"/>
      <c r="B134" s="5"/>
    </row>
    <row r="135" spans="1:2" ht="15.75">
      <c r="A135" s="1"/>
    </row>
    <row r="136" spans="1:2" ht="15.75">
      <c r="A136" s="1"/>
      <c r="B136" s="5"/>
    </row>
    <row r="137" spans="1:2" ht="15.75">
      <c r="A137" s="1"/>
    </row>
    <row r="138" spans="1:2" ht="15.75">
      <c r="A138" s="1"/>
    </row>
    <row r="139" spans="1:2" ht="15.75">
      <c r="A139" s="1"/>
    </row>
    <row r="140" spans="1:2" ht="15.75">
      <c r="A140" s="1"/>
    </row>
    <row r="141" spans="1:2" ht="15.75">
      <c r="A141" s="1"/>
    </row>
    <row r="142" spans="1:2" ht="15.75">
      <c r="A142" s="1"/>
      <c r="B142" s="8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</row>
    <row r="148" spans="1:2" ht="15.75">
      <c r="A148" s="1"/>
    </row>
    <row r="149" spans="1:2" ht="15.75">
      <c r="A149" s="1"/>
    </row>
    <row r="150" spans="1:2" ht="15.75">
      <c r="A150" s="1"/>
    </row>
    <row r="151" spans="1:2" ht="15.75">
      <c r="A151" s="1"/>
      <c r="B151" s="12"/>
    </row>
    <row r="152" spans="1:2" ht="15.75">
      <c r="A152" s="1"/>
    </row>
    <row r="153" spans="1:2" ht="15.75">
      <c r="A153" s="1"/>
      <c r="B153" s="8"/>
    </row>
    <row r="154" spans="1:2" ht="15.75">
      <c r="A154" s="1"/>
    </row>
    <row r="155" spans="1:2" ht="15.75">
      <c r="A155" s="1"/>
      <c r="B155" s="5"/>
    </row>
    <row r="156" spans="1:2" ht="15.75">
      <c r="A156" s="1"/>
    </row>
    <row r="157" spans="1:2" ht="15.75">
      <c r="A157" s="1"/>
      <c r="B157" s="1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</row>
    <row r="179" spans="1:2" ht="15.75">
      <c r="A179" s="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  <c r="B188" s="5"/>
    </row>
    <row r="189" spans="1:2" ht="15.75">
      <c r="A189" s="1"/>
    </row>
    <row r="190" spans="1:2" ht="15.75">
      <c r="A190" s="1"/>
    </row>
    <row r="191" spans="1:2" ht="15.75">
      <c r="A191" s="1"/>
      <c r="B191" s="5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</row>
    <row r="218" spans="1:2" ht="15.75">
      <c r="A218" s="1"/>
      <c r="B218" s="11"/>
    </row>
    <row r="219" spans="1:2" ht="15.75">
      <c r="A219" s="1"/>
    </row>
    <row r="220" spans="1:2" ht="15.75">
      <c r="A220" s="1"/>
      <c r="B220" s="11"/>
    </row>
    <row r="221" spans="1:2" ht="15.75">
      <c r="A221" s="1"/>
      <c r="B221" s="11"/>
    </row>
    <row r="222" spans="1:2" ht="15.75">
      <c r="A222" s="1"/>
      <c r="B222" s="5"/>
    </row>
    <row r="224" spans="1:2" ht="15.75">
      <c r="A224" s="1"/>
    </row>
  </sheetData>
  <sortState ref="A5:A26">
    <sortCondition ref="A5"/>
  </sortState>
  <conditionalFormatting sqref="D3:D73">
    <cfRule type="cellIs" dxfId="42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51"/>
  <sheetViews>
    <sheetView topLeftCell="A17" workbookViewId="0">
      <selection activeCell="A45" sqref="A45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10" ht="18.75">
      <c r="A1" s="4" t="s">
        <v>163</v>
      </c>
      <c r="B1" s="1" t="s">
        <v>64</v>
      </c>
      <c r="C1" s="1" t="s">
        <v>63</v>
      </c>
    </row>
    <row r="2" spans="1:10" ht="25.5" customHeight="1"/>
    <row r="3" spans="1:10" ht="25.5" customHeight="1">
      <c r="A3" s="1" t="s">
        <v>159</v>
      </c>
      <c r="B3">
        <f ca="1">CELL("row", A3)</f>
        <v>3</v>
      </c>
      <c r="C3">
        <v>3</v>
      </c>
      <c r="D3" t="str">
        <f ca="1">IF(B3=C3,"T","WARN")</f>
        <v>T</v>
      </c>
    </row>
    <row r="4" spans="1:10" ht="25.5" customHeight="1"/>
    <row r="5" spans="1:10" ht="15.75">
      <c r="A5" s="1" t="s">
        <v>143</v>
      </c>
      <c r="B5">
        <f>ERROR.TYPE(B6)</f>
        <v>1</v>
      </c>
      <c r="C5">
        <v>1</v>
      </c>
      <c r="D5" t="str">
        <f>IF(B5=C5,"T","WARN")</f>
        <v>T</v>
      </c>
    </row>
    <row r="6" spans="1:10" ht="15.75">
      <c r="A6" s="1"/>
      <c r="B6" t="e">
        <v>#NULL!</v>
      </c>
    </row>
    <row r="7" spans="1:10" ht="15.75">
      <c r="A7" s="1"/>
    </row>
    <row r="8" spans="1:10" ht="16.5" thickBot="1">
      <c r="A8" s="1" t="s">
        <v>144</v>
      </c>
      <c r="B8" s="5" t="str">
        <f ca="1">INFO("release")</f>
        <v>12.0</v>
      </c>
      <c r="C8" t="s">
        <v>395</v>
      </c>
      <c r="D8" t="str">
        <f ca="1">IF(B8=C8,"T","WARN")</f>
        <v>T</v>
      </c>
      <c r="G8" s="15"/>
      <c r="H8" s="15"/>
      <c r="I8" s="15"/>
      <c r="J8" s="16"/>
    </row>
    <row r="9" spans="1:10" ht="15.75">
      <c r="A9" s="1"/>
      <c r="G9" s="20"/>
      <c r="H9" s="20"/>
      <c r="I9" s="20"/>
      <c r="J9" s="20"/>
    </row>
    <row r="10" spans="1:10" ht="15.75">
      <c r="A10" s="1" t="s">
        <v>145</v>
      </c>
      <c r="B10" s="5" t="b">
        <f>ISBLANK(B11)</f>
        <v>0</v>
      </c>
      <c r="C10" t="b">
        <v>0</v>
      </c>
      <c r="D10" t="str">
        <f>IF(B10=C10,"T","WARN")</f>
        <v>T</v>
      </c>
    </row>
    <row r="11" spans="1:10" ht="15.75">
      <c r="A11" s="1"/>
      <c r="B11" s="5" t="s">
        <v>160</v>
      </c>
    </row>
    <row r="12" spans="1:10" ht="15.75">
      <c r="A12" s="1" t="s">
        <v>146</v>
      </c>
      <c r="B12" s="5" t="b">
        <f>ISERR(B13)</f>
        <v>1</v>
      </c>
      <c r="C12" t="b">
        <v>1</v>
      </c>
      <c r="D12" t="str">
        <f>IF(B12=C12,"T","WARN")</f>
        <v>T</v>
      </c>
    </row>
    <row r="13" spans="1:10" ht="15.75">
      <c r="A13" s="1"/>
      <c r="B13" s="5" t="e">
        <v>#VALUE!</v>
      </c>
    </row>
    <row r="14" spans="1:10" ht="15.75">
      <c r="A14" s="1"/>
      <c r="B14" s="5"/>
    </row>
    <row r="15" spans="1:10" ht="15.75">
      <c r="A15" s="1" t="s">
        <v>147</v>
      </c>
      <c r="B15" t="b">
        <f>ISERROR(B16)</f>
        <v>1</v>
      </c>
      <c r="C15" t="b">
        <v>1</v>
      </c>
      <c r="D15" t="str">
        <f>IF(B15=C15,"T","WARN")</f>
        <v>T</v>
      </c>
    </row>
    <row r="16" spans="1:10" ht="15.75">
      <c r="A16" s="1"/>
      <c r="B16" s="5" t="e">
        <v>#VALUE!</v>
      </c>
    </row>
    <row r="17" spans="1:4" ht="15.75">
      <c r="A17" s="1"/>
    </row>
    <row r="18" spans="1:4" ht="15.75">
      <c r="A18" s="1" t="s">
        <v>148</v>
      </c>
      <c r="B18" t="b">
        <f>ISEVEN(B19)</f>
        <v>1</v>
      </c>
      <c r="C18" t="b">
        <v>1</v>
      </c>
      <c r="D18" t="str">
        <f>IF(B18=C18,"T","WARN")</f>
        <v>T</v>
      </c>
    </row>
    <row r="19" spans="1:4" ht="15.75">
      <c r="A19" s="1"/>
      <c r="B19">
        <v>2</v>
      </c>
    </row>
    <row r="20" spans="1:4" ht="15.75">
      <c r="A20" s="1"/>
    </row>
    <row r="21" spans="1:4" ht="15.75">
      <c r="A21" s="1" t="s">
        <v>149</v>
      </c>
      <c r="B21" t="b">
        <f>ISLOGICAL("TRUE")</f>
        <v>0</v>
      </c>
      <c r="C21" t="b">
        <v>0</v>
      </c>
      <c r="D21" t="str">
        <f>IF(B21=C21,"T","WARN")</f>
        <v>T</v>
      </c>
    </row>
    <row r="22" spans="1:4" ht="15.75">
      <c r="A22" s="1"/>
    </row>
    <row r="23" spans="1:4" ht="15.75">
      <c r="A23" s="1" t="s">
        <v>150</v>
      </c>
      <c r="B23" t="b">
        <f>ISNA(B24)</f>
        <v>0</v>
      </c>
      <c r="C23" t="b">
        <v>0</v>
      </c>
      <c r="D23" t="str">
        <f>IF(B23=C23,"T","WARN")</f>
        <v>T</v>
      </c>
    </row>
    <row r="24" spans="1:4" ht="15.75">
      <c r="A24" s="1"/>
      <c r="B24" s="5" t="e">
        <v>#VALUE!</v>
      </c>
    </row>
    <row r="25" spans="1:4" ht="15.75">
      <c r="A25" s="1"/>
      <c r="B25" s="5"/>
    </row>
    <row r="26" spans="1:4" ht="15.75">
      <c r="A26" s="1" t="s">
        <v>151</v>
      </c>
      <c r="B26" t="b">
        <f>ISNONTEXT(B27)</f>
        <v>1</v>
      </c>
      <c r="C26" t="b">
        <v>1</v>
      </c>
      <c r="D26" t="str">
        <f>IF(B26=C26,"T","WARN")</f>
        <v>T</v>
      </c>
    </row>
    <row r="27" spans="1:4" ht="15.75">
      <c r="A27" s="1"/>
      <c r="B27">
        <v>10</v>
      </c>
    </row>
    <row r="28" spans="1:4" ht="15.75">
      <c r="A28" s="1"/>
    </row>
    <row r="29" spans="1:4" ht="15.75">
      <c r="A29" s="1" t="s">
        <v>152</v>
      </c>
      <c r="B29" t="b">
        <f>ISNUMBER(B30)</f>
        <v>1</v>
      </c>
      <c r="C29" t="b">
        <v>1</v>
      </c>
      <c r="D29" t="str">
        <f>IF(B29=C29,"T","WARN")</f>
        <v>T</v>
      </c>
    </row>
    <row r="30" spans="1:4" ht="15.75">
      <c r="A30" s="1"/>
      <c r="B30">
        <v>10</v>
      </c>
    </row>
    <row r="31" spans="1:4" ht="15.75">
      <c r="A31" s="1" t="s">
        <v>153</v>
      </c>
      <c r="B31" t="b">
        <f>ISODD(10)</f>
        <v>0</v>
      </c>
      <c r="C31" t="b">
        <v>0</v>
      </c>
      <c r="D31" t="str">
        <f>IF(B31=C31,"T","WARN")</f>
        <v>T</v>
      </c>
    </row>
    <row r="32" spans="1:4" ht="15.75">
      <c r="A32" s="1"/>
    </row>
    <row r="33" spans="1:4" ht="15.75">
      <c r="A33" s="1" t="s">
        <v>154</v>
      </c>
      <c r="B33" t="b">
        <f>ISREF(B3A2)</f>
        <v>0</v>
      </c>
      <c r="C33" t="b">
        <v>0</v>
      </c>
      <c r="D33" t="str">
        <f>IF(B33=C33,"T","WARN")</f>
        <v>T</v>
      </c>
    </row>
    <row r="34" spans="1:4" ht="15.75">
      <c r="A34" s="1"/>
      <c r="D34" s="5"/>
    </row>
    <row r="35" spans="1:4" ht="15.75">
      <c r="A35" s="1" t="s">
        <v>155</v>
      </c>
      <c r="B35" t="b">
        <f>ISTEXT(B36)</f>
        <v>1</v>
      </c>
      <c r="C35" t="b">
        <v>1</v>
      </c>
      <c r="D35" t="str">
        <f>IF(B35=C35,"T","WARN")</f>
        <v>T</v>
      </c>
    </row>
    <row r="36" spans="1:4" ht="15.75">
      <c r="A36" s="1"/>
      <c r="B36" t="s">
        <v>161</v>
      </c>
    </row>
    <row r="37" spans="1:4" ht="15.75">
      <c r="A37" s="1"/>
    </row>
    <row r="38" spans="1:4" ht="15.75">
      <c r="A38" s="1" t="s">
        <v>156</v>
      </c>
      <c r="B38">
        <f>N(B39)</f>
        <v>7</v>
      </c>
      <c r="C38">
        <v>7</v>
      </c>
      <c r="D38" t="str">
        <f>IF(B38=C38,"T","WARN")</f>
        <v>T</v>
      </c>
    </row>
    <row r="39" spans="1:4" ht="15.75">
      <c r="A39" s="1"/>
      <c r="B39">
        <v>7</v>
      </c>
    </row>
    <row r="40" spans="1:4" ht="15.75">
      <c r="A40" s="1"/>
    </row>
    <row r="41" spans="1:4" ht="15.75">
      <c r="A41" s="1" t="s">
        <v>157</v>
      </c>
      <c r="B41" t="e">
        <f>NA()</f>
        <v>#N/A</v>
      </c>
      <c r="C41" t="e">
        <v>#N/A</v>
      </c>
      <c r="D41" t="s">
        <v>394</v>
      </c>
    </row>
    <row r="42" spans="1:4" ht="15.75">
      <c r="A42" s="1"/>
    </row>
    <row r="43" spans="1:4" ht="15.75">
      <c r="A43" s="1" t="s">
        <v>158</v>
      </c>
      <c r="B43">
        <f>TYPE(B44)</f>
        <v>2</v>
      </c>
      <c r="C43">
        <v>2</v>
      </c>
      <c r="D43" t="str">
        <f>IF(B43=C43,"T","WARN")</f>
        <v>T</v>
      </c>
    </row>
    <row r="44" spans="1:4" ht="15.75">
      <c r="A44" s="1"/>
      <c r="B44" t="s">
        <v>162</v>
      </c>
    </row>
    <row r="45" spans="1:4" ht="15.75">
      <c r="A45" s="1"/>
    </row>
    <row r="46" spans="1:4">
      <c r="A46" t="s">
        <v>399</v>
      </c>
    </row>
    <row r="47" spans="1:4" ht="15.75">
      <c r="A47" s="1"/>
    </row>
    <row r="48" spans="1:4" ht="15.75">
      <c r="A48" s="1"/>
    </row>
    <row r="49" spans="1:1" ht="15.75">
      <c r="A49" s="1"/>
    </row>
    <row r="50" spans="1:1" ht="15.75">
      <c r="A50" s="1"/>
    </row>
    <row r="51" spans="1:1" ht="15.75">
      <c r="A51" s="1"/>
    </row>
    <row r="52" spans="1:1" ht="15.75">
      <c r="A52" s="1"/>
    </row>
    <row r="53" spans="1:1" ht="15.75">
      <c r="A53" s="1"/>
    </row>
    <row r="54" spans="1:1" ht="15.75">
      <c r="A54" s="1"/>
    </row>
    <row r="55" spans="1:1" ht="15.75">
      <c r="A55" s="1"/>
    </row>
    <row r="56" spans="1:1" ht="15.75">
      <c r="A56" s="1"/>
    </row>
    <row r="57" spans="1:1" ht="15.75">
      <c r="A57" s="1"/>
    </row>
    <row r="58" spans="1:1" ht="15.75">
      <c r="A58" s="1"/>
    </row>
    <row r="59" spans="1:1" ht="15.75">
      <c r="A59" s="1"/>
    </row>
    <row r="60" spans="1:1" ht="15.75">
      <c r="A60" s="1"/>
    </row>
    <row r="61" spans="1:1" ht="15.75">
      <c r="A61" s="1"/>
    </row>
    <row r="62" spans="1:1" ht="15.75">
      <c r="A62" s="1"/>
    </row>
    <row r="63" spans="1:1" ht="15.75">
      <c r="A63" s="1"/>
    </row>
    <row r="64" spans="1:1" ht="15.75">
      <c r="A64" s="1"/>
    </row>
    <row r="65" spans="1:2" ht="15.75">
      <c r="A65" s="1"/>
    </row>
    <row r="66" spans="1:2" ht="15.75">
      <c r="A66" s="1"/>
    </row>
    <row r="67" spans="1:2" ht="15.75">
      <c r="A67" s="1"/>
    </row>
    <row r="68" spans="1:2" ht="15.75">
      <c r="A68" s="1"/>
    </row>
    <row r="69" spans="1:2" ht="15.75">
      <c r="A69" s="1"/>
    </row>
    <row r="70" spans="1:2" ht="15.75">
      <c r="A70" s="1"/>
    </row>
    <row r="71" spans="1:2" ht="15.75">
      <c r="A71" s="1"/>
    </row>
    <row r="72" spans="1:2" ht="15.75">
      <c r="A72" s="1"/>
    </row>
    <row r="73" spans="1:2" ht="15.75">
      <c r="A73" s="1"/>
      <c r="B73" s="5"/>
    </row>
    <row r="74" spans="1:2" ht="15.75">
      <c r="A74" s="1"/>
    </row>
    <row r="75" spans="1:2" ht="15.75">
      <c r="A75" s="1"/>
      <c r="B75" s="5"/>
    </row>
    <row r="76" spans="1:2" ht="15.75">
      <c r="A76" s="1"/>
    </row>
    <row r="77" spans="1:2" ht="15.75">
      <c r="A77" s="1"/>
      <c r="B77" s="5"/>
    </row>
    <row r="78" spans="1:2" ht="15.75">
      <c r="A78" s="1"/>
    </row>
    <row r="79" spans="1:2" ht="15.75">
      <c r="A79" s="1"/>
      <c r="B79" s="5"/>
    </row>
    <row r="80" spans="1:2" ht="15.75">
      <c r="A80" s="1"/>
    </row>
    <row r="81" spans="1:2" ht="15.75">
      <c r="A81" s="1"/>
      <c r="B81" s="5"/>
    </row>
    <row r="82" spans="1:2" ht="15.75">
      <c r="A82" s="1"/>
    </row>
    <row r="83" spans="1:2" ht="15.75">
      <c r="A83" s="1"/>
      <c r="B83" s="8"/>
    </row>
    <row r="84" spans="1:2" ht="15.75">
      <c r="A84" s="1"/>
    </row>
    <row r="85" spans="1:2" ht="15.75">
      <c r="A85" s="1"/>
      <c r="B85" s="5"/>
    </row>
    <row r="86" spans="1:2" ht="15.75">
      <c r="A86" s="1"/>
    </row>
    <row r="87" spans="1:2" ht="15.75">
      <c r="A87" s="1"/>
    </row>
    <row r="88" spans="1:2" ht="15.75">
      <c r="A88" s="1"/>
    </row>
    <row r="89" spans="1:2" ht="15.75">
      <c r="A89" s="1"/>
    </row>
    <row r="94" spans="1:2" ht="15.75">
      <c r="A94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</row>
    <row r="106" spans="1:2" ht="15.75">
      <c r="A106" s="1"/>
    </row>
    <row r="107" spans="1:2" ht="15.75">
      <c r="A107" s="1"/>
      <c r="B107" s="5"/>
    </row>
    <row r="108" spans="1:2" ht="15.75">
      <c r="A108" s="1"/>
    </row>
    <row r="109" spans="1:2" ht="15.75">
      <c r="A109" s="1"/>
      <c r="B109" s="5"/>
    </row>
    <row r="110" spans="1:2" ht="15.75">
      <c r="A110" s="1"/>
    </row>
    <row r="111" spans="1:2" ht="15.75">
      <c r="A111" s="1"/>
      <c r="B111" s="5"/>
    </row>
    <row r="112" spans="1:2" ht="15.75">
      <c r="A112" s="1"/>
    </row>
    <row r="113" spans="1:2" ht="15.75">
      <c r="A113" s="1"/>
      <c r="B113" s="5"/>
    </row>
    <row r="114" spans="1:2" ht="15.75">
      <c r="A114" s="1"/>
    </row>
    <row r="115" spans="1:2" ht="15.75">
      <c r="A115" s="1"/>
      <c r="B115" s="8"/>
    </row>
    <row r="116" spans="1:2" ht="15.75">
      <c r="A116" s="1"/>
    </row>
    <row r="117" spans="1:2" ht="15.75">
      <c r="A117" s="1"/>
      <c r="B117" s="5"/>
    </row>
    <row r="118" spans="1:2" ht="15.75">
      <c r="A118" s="1"/>
    </row>
    <row r="119" spans="1:2" ht="15.75">
      <c r="A119" s="1"/>
      <c r="B119" s="5"/>
    </row>
    <row r="120" spans="1:2" ht="15.75">
      <c r="A120" s="1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  <c r="B124" s="5"/>
    </row>
    <row r="125" spans="1:2" ht="15.75">
      <c r="A125" s="1"/>
    </row>
    <row r="126" spans="1:2" ht="15.75">
      <c r="A126" s="1"/>
      <c r="B126" s="11"/>
    </row>
    <row r="127" spans="1:2" ht="15.75">
      <c r="A127" s="1"/>
    </row>
    <row r="128" spans="1:2" ht="15.75">
      <c r="A128" s="1"/>
      <c r="B128" s="9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  <c r="B132" s="5"/>
    </row>
    <row r="133" spans="1:2" ht="15.75">
      <c r="A133" s="1"/>
    </row>
    <row r="134" spans="1:2" ht="15.75">
      <c r="A134" s="1"/>
      <c r="B134" s="5"/>
    </row>
    <row r="135" spans="1:2" ht="15.75">
      <c r="A135" s="1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0" spans="1:2" ht="15.75">
      <c r="A140" s="1"/>
      <c r="B140" s="8"/>
    </row>
    <row r="141" spans="1:2" ht="15.75">
      <c r="A141" s="1"/>
    </row>
    <row r="142" spans="1:2" ht="15.75">
      <c r="A142" s="1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</row>
    <row r="148" spans="1:2" ht="15.75">
      <c r="A148" s="1"/>
    </row>
    <row r="149" spans="1:2" ht="15.75">
      <c r="A149" s="1"/>
      <c r="B149" s="12"/>
    </row>
    <row r="150" spans="1:2" ht="15.75">
      <c r="A150" s="1"/>
    </row>
    <row r="151" spans="1:2" ht="15.75">
      <c r="A151" s="1"/>
      <c r="B151" s="8"/>
    </row>
    <row r="152" spans="1:2" ht="15.75">
      <c r="A152" s="1"/>
    </row>
    <row r="153" spans="1:2" ht="15.75">
      <c r="A153" s="1"/>
      <c r="B153" s="5"/>
    </row>
    <row r="154" spans="1:2" ht="15.75">
      <c r="A154" s="1"/>
    </row>
    <row r="155" spans="1:2" ht="15.75">
      <c r="A155" s="1"/>
      <c r="B155" s="11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</row>
    <row r="179" spans="1:2" ht="15.75">
      <c r="A179" s="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  <c r="B186" s="5"/>
    </row>
    <row r="187" spans="1:2" ht="15.75">
      <c r="A187" s="1"/>
    </row>
    <row r="188" spans="1:2" ht="15.75">
      <c r="A188" s="1"/>
    </row>
    <row r="189" spans="1:2" ht="15.75">
      <c r="A189" s="1"/>
      <c r="B189" s="5"/>
    </row>
    <row r="190" spans="1:2" ht="15.75">
      <c r="A190" s="1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  <c r="B216" s="11"/>
    </row>
    <row r="217" spans="1:2" ht="15.75">
      <c r="A217" s="1"/>
    </row>
    <row r="218" spans="1:2" ht="15.75">
      <c r="A218" s="1"/>
      <c r="B218" s="11"/>
    </row>
    <row r="219" spans="1:2" ht="15.75">
      <c r="A219" s="1"/>
      <c r="B219" s="11"/>
    </row>
    <row r="220" spans="1:2" ht="15.75">
      <c r="A220" s="1"/>
      <c r="B220" s="5"/>
    </row>
    <row r="222" spans="1:2" ht="15.75">
      <c r="A222" s="1"/>
    </row>
    <row r="451" spans="1:1">
      <c r="A451" s="3" t="s">
        <v>0</v>
      </c>
    </row>
  </sheetData>
  <sortState ref="A3:A18">
    <sortCondition ref="A3"/>
  </sortState>
  <conditionalFormatting sqref="D3">
    <cfRule type="cellIs" dxfId="41" priority="3" operator="equal">
      <formula>"WARN"</formula>
    </cfRule>
  </conditionalFormatting>
  <conditionalFormatting sqref="D5 D8 D10:D12 D15 D18 D21 D23 D26 D29 D31">
    <cfRule type="cellIs" dxfId="40" priority="2" operator="equal">
      <formula>"WARN"</formula>
    </cfRule>
  </conditionalFormatting>
  <conditionalFormatting sqref="D33 D35 D38 D41 D43">
    <cfRule type="cellIs" dxfId="39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458"/>
  <sheetViews>
    <sheetView topLeftCell="A20" workbookViewId="0">
      <selection activeCell="A39" sqref="A39"/>
    </sheetView>
  </sheetViews>
  <sheetFormatPr defaultRowHeight="15"/>
  <cols>
    <col min="1" max="1" width="34.7109375" customWidth="1"/>
    <col min="2" max="2" width="26.140625" customWidth="1"/>
    <col min="3" max="3" width="23.7109375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164</v>
      </c>
      <c r="B1" s="1" t="s">
        <v>64</v>
      </c>
      <c r="C1" s="1" t="s">
        <v>63</v>
      </c>
    </row>
    <row r="2" spans="1:4" ht="25.5" customHeight="1"/>
    <row r="3" spans="1:4" ht="15.75">
      <c r="A3" s="1" t="s">
        <v>165</v>
      </c>
      <c r="B3" s="21">
        <f>DATE(B4,C4,D4)</f>
        <v>39448</v>
      </c>
      <c r="C3" s="21">
        <v>39448</v>
      </c>
      <c r="D3" t="str">
        <f>IF(B3=C3,"T","WARN")</f>
        <v>T</v>
      </c>
    </row>
    <row r="4" spans="1:4" ht="15.75">
      <c r="A4" s="1"/>
      <c r="B4">
        <v>2008</v>
      </c>
      <c r="C4">
        <v>1</v>
      </c>
      <c r="D4">
        <v>1</v>
      </c>
    </row>
    <row r="5" spans="1:4" ht="15.75">
      <c r="A5" s="1"/>
    </row>
    <row r="6" spans="1:4" ht="15.75">
      <c r="A6" s="1" t="s">
        <v>166</v>
      </c>
      <c r="B6">
        <f>DATEVALUE("2008/1/1")</f>
        <v>39448</v>
      </c>
      <c r="C6">
        <v>39448</v>
      </c>
      <c r="D6" t="str">
        <f>IF(B6=C6,"T","WARN")</f>
        <v>T</v>
      </c>
    </row>
    <row r="7" spans="1:4" ht="15.75">
      <c r="A7" s="1"/>
    </row>
    <row r="8" spans="1:4" ht="15.75">
      <c r="A8" s="1" t="s">
        <v>167</v>
      </c>
      <c r="B8">
        <f>DAY(B9)</f>
        <v>15</v>
      </c>
      <c r="C8">
        <v>15</v>
      </c>
      <c r="D8" t="str">
        <f>IF(B8=C8,"T","WARN")</f>
        <v>T</v>
      </c>
    </row>
    <row r="9" spans="1:4" ht="15.75">
      <c r="A9" s="1"/>
      <c r="B9" s="21">
        <v>39553</v>
      </c>
    </row>
    <row r="10" spans="1:4" ht="15.75">
      <c r="A10" s="1" t="s">
        <v>168</v>
      </c>
      <c r="B10">
        <f>DAYS360(B11,C11)</f>
        <v>1</v>
      </c>
      <c r="C10">
        <v>1</v>
      </c>
      <c r="D10" t="str">
        <f>IF(B10=C10,"T","WARN")</f>
        <v>T</v>
      </c>
    </row>
    <row r="11" spans="1:4" ht="15.75">
      <c r="A11" s="1"/>
      <c r="B11" s="22">
        <v>39477</v>
      </c>
      <c r="C11" s="22">
        <v>39479</v>
      </c>
    </row>
    <row r="12" spans="1:4" ht="15.75">
      <c r="A12" s="1"/>
    </row>
    <row r="13" spans="1:4" ht="15.75">
      <c r="A13" s="1" t="s">
        <v>169</v>
      </c>
      <c r="B13">
        <f>HOUR("15:30")</f>
        <v>15</v>
      </c>
      <c r="C13">
        <v>15</v>
      </c>
      <c r="D13" t="str">
        <f>IF(B13=C13,"T","WARN")</f>
        <v>T</v>
      </c>
    </row>
    <row r="14" spans="1:4" ht="15.75">
      <c r="A14" s="1"/>
    </row>
    <row r="15" spans="1:4" ht="15.75">
      <c r="A15" s="1" t="s">
        <v>170</v>
      </c>
      <c r="B15">
        <f>MINUTE("4:48:00 PM")</f>
        <v>48</v>
      </c>
      <c r="C15">
        <v>48</v>
      </c>
      <c r="D15" t="str">
        <f>IF(B15=C15,"T","WARN")</f>
        <v>T</v>
      </c>
    </row>
    <row r="16" spans="1:4" ht="15.75">
      <c r="A16" s="1"/>
    </row>
    <row r="17" spans="1:4" ht="15.75">
      <c r="A17" s="1" t="s">
        <v>171</v>
      </c>
      <c r="B17">
        <f>MONTH(DATE(2008,4,15))</f>
        <v>4</v>
      </c>
      <c r="C17">
        <v>4</v>
      </c>
      <c r="D17" t="str">
        <f>IF(B17=C17,"T","WARN")</f>
        <v>T</v>
      </c>
    </row>
    <row r="18" spans="1:4" ht="15.75">
      <c r="A18" s="1"/>
    </row>
    <row r="19" spans="1:4" ht="15.75">
      <c r="A19" s="1" t="s">
        <v>181</v>
      </c>
      <c r="B19">
        <f>NETWORKDAYS(DATE(2013,4,1),DATE(2013,4,30))</f>
        <v>22</v>
      </c>
      <c r="C19">
        <v>22</v>
      </c>
      <c r="D19" t="str">
        <f>IF(B19=C19,"T","WARN")</f>
        <v>T</v>
      </c>
    </row>
    <row r="20" spans="1:4" ht="15.75">
      <c r="A20" s="1"/>
    </row>
    <row r="21" spans="1:4" ht="15.75">
      <c r="A21" s="1" t="s">
        <v>172</v>
      </c>
      <c r="B21" s="23">
        <f ca="1">NOW()</f>
        <v>41400.624196296296</v>
      </c>
    </row>
    <row r="22" spans="1:4" ht="15.75">
      <c r="A22" s="1"/>
    </row>
    <row r="23" spans="1:4" ht="15.75">
      <c r="A23" s="1" t="s">
        <v>173</v>
      </c>
      <c r="B23">
        <f>SECOND("4:48 PM")</f>
        <v>0</v>
      </c>
      <c r="C23">
        <v>0</v>
      </c>
      <c r="D23" t="str">
        <f>IF(B23=C23,"T","WARN")</f>
        <v>T</v>
      </c>
    </row>
    <row r="24" spans="1:4" ht="15.75">
      <c r="A24" s="1"/>
    </row>
    <row r="25" spans="1:4" ht="15.75">
      <c r="A25" s="1" t="s">
        <v>174</v>
      </c>
      <c r="B25" s="18">
        <f>TIME(12,0,0)</f>
        <v>0.5</v>
      </c>
      <c r="C25">
        <v>0.5</v>
      </c>
      <c r="D25" t="str">
        <f>IF(B25=C25,"T","WARN")</f>
        <v>T</v>
      </c>
    </row>
    <row r="26" spans="1:4" ht="15.75">
      <c r="A26" s="1"/>
    </row>
    <row r="27" spans="1:4" ht="15.75">
      <c r="A27" s="1" t="s">
        <v>175</v>
      </c>
      <c r="B27" s="5">
        <f>TIMEVALUE("2:24 AM")</f>
        <v>9.9999999999999992E-2</v>
      </c>
      <c r="C27">
        <v>0.1</v>
      </c>
      <c r="D27" t="str">
        <f>IF(B27=C27,"T","WARN")</f>
        <v>T</v>
      </c>
    </row>
    <row r="28" spans="1:4" ht="15.75">
      <c r="A28" s="1"/>
    </row>
    <row r="29" spans="1:4" ht="15.75">
      <c r="A29" s="1" t="s">
        <v>176</v>
      </c>
      <c r="B29" s="22">
        <f ca="1">TODAY()</f>
        <v>41400</v>
      </c>
    </row>
    <row r="30" spans="1:4" ht="15.75">
      <c r="A30" s="1"/>
    </row>
    <row r="31" spans="1:4" ht="15.75">
      <c r="A31" s="1" t="s">
        <v>177</v>
      </c>
      <c r="B31">
        <f>WEEKDAY(DATE(2008,2,14))</f>
        <v>5</v>
      </c>
      <c r="C31">
        <v>5</v>
      </c>
      <c r="D31" t="str">
        <f>IF(B31=C31,"T","WARN")</f>
        <v>T</v>
      </c>
    </row>
    <row r="32" spans="1:4" ht="15.75">
      <c r="A32" s="1"/>
    </row>
    <row r="33" spans="1:4" ht="15.75">
      <c r="A33" s="1" t="s">
        <v>183</v>
      </c>
      <c r="B33" s="24">
        <f>WORKDAY(DATE(2013,4,1),5)</f>
        <v>41372</v>
      </c>
      <c r="C33">
        <v>41372</v>
      </c>
      <c r="D33" t="str">
        <f>IF(B33=C33,"T","WARN")</f>
        <v>T</v>
      </c>
    </row>
    <row r="34" spans="1:4" ht="15.75">
      <c r="A34" s="1"/>
    </row>
    <row r="35" spans="1:4" ht="15.75">
      <c r="A35" s="1" t="s">
        <v>178</v>
      </c>
      <c r="B35">
        <f>YEAR(DATE(2008,1,1))</f>
        <v>2008</v>
      </c>
      <c r="C35">
        <v>2008</v>
      </c>
      <c r="D35" t="str">
        <f>IF(B35=C35,"T","WARN")</f>
        <v>T</v>
      </c>
    </row>
    <row r="36" spans="1:4" ht="15.75">
      <c r="A36" s="1"/>
    </row>
    <row r="37" spans="1:4" ht="15.75">
      <c r="A37" s="1" t="s">
        <v>184</v>
      </c>
      <c r="B37" s="25">
        <f>YEARFRAC(DATE(2012,1,1),DATE(2012,7,30))</f>
        <v>0.5805555555555556</v>
      </c>
      <c r="C37" s="25">
        <v>0.5805555555555556</v>
      </c>
      <c r="D37" t="str">
        <f>IF(B37=C37,"T","WARN")</f>
        <v>T</v>
      </c>
    </row>
    <row r="38" spans="1:4" ht="15.75">
      <c r="A38" s="1"/>
    </row>
    <row r="39" spans="1:4">
      <c r="A39" t="s">
        <v>399</v>
      </c>
      <c r="C39" s="21"/>
    </row>
    <row r="40" spans="1:4" ht="15.75">
      <c r="A40" s="1"/>
    </row>
    <row r="41" spans="1:4" ht="15.75">
      <c r="A41" s="1"/>
    </row>
    <row r="42" spans="1:4">
      <c r="D42" s="21"/>
    </row>
    <row r="43" spans="1:4" ht="15.75">
      <c r="A43" s="1"/>
    </row>
    <row r="44" spans="1:4" ht="15.75">
      <c r="A44" s="1"/>
    </row>
    <row r="45" spans="1:4" ht="15.75">
      <c r="A45" s="1"/>
    </row>
    <row r="46" spans="1:4" ht="15.75">
      <c r="A46" s="1"/>
    </row>
    <row r="47" spans="1:4" ht="15.75">
      <c r="A47" s="1"/>
    </row>
    <row r="48" spans="1:4" ht="15.75">
      <c r="A48" s="1"/>
    </row>
    <row r="52" spans="1:2" ht="15.75">
      <c r="A52" s="1"/>
    </row>
    <row r="53" spans="1:2" ht="15.75">
      <c r="A53" s="1"/>
    </row>
    <row r="54" spans="1:2" ht="15.75">
      <c r="A54" s="1"/>
    </row>
    <row r="55" spans="1:2" ht="15.75">
      <c r="A55" s="1"/>
    </row>
    <row r="56" spans="1:2" ht="15.75">
      <c r="A56" s="1"/>
    </row>
    <row r="57" spans="1:2" ht="15.75">
      <c r="A57" s="1"/>
    </row>
    <row r="58" spans="1:2" ht="15.75">
      <c r="A58" s="1"/>
    </row>
    <row r="59" spans="1:2" ht="15.75">
      <c r="A59" s="1"/>
      <c r="B59" s="5"/>
    </row>
    <row r="60" spans="1:2" ht="15.75">
      <c r="A60" s="1"/>
    </row>
    <row r="61" spans="1:2" ht="15.75">
      <c r="A61" s="1"/>
      <c r="B61" s="5"/>
    </row>
    <row r="62" spans="1:2" ht="15.75">
      <c r="A62" s="1"/>
    </row>
    <row r="63" spans="1:2" ht="15.75">
      <c r="A63" s="1"/>
      <c r="B63" s="5"/>
    </row>
    <row r="64" spans="1:2" ht="15.75">
      <c r="A64" s="1"/>
    </row>
    <row r="65" spans="1:2" ht="15.75">
      <c r="A65" s="1"/>
      <c r="B65" s="5"/>
    </row>
    <row r="66" spans="1:2" ht="15.75">
      <c r="A66" s="1"/>
    </row>
    <row r="67" spans="1:2" ht="15.75">
      <c r="A67" s="1"/>
      <c r="B67" s="5"/>
    </row>
    <row r="68" spans="1:2" ht="15.75">
      <c r="A68" s="1"/>
    </row>
    <row r="69" spans="1:2" ht="15.75">
      <c r="A69" s="1"/>
      <c r="B69" s="8"/>
    </row>
    <row r="70" spans="1:2" ht="15.75">
      <c r="A70" s="1"/>
    </row>
    <row r="71" spans="1:2" ht="15.75">
      <c r="A71" s="1"/>
      <c r="B71" s="5"/>
    </row>
    <row r="72" spans="1:2" ht="15.75">
      <c r="A72" s="1"/>
    </row>
    <row r="73" spans="1:2" ht="15.75">
      <c r="A73" s="1"/>
    </row>
    <row r="74" spans="1:2" ht="15.75">
      <c r="A74" s="1"/>
    </row>
    <row r="75" spans="1:2" ht="15.75">
      <c r="A75" s="1"/>
    </row>
    <row r="76" spans="1:2" ht="15.75">
      <c r="A76" s="1"/>
    </row>
    <row r="77" spans="1:2" ht="15.75">
      <c r="A77" s="1"/>
    </row>
    <row r="78" spans="1:2" ht="15.75">
      <c r="A78" s="1"/>
    </row>
    <row r="79" spans="1:2" ht="15.75">
      <c r="A79" s="1"/>
    </row>
    <row r="80" spans="1:2" ht="15.75">
      <c r="A80" s="1"/>
    </row>
    <row r="81" spans="1:2" ht="15.75">
      <c r="A81" s="1"/>
    </row>
    <row r="82" spans="1:2" ht="15.75">
      <c r="A82" s="1"/>
    </row>
    <row r="83" spans="1:2" ht="15.75">
      <c r="A83" s="1"/>
    </row>
    <row r="84" spans="1:2" ht="15.75">
      <c r="A84" s="1"/>
    </row>
    <row r="85" spans="1:2" ht="15.75">
      <c r="A85" s="1"/>
    </row>
    <row r="86" spans="1:2" ht="15.75">
      <c r="A86" s="1"/>
    </row>
    <row r="87" spans="1:2" ht="15.75">
      <c r="A87" s="1"/>
    </row>
    <row r="88" spans="1:2" ht="15.75">
      <c r="A88" s="1"/>
    </row>
    <row r="89" spans="1:2" ht="15.75">
      <c r="A89" s="1"/>
    </row>
    <row r="90" spans="1:2" ht="15.75">
      <c r="A90" s="1"/>
    </row>
    <row r="91" spans="1:2" ht="15.75">
      <c r="A91" s="1"/>
    </row>
    <row r="92" spans="1:2" ht="15.75">
      <c r="A92" s="1"/>
    </row>
    <row r="93" spans="1:2" ht="15.75">
      <c r="A93" s="1"/>
      <c r="B93" s="5"/>
    </row>
    <row r="94" spans="1:2" ht="15.75">
      <c r="A94" s="1"/>
    </row>
    <row r="95" spans="1:2" ht="15.75">
      <c r="A95" s="1"/>
      <c r="B95" s="5"/>
    </row>
    <row r="96" spans="1:2" ht="15.75">
      <c r="A96" s="1"/>
    </row>
    <row r="97" spans="1:2">
      <c r="B97" s="5"/>
    </row>
    <row r="99" spans="1:2">
      <c r="B99" s="5"/>
    </row>
    <row r="101" spans="1:2" ht="15.75">
      <c r="A101" s="1"/>
      <c r="B101" s="8"/>
    </row>
    <row r="102" spans="1:2" ht="15.75">
      <c r="A102" s="1"/>
    </row>
    <row r="103" spans="1:2" ht="15.75">
      <c r="A103" s="1"/>
      <c r="B103" s="5"/>
    </row>
    <row r="104" spans="1:2" ht="15.75">
      <c r="A104" s="1"/>
    </row>
    <row r="105" spans="1:2" ht="15.75">
      <c r="A105" s="1"/>
      <c r="B105" s="5"/>
    </row>
    <row r="106" spans="1:2" ht="15.75">
      <c r="A106" s="1"/>
    </row>
    <row r="107" spans="1:2" ht="15.75">
      <c r="A107" s="1"/>
    </row>
    <row r="108" spans="1:2" ht="15.75">
      <c r="A108" s="1"/>
    </row>
    <row r="109" spans="1:2" ht="15.75">
      <c r="A109" s="1"/>
    </row>
    <row r="110" spans="1:2" ht="15.75">
      <c r="A110" s="1"/>
      <c r="B110" s="5"/>
    </row>
    <row r="111" spans="1:2" ht="15.75">
      <c r="A111" s="1"/>
    </row>
    <row r="112" spans="1:2" ht="15.75">
      <c r="A112" s="1"/>
      <c r="B112" s="11"/>
    </row>
    <row r="113" spans="1:2" ht="15.75">
      <c r="A113" s="1"/>
    </row>
    <row r="114" spans="1:2" ht="15.75">
      <c r="A114" s="1"/>
      <c r="B114" s="9"/>
    </row>
    <row r="115" spans="1:2" ht="15.75">
      <c r="A115" s="1"/>
    </row>
    <row r="116" spans="1:2" ht="15.75">
      <c r="A116" s="1"/>
    </row>
    <row r="117" spans="1:2" ht="15.75">
      <c r="A117" s="1"/>
    </row>
    <row r="118" spans="1:2" ht="15.75">
      <c r="A118" s="1"/>
      <c r="B118" s="5"/>
    </row>
    <row r="119" spans="1:2" ht="15.75">
      <c r="A119" s="1"/>
    </row>
    <row r="120" spans="1:2" ht="15.75">
      <c r="A120" s="1"/>
      <c r="B120" s="5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</row>
    <row r="125" spans="1:2" ht="15.75">
      <c r="A125" s="1"/>
    </row>
    <row r="126" spans="1:2" ht="15.75">
      <c r="A126" s="1"/>
      <c r="B126" s="8"/>
    </row>
    <row r="127" spans="1:2" ht="15.75">
      <c r="A127" s="1"/>
    </row>
    <row r="128" spans="1:2" ht="15.75">
      <c r="A128" s="1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</row>
    <row r="133" spans="1:2" ht="15.75">
      <c r="A133" s="1"/>
    </row>
    <row r="134" spans="1:2" ht="15.75">
      <c r="A134" s="1"/>
    </row>
    <row r="135" spans="1:2" ht="15.75">
      <c r="A135" s="1"/>
      <c r="B135" s="12"/>
    </row>
    <row r="136" spans="1:2" ht="15.75">
      <c r="A136" s="1"/>
    </row>
    <row r="137" spans="1:2" ht="15.75">
      <c r="A137" s="1"/>
      <c r="B137" s="8"/>
    </row>
    <row r="138" spans="1:2" ht="15.75">
      <c r="A138" s="1"/>
    </row>
    <row r="139" spans="1:2" ht="15.75">
      <c r="A139" s="1"/>
      <c r="B139" s="5"/>
    </row>
    <row r="140" spans="1:2" ht="15.75">
      <c r="A140" s="1"/>
    </row>
    <row r="141" spans="1:2" ht="15.75">
      <c r="A141" s="1"/>
      <c r="B141" s="11"/>
    </row>
    <row r="142" spans="1:2" ht="15.75">
      <c r="A142" s="1"/>
    </row>
    <row r="143" spans="1:2" ht="15.75">
      <c r="A143" s="1"/>
    </row>
    <row r="144" spans="1:2" ht="15.75">
      <c r="A144" s="1"/>
    </row>
    <row r="145" spans="1:1" ht="15.75">
      <c r="A145" s="1"/>
    </row>
    <row r="146" spans="1:1" ht="15.75">
      <c r="A146" s="1"/>
    </row>
    <row r="147" spans="1:1" ht="15.75">
      <c r="A147" s="1"/>
    </row>
    <row r="148" spans="1:1" ht="15.75">
      <c r="A148" s="1"/>
    </row>
    <row r="149" spans="1:1" ht="15.75">
      <c r="A149" s="1"/>
    </row>
    <row r="150" spans="1:1" ht="15.75">
      <c r="A150" s="1"/>
    </row>
    <row r="151" spans="1:1" ht="15.75">
      <c r="A151" s="1"/>
    </row>
    <row r="152" spans="1:1" ht="15.75">
      <c r="A152" s="1"/>
    </row>
    <row r="153" spans="1:1" ht="15.75">
      <c r="A153" s="1"/>
    </row>
    <row r="154" spans="1:1" ht="15.75">
      <c r="A154" s="1"/>
    </row>
    <row r="155" spans="1:1" ht="15.75">
      <c r="A155" s="1"/>
    </row>
    <row r="156" spans="1:1" ht="15.75">
      <c r="A156" s="1"/>
    </row>
    <row r="157" spans="1:1" ht="15.75">
      <c r="A157" s="1"/>
    </row>
    <row r="158" spans="1:1" ht="15.75">
      <c r="A158" s="1"/>
    </row>
    <row r="159" spans="1:1" ht="15.75">
      <c r="A159" s="1"/>
    </row>
    <row r="160" spans="1:1" ht="15.75">
      <c r="A160" s="1"/>
    </row>
    <row r="161" spans="1:2" ht="15.75">
      <c r="A161" s="1"/>
    </row>
    <row r="162" spans="1:2" ht="15.75">
      <c r="A162" s="1"/>
    </row>
    <row r="163" spans="1:2" ht="15.75">
      <c r="A163" s="1"/>
    </row>
    <row r="164" spans="1:2" ht="15.75">
      <c r="A164" s="1"/>
    </row>
    <row r="165" spans="1:2" ht="15.75">
      <c r="A165" s="1"/>
    </row>
    <row r="166" spans="1:2" ht="15.75">
      <c r="A166" s="1"/>
    </row>
    <row r="167" spans="1:2" ht="15.75">
      <c r="A167" s="1"/>
    </row>
    <row r="168" spans="1:2" ht="15.75">
      <c r="A168" s="1"/>
    </row>
    <row r="169" spans="1:2" ht="15.75">
      <c r="A169" s="1"/>
    </row>
    <row r="170" spans="1:2" ht="15.75">
      <c r="A170" s="1"/>
    </row>
    <row r="171" spans="1:2" ht="15.75">
      <c r="A171" s="1"/>
    </row>
    <row r="172" spans="1:2" ht="15.75">
      <c r="A172" s="1"/>
      <c r="B172" s="5"/>
    </row>
    <row r="173" spans="1:2" ht="15.75">
      <c r="A173" s="1"/>
    </row>
    <row r="174" spans="1:2" ht="15.75">
      <c r="A174" s="1"/>
    </row>
    <row r="175" spans="1:2" ht="15.75">
      <c r="A175" s="1"/>
      <c r="B175" s="5"/>
    </row>
    <row r="176" spans="1:2" ht="15.75">
      <c r="A176" s="1"/>
    </row>
    <row r="177" spans="1:1" ht="15.75">
      <c r="A177" s="1"/>
    </row>
    <row r="178" spans="1:1" ht="15.75">
      <c r="A178" s="1"/>
    </row>
    <row r="179" spans="1:1" ht="15.75">
      <c r="A179" s="1"/>
    </row>
    <row r="180" spans="1:1" ht="15.75">
      <c r="A180" s="1"/>
    </row>
    <row r="181" spans="1:1" ht="15.75">
      <c r="A181" s="1"/>
    </row>
    <row r="182" spans="1:1" ht="15.75">
      <c r="A182" s="1"/>
    </row>
    <row r="183" spans="1:1" ht="15.75">
      <c r="A183" s="1"/>
    </row>
    <row r="184" spans="1:1" ht="15.75">
      <c r="A184" s="1"/>
    </row>
    <row r="185" spans="1:1" ht="15.75">
      <c r="A185" s="1"/>
    </row>
    <row r="186" spans="1:1" ht="15.75">
      <c r="A186" s="1"/>
    </row>
    <row r="187" spans="1:1" ht="15.75">
      <c r="A187" s="1"/>
    </row>
    <row r="188" spans="1:1" ht="15.75">
      <c r="A188" s="1"/>
    </row>
    <row r="189" spans="1:1" ht="15.75">
      <c r="A189" s="1"/>
    </row>
    <row r="190" spans="1:1" ht="15.75">
      <c r="A190" s="1"/>
    </row>
    <row r="191" spans="1:1" ht="15.75">
      <c r="A191" s="1"/>
    </row>
    <row r="192" spans="1:1" ht="15.75">
      <c r="A192" s="1"/>
    </row>
    <row r="193" spans="1:2" ht="15.75">
      <c r="A193" s="1"/>
    </row>
    <row r="194" spans="1:2" ht="15.75">
      <c r="A194" s="1"/>
    </row>
    <row r="195" spans="1:2" ht="15.75">
      <c r="A195" s="1"/>
    </row>
    <row r="196" spans="1:2" ht="15.75">
      <c r="A196" s="1"/>
    </row>
    <row r="197" spans="1:2" ht="15.75">
      <c r="A197" s="1"/>
    </row>
    <row r="198" spans="1:2" ht="15.75">
      <c r="A198" s="1"/>
    </row>
    <row r="199" spans="1:2" ht="15.75">
      <c r="A199" s="1"/>
    </row>
    <row r="200" spans="1:2" ht="15.75">
      <c r="A200" s="1"/>
    </row>
    <row r="201" spans="1:2" ht="15.75">
      <c r="A201" s="1"/>
    </row>
    <row r="202" spans="1:2" ht="15.75">
      <c r="A202" s="1"/>
      <c r="B202" s="11"/>
    </row>
    <row r="203" spans="1:2" ht="15.75">
      <c r="A203" s="1"/>
    </row>
    <row r="204" spans="1:2" ht="15.75">
      <c r="A204" s="1"/>
      <c r="B204" s="11"/>
    </row>
    <row r="205" spans="1:2" ht="15.75">
      <c r="A205" s="1"/>
      <c r="B205" s="11"/>
    </row>
    <row r="206" spans="1:2" ht="15.75">
      <c r="A206" s="1"/>
      <c r="B206" s="5"/>
    </row>
    <row r="207" spans="1:2" ht="15.75">
      <c r="A207" s="1"/>
    </row>
    <row r="208" spans="1:2" ht="15.75">
      <c r="A208" s="1"/>
    </row>
    <row r="209" spans="1:1" ht="15.75">
      <c r="A209" s="1"/>
    </row>
    <row r="210" spans="1:1" ht="15.75">
      <c r="A210" s="1"/>
    </row>
    <row r="211" spans="1:1" ht="15.75">
      <c r="A211" s="1"/>
    </row>
    <row r="212" spans="1:1" ht="15.75">
      <c r="A212" s="1"/>
    </row>
    <row r="213" spans="1:1" ht="15.75">
      <c r="A213" s="1"/>
    </row>
    <row r="214" spans="1:1" ht="15.75">
      <c r="A214" s="1"/>
    </row>
    <row r="215" spans="1:1" ht="15.75">
      <c r="A215" s="1"/>
    </row>
    <row r="216" spans="1:1" ht="15.75">
      <c r="A216" s="1"/>
    </row>
    <row r="217" spans="1:1" ht="15.75">
      <c r="A217" s="1"/>
    </row>
    <row r="218" spans="1:1" ht="15.75">
      <c r="A218" s="1"/>
    </row>
    <row r="219" spans="1:1" ht="15.75">
      <c r="A219" s="1"/>
    </row>
    <row r="220" spans="1:1" ht="15.75">
      <c r="A220" s="1"/>
    </row>
    <row r="221" spans="1:1" ht="15.75">
      <c r="A221" s="1"/>
    </row>
    <row r="222" spans="1:1" ht="15.75">
      <c r="A222" s="1"/>
    </row>
    <row r="223" spans="1:1" ht="15.75">
      <c r="A223" s="1"/>
    </row>
    <row r="224" spans="1:1" ht="15.75">
      <c r="A224" s="1"/>
    </row>
    <row r="225" spans="1:1" ht="15.75">
      <c r="A225" s="1"/>
    </row>
    <row r="226" spans="1:1" ht="15.75">
      <c r="A226" s="1"/>
    </row>
    <row r="227" spans="1:1" ht="15.75">
      <c r="A227" s="1"/>
    </row>
    <row r="229" spans="1:1" ht="15.75">
      <c r="A229" s="1"/>
    </row>
    <row r="458" spans="1:1">
      <c r="A458" s="3" t="s">
        <v>0</v>
      </c>
    </row>
  </sheetData>
  <sortState ref="A3:A29">
    <sortCondition ref="A3"/>
  </sortState>
  <conditionalFormatting sqref="D3">
    <cfRule type="cellIs" dxfId="38" priority="4" operator="equal">
      <formula>"WARN"</formula>
    </cfRule>
  </conditionalFormatting>
  <conditionalFormatting sqref="D6 D8 D10 D13 D15 D17 D19">
    <cfRule type="cellIs" dxfId="37" priority="3" operator="equal">
      <formula>"WARN"</formula>
    </cfRule>
  </conditionalFormatting>
  <conditionalFormatting sqref="D6 D8 D10 D13 D15 D17 D19 D23 D25 D27 D31 D33">
    <cfRule type="cellIs" dxfId="36" priority="2" operator="equal">
      <formula>"WARN"</formula>
    </cfRule>
  </conditionalFormatting>
  <conditionalFormatting sqref="D6 D8 D10 D13 D15 D17 D19 D23 D25 D27 D31 D33 D35 D37">
    <cfRule type="cellIs" dxfId="35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I534"/>
  <sheetViews>
    <sheetView topLeftCell="A98" workbookViewId="0">
      <selection activeCell="H121" sqref="H121"/>
    </sheetView>
  </sheetViews>
  <sheetFormatPr defaultRowHeight="15"/>
  <cols>
    <col min="1" max="1" width="20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8" ht="18.75">
      <c r="A1" s="4" t="s">
        <v>185</v>
      </c>
      <c r="B1" s="1" t="s">
        <v>64</v>
      </c>
      <c r="C1" s="1" t="s">
        <v>63</v>
      </c>
    </row>
    <row r="2" spans="1:8" ht="25.5" customHeight="1"/>
    <row r="3" spans="1:8" ht="15.75">
      <c r="A3" s="1" t="s">
        <v>188</v>
      </c>
      <c r="B3" s="25">
        <f>ACCRINT(B4,C4,D4,E4,F4,G4,H4)</f>
        <v>16.666666666666664</v>
      </c>
      <c r="C3" s="25">
        <v>16.666666666666664</v>
      </c>
      <c r="D3" t="str">
        <f>IF(B3=C3,"T","WARN")</f>
        <v>T</v>
      </c>
    </row>
    <row r="4" spans="1:8" ht="15.75">
      <c r="A4" s="1"/>
      <c r="B4">
        <v>39508</v>
      </c>
      <c r="C4">
        <v>39691</v>
      </c>
      <c r="D4">
        <v>39569</v>
      </c>
      <c r="E4">
        <v>0.1</v>
      </c>
      <c r="F4">
        <v>1000</v>
      </c>
      <c r="G4">
        <v>2</v>
      </c>
      <c r="H4">
        <v>0</v>
      </c>
    </row>
    <row r="5" spans="1:8" ht="15.75">
      <c r="A5" s="1"/>
    </row>
    <row r="6" spans="1:8" ht="15.75">
      <c r="A6" s="1" t="s">
        <v>189</v>
      </c>
      <c r="B6" s="25">
        <f>ACCRINTM(B7,C7,D7,E7,F7)</f>
        <v>20.547945205479451</v>
      </c>
      <c r="C6" s="25">
        <v>20.547945205479451</v>
      </c>
      <c r="D6" t="str">
        <f>IF(B6=C6,"T","WARN")</f>
        <v>T</v>
      </c>
    </row>
    <row r="7" spans="1:8" ht="15.75">
      <c r="A7" s="1"/>
      <c r="B7">
        <v>39539</v>
      </c>
      <c r="C7">
        <v>39614</v>
      </c>
      <c r="D7">
        <v>0.1</v>
      </c>
      <c r="E7">
        <v>1000</v>
      </c>
      <c r="F7">
        <v>3</v>
      </c>
    </row>
    <row r="8" spans="1:8" ht="15.75">
      <c r="A8" s="1"/>
    </row>
    <row r="9" spans="1:8" ht="15.75">
      <c r="A9" s="1" t="s">
        <v>190</v>
      </c>
      <c r="B9">
        <f>AMORDEGRC(B10,C10,D10,E10,F10,G10,H10)</f>
        <v>776</v>
      </c>
      <c r="C9">
        <v>776</v>
      </c>
      <c r="D9" t="str">
        <f>IF(B9=C9,"T","WARN")</f>
        <v>T</v>
      </c>
    </row>
    <row r="10" spans="1:8" ht="15.75">
      <c r="A10" s="1"/>
      <c r="B10">
        <v>2400</v>
      </c>
      <c r="C10">
        <v>39679</v>
      </c>
      <c r="D10">
        <v>39813</v>
      </c>
      <c r="E10">
        <v>300</v>
      </c>
      <c r="F10">
        <v>1</v>
      </c>
      <c r="G10">
        <v>0.15</v>
      </c>
      <c r="H10">
        <v>1</v>
      </c>
    </row>
    <row r="11" spans="1:8" ht="15.75">
      <c r="A11" s="1"/>
    </row>
    <row r="12" spans="1:8" ht="15.75">
      <c r="A12" s="1" t="s">
        <v>191</v>
      </c>
      <c r="B12">
        <f>AMORLINC(B13,C13,D13,E13,F13,G13,H13)</f>
        <v>360</v>
      </c>
      <c r="C12">
        <v>360</v>
      </c>
      <c r="D12" t="str">
        <f>IF(B12=C12,"T","WARN")</f>
        <v>T</v>
      </c>
    </row>
    <row r="13" spans="1:8" ht="15.75">
      <c r="A13" s="1"/>
      <c r="B13">
        <v>2400</v>
      </c>
      <c r="C13">
        <v>39679</v>
      </c>
      <c r="D13">
        <v>39813</v>
      </c>
      <c r="E13">
        <v>300</v>
      </c>
      <c r="F13">
        <v>1</v>
      </c>
      <c r="G13">
        <v>0.15</v>
      </c>
      <c r="H13">
        <v>1</v>
      </c>
    </row>
    <row r="14" spans="1:8" ht="15.75">
      <c r="A14" s="1"/>
    </row>
    <row r="15" spans="1:8" ht="15.75">
      <c r="A15" s="1" t="s">
        <v>192</v>
      </c>
      <c r="B15">
        <f>COUPDAYBS(B16,C16,D16,E16)</f>
        <v>71</v>
      </c>
      <c r="C15">
        <v>71</v>
      </c>
      <c r="D15" t="str">
        <f>IF(B15=C15,"T","WARN")</f>
        <v>T</v>
      </c>
    </row>
    <row r="16" spans="1:8" ht="15.75">
      <c r="A16" s="1"/>
      <c r="B16" s="21">
        <v>40568</v>
      </c>
      <c r="C16" s="21">
        <v>40862</v>
      </c>
      <c r="D16">
        <v>2</v>
      </c>
      <c r="E16">
        <v>1</v>
      </c>
    </row>
    <row r="17" spans="1:5" ht="15.75">
      <c r="A17" s="1"/>
      <c r="B17" s="21"/>
      <c r="C17" s="21"/>
    </row>
    <row r="18" spans="1:5" ht="15.75">
      <c r="A18" s="1" t="s">
        <v>193</v>
      </c>
      <c r="B18">
        <f>COUPDAYS(B19,C19,D19,E19)</f>
        <v>181</v>
      </c>
      <c r="C18">
        <v>181</v>
      </c>
      <c r="D18" t="str">
        <f>IF(B18=C18,"T","WARN")</f>
        <v>T</v>
      </c>
    </row>
    <row r="19" spans="1:5" ht="15.75">
      <c r="A19" s="1"/>
      <c r="B19" s="21">
        <v>40568</v>
      </c>
      <c r="C19" s="21">
        <v>40862</v>
      </c>
      <c r="D19">
        <v>2</v>
      </c>
      <c r="E19">
        <v>1</v>
      </c>
    </row>
    <row r="20" spans="1:5" ht="15.75">
      <c r="A20" s="1"/>
      <c r="B20" s="21"/>
      <c r="C20" s="21"/>
    </row>
    <row r="21" spans="1:5" ht="15.75">
      <c r="A21" s="1" t="s">
        <v>194</v>
      </c>
      <c r="B21">
        <f>COUPDAYSNC(B22,C22,D22,E22)</f>
        <v>110</v>
      </c>
      <c r="C21" s="24">
        <v>110</v>
      </c>
      <c r="D21" t="str">
        <f>IF(B21=C21,"T","WARN")</f>
        <v>T</v>
      </c>
    </row>
    <row r="22" spans="1:5" ht="15.75">
      <c r="A22" s="1"/>
      <c r="B22" s="21">
        <v>40568</v>
      </c>
      <c r="C22" s="21">
        <v>40862</v>
      </c>
      <c r="D22">
        <v>2</v>
      </c>
      <c r="E22">
        <v>1</v>
      </c>
    </row>
    <row r="23" spans="1:5" ht="15.75">
      <c r="A23" s="1"/>
    </row>
    <row r="24" spans="1:5" ht="15.75">
      <c r="A24" s="1" t="s">
        <v>195</v>
      </c>
      <c r="B24" s="21">
        <f>COUPNCD(B25,C25,D25,E25)</f>
        <v>40678</v>
      </c>
      <c r="C24" s="21">
        <v>40678</v>
      </c>
      <c r="D24" t="str">
        <f>IF(B24=C24,"T","WARN")</f>
        <v>T</v>
      </c>
    </row>
    <row r="25" spans="1:5" ht="15.75">
      <c r="A25" s="1"/>
      <c r="B25" s="21">
        <v>40568</v>
      </c>
      <c r="C25" s="21">
        <v>40862</v>
      </c>
      <c r="D25">
        <v>2</v>
      </c>
      <c r="E25">
        <v>1</v>
      </c>
    </row>
    <row r="26" spans="1:5" ht="15.75">
      <c r="A26" s="1"/>
      <c r="B26" s="21"/>
      <c r="C26" s="21"/>
    </row>
    <row r="27" spans="1:5" ht="15.75">
      <c r="A27" s="1" t="s">
        <v>196</v>
      </c>
      <c r="B27">
        <f>COUPNUM(B28,C28,D28,E28)</f>
        <v>4</v>
      </c>
      <c r="C27" s="24">
        <v>4</v>
      </c>
      <c r="D27" t="str">
        <f>IF(B27=C27,"T","WARN")</f>
        <v>T</v>
      </c>
    </row>
    <row r="28" spans="1:5" ht="15.75">
      <c r="A28" s="1"/>
      <c r="B28" s="21">
        <v>39107</v>
      </c>
      <c r="C28" s="21">
        <v>39767</v>
      </c>
      <c r="D28">
        <v>2</v>
      </c>
      <c r="E28">
        <v>1</v>
      </c>
    </row>
    <row r="29" spans="1:5" ht="15.75">
      <c r="A29" s="1"/>
      <c r="B29" s="21"/>
      <c r="C29" s="21"/>
    </row>
    <row r="30" spans="1:5" ht="15.75">
      <c r="A30" s="1" t="s">
        <v>197</v>
      </c>
      <c r="B30" s="21">
        <f>COUPPCD(B31,C31,D31,E31)</f>
        <v>39036</v>
      </c>
      <c r="C30" s="21">
        <v>39036</v>
      </c>
      <c r="D30" t="str">
        <f>IF(B30=C30,"T","WARN")</f>
        <v>T</v>
      </c>
    </row>
    <row r="31" spans="1:5" ht="15.75">
      <c r="A31" s="1"/>
      <c r="B31" s="21">
        <v>39107</v>
      </c>
      <c r="C31" s="21">
        <v>39767</v>
      </c>
      <c r="D31">
        <v>2</v>
      </c>
      <c r="E31">
        <v>1</v>
      </c>
    </row>
    <row r="32" spans="1:5" ht="15.75">
      <c r="A32" s="1"/>
      <c r="B32" s="21"/>
      <c r="C32" s="21"/>
    </row>
    <row r="33" spans="1:6" ht="15.75">
      <c r="A33" s="1" t="s">
        <v>198</v>
      </c>
      <c r="B33" s="25">
        <f>CUMIPMT(B34/12,C34*12,D34,13,24,0)</f>
        <v>-11135.232130750848</v>
      </c>
      <c r="C33" s="25">
        <v>-11135.232130750848</v>
      </c>
      <c r="D33" t="str">
        <f>IF(B33=C33,"T","WARN")</f>
        <v>T</v>
      </c>
    </row>
    <row r="34" spans="1:6" ht="15.75">
      <c r="A34" s="1"/>
      <c r="B34">
        <v>0.09</v>
      </c>
      <c r="C34" s="24">
        <v>30</v>
      </c>
      <c r="D34">
        <v>125000</v>
      </c>
    </row>
    <row r="35" spans="1:6" ht="15.75">
      <c r="A35" s="1"/>
      <c r="C35" s="24"/>
    </row>
    <row r="36" spans="1:6" ht="15.75">
      <c r="A36" s="1" t="s">
        <v>199</v>
      </c>
      <c r="B36" s="25">
        <f>CUMPRINC(B37/12,C37*12,D37,13,24,0)</f>
        <v>-934.10712342086765</v>
      </c>
      <c r="C36" s="25">
        <v>-934.10712342086765</v>
      </c>
      <c r="D36" t="str">
        <f>IF(B36=C36,"T","WARN")</f>
        <v>T</v>
      </c>
    </row>
    <row r="37" spans="1:6" ht="15.75">
      <c r="A37" s="1"/>
      <c r="B37">
        <v>0.09</v>
      </c>
      <c r="C37" s="24">
        <v>30</v>
      </c>
      <c r="D37">
        <v>125000</v>
      </c>
    </row>
    <row r="38" spans="1:6" ht="15.75">
      <c r="A38" s="1"/>
      <c r="C38" s="24"/>
    </row>
    <row r="39" spans="1:6" ht="15.75">
      <c r="A39" s="1" t="s">
        <v>200</v>
      </c>
      <c r="B39" s="25">
        <f>DB(B40,C40,D40,1,7)</f>
        <v>186083.33333333334</v>
      </c>
      <c r="C39" s="25">
        <v>186083.33333333334</v>
      </c>
      <c r="D39" t="str">
        <f>IF(B39=C39,"T","WARN")</f>
        <v>T</v>
      </c>
    </row>
    <row r="40" spans="1:6" ht="15.75">
      <c r="A40" s="1"/>
      <c r="B40">
        <v>1000000</v>
      </c>
      <c r="C40">
        <v>100000</v>
      </c>
      <c r="D40">
        <v>6</v>
      </c>
    </row>
    <row r="41" spans="1:6" ht="15.75">
      <c r="A41" s="1"/>
    </row>
    <row r="42" spans="1:6" ht="15.75">
      <c r="A42" s="1" t="s">
        <v>201</v>
      </c>
      <c r="B42" s="26">
        <f>DDB(B43,C43,D43*365,1)</f>
        <v>1.3150684931506849</v>
      </c>
      <c r="C42" s="25">
        <v>1.3150684931506849</v>
      </c>
      <c r="D42" t="str">
        <f>IF(B42=C42,"T","WARN")</f>
        <v>T</v>
      </c>
    </row>
    <row r="43" spans="1:6" ht="15.75">
      <c r="A43" s="1"/>
      <c r="B43">
        <v>2400</v>
      </c>
      <c r="C43">
        <v>300</v>
      </c>
      <c r="D43">
        <v>10</v>
      </c>
    </row>
    <row r="44" spans="1:6" ht="15.75">
      <c r="A44" s="1"/>
    </row>
    <row r="45" spans="1:6" ht="15.75">
      <c r="A45" s="1" t="s">
        <v>202</v>
      </c>
      <c r="B45" s="25">
        <f>DISC(B46,C46,D46,E46,F46)</f>
        <v>5.2420212765957708E-2</v>
      </c>
      <c r="C45" s="25">
        <v>5.2420212765957708E-2</v>
      </c>
      <c r="D45" t="str">
        <f>IF(B45=C45,"T","WARN")</f>
        <v>T</v>
      </c>
    </row>
    <row r="46" spans="1:6" ht="15.75">
      <c r="A46" s="1"/>
      <c r="B46">
        <v>39107</v>
      </c>
      <c r="C46">
        <v>39248</v>
      </c>
      <c r="D46">
        <v>97.974999999999994</v>
      </c>
      <c r="E46">
        <v>100</v>
      </c>
      <c r="F46">
        <v>1</v>
      </c>
    </row>
    <row r="47" spans="1:6" ht="15.75">
      <c r="A47" s="1" t="s">
        <v>203</v>
      </c>
      <c r="B47">
        <f>DOLLARDE(1.02,16)</f>
        <v>1.125</v>
      </c>
      <c r="C47">
        <v>1.125</v>
      </c>
      <c r="D47" t="str">
        <f>IF(B47=C47,"T","WARN")</f>
        <v>T</v>
      </c>
    </row>
    <row r="48" spans="1:6" ht="15.75">
      <c r="A48" s="1"/>
    </row>
    <row r="49" spans="1:7" ht="15.75">
      <c r="A49" s="1" t="s">
        <v>204</v>
      </c>
      <c r="B49">
        <f>DOLLARFR(1.125,16)</f>
        <v>1.02</v>
      </c>
      <c r="C49">
        <v>1.02</v>
      </c>
      <c r="D49" t="str">
        <f>IF(B49=C49,"T","WARN")</f>
        <v>T</v>
      </c>
    </row>
    <row r="50" spans="1:7" ht="15.75">
      <c r="A50" s="1"/>
    </row>
    <row r="51" spans="1:7" ht="15.75">
      <c r="A51" s="1" t="s">
        <v>205</v>
      </c>
      <c r="B51" s="25">
        <f>DURATION(B52,C52,D52,E52,F52,G52)</f>
        <v>5.9937749555451862</v>
      </c>
      <c r="C51" s="25">
        <v>5.9937749555451862</v>
      </c>
      <c r="D51" t="str">
        <f>IF(B51=C51,"T","WARN")</f>
        <v>T</v>
      </c>
    </row>
    <row r="52" spans="1:7" ht="15.75">
      <c r="A52" s="1"/>
      <c r="B52">
        <v>39448</v>
      </c>
      <c r="C52">
        <v>42370</v>
      </c>
      <c r="D52">
        <v>0.08</v>
      </c>
      <c r="E52">
        <v>0.09</v>
      </c>
      <c r="F52">
        <v>2</v>
      </c>
      <c r="G52">
        <v>1</v>
      </c>
    </row>
    <row r="53" spans="1:7" ht="15.75">
      <c r="A53" s="1"/>
    </row>
    <row r="54" spans="1:7" ht="15.75">
      <c r="A54" s="1" t="s">
        <v>206</v>
      </c>
      <c r="B54" s="25">
        <f>EFFECT(B55,C55)</f>
        <v>5.3542667370758412E-2</v>
      </c>
      <c r="C54" s="25">
        <v>5.3542667370758412E-2</v>
      </c>
      <c r="D54" t="str">
        <f>IF(B54=C54,"T","WARN")</f>
        <v>T</v>
      </c>
    </row>
    <row r="55" spans="1:7" ht="15.75">
      <c r="A55" s="1"/>
      <c r="B55">
        <v>5.2499999999999998E-2</v>
      </c>
      <c r="C55">
        <v>4</v>
      </c>
    </row>
    <row r="56" spans="1:7" ht="15.75">
      <c r="A56" s="1"/>
    </row>
    <row r="57" spans="1:7" ht="15.75">
      <c r="A57" s="1" t="s">
        <v>207</v>
      </c>
      <c r="B57" s="27">
        <f>FV(B58/12,C58,D58,E58,F58)</f>
        <v>2581.4033740601185</v>
      </c>
      <c r="C57" s="25">
        <v>2581.4033740601185</v>
      </c>
      <c r="D57" t="str">
        <f>IF(B57=C57,"T","WARN")</f>
        <v>T</v>
      </c>
    </row>
    <row r="58" spans="1:7" ht="15.75">
      <c r="A58" s="1"/>
      <c r="B58">
        <v>0.06</v>
      </c>
      <c r="C58">
        <v>10</v>
      </c>
      <c r="D58">
        <v>-200</v>
      </c>
      <c r="E58">
        <v>-500</v>
      </c>
      <c r="F58">
        <v>1</v>
      </c>
    </row>
    <row r="59" spans="1:7" ht="15.75">
      <c r="A59" s="1" t="s">
        <v>208</v>
      </c>
      <c r="B59" s="25">
        <f>FVSCHEDULE(1,{0.09,0.11,0.1})</f>
        <v>1.3308900000000004</v>
      </c>
      <c r="C59" s="25">
        <v>1.3308900000000004</v>
      </c>
      <c r="D59" t="str">
        <f>IF(B59=C59,"T","WARN")</f>
        <v>T</v>
      </c>
    </row>
    <row r="60" spans="1:7" ht="15.75">
      <c r="A60" s="1"/>
    </row>
    <row r="61" spans="1:7" ht="15.75">
      <c r="A61" s="1"/>
    </row>
    <row r="62" spans="1:7" ht="15.75">
      <c r="A62" s="1" t="s">
        <v>209</v>
      </c>
      <c r="B62" s="25">
        <f>INTRATE(B63,C63,D63,E63,F63)</f>
        <v>5.7680000000000002E-2</v>
      </c>
      <c r="C62" s="25">
        <v>5.7680000000000002E-2</v>
      </c>
      <c r="D62" t="str">
        <f>IF(B62=C62,"T","WARN")</f>
        <v>T</v>
      </c>
    </row>
    <row r="63" spans="1:7" ht="15.75">
      <c r="A63" s="1"/>
      <c r="B63" s="21">
        <v>39493</v>
      </c>
      <c r="C63" s="21">
        <v>39583</v>
      </c>
      <c r="D63">
        <v>1000000</v>
      </c>
      <c r="E63">
        <v>1014420</v>
      </c>
      <c r="F63">
        <v>2</v>
      </c>
    </row>
    <row r="64" spans="1:7" ht="15.75">
      <c r="A64" s="1" t="s">
        <v>210</v>
      </c>
      <c r="B64" s="25">
        <f>IPMT(B65,3,D65,E65)</f>
        <v>-292.44712990936569</v>
      </c>
      <c r="C64" s="25">
        <v>-292.44712990936569</v>
      </c>
      <c r="D64" t="str">
        <f>IF(B64=C64,"T","WARN")</f>
        <v>T</v>
      </c>
    </row>
    <row r="65" spans="1:9" ht="15.75">
      <c r="A65" s="1"/>
      <c r="B65">
        <v>0.1</v>
      </c>
      <c r="C65">
        <v>1</v>
      </c>
      <c r="D65">
        <v>3</v>
      </c>
      <c r="E65">
        <v>8000</v>
      </c>
    </row>
    <row r="66" spans="1:9" ht="15.75">
      <c r="A66" s="1"/>
    </row>
    <row r="67" spans="1:9" ht="15.75">
      <c r="A67" s="1" t="s">
        <v>226</v>
      </c>
      <c r="B67" s="29">
        <f>IRR(B68:F68)</f>
        <v>-2.1244848273020495E-2</v>
      </c>
      <c r="C67" s="29">
        <v>-2.1244848273020495E-2</v>
      </c>
      <c r="D67" t="str">
        <f>IF(B67=C67,"T","WARN")</f>
        <v>T</v>
      </c>
    </row>
    <row r="68" spans="1:9" ht="15.75">
      <c r="A68" s="1"/>
      <c r="B68">
        <v>-70000</v>
      </c>
      <c r="C68">
        <v>12000</v>
      </c>
      <c r="D68">
        <v>15000</v>
      </c>
      <c r="E68">
        <v>18000</v>
      </c>
      <c r="F68">
        <v>21000</v>
      </c>
    </row>
    <row r="69" spans="1:9" ht="15.75">
      <c r="A69" s="1"/>
    </row>
    <row r="70" spans="1:9" ht="15.75">
      <c r="A70" s="1" t="s">
        <v>227</v>
      </c>
      <c r="B70" s="25">
        <f>ISPMT(B71/12,C71,D71*12,E71)</f>
        <v>-64814.814814814818</v>
      </c>
      <c r="C70" s="25">
        <v>-64814.814814814818</v>
      </c>
      <c r="D70" t="str">
        <f>IF(B70=C70,"T","WARN")</f>
        <v>T</v>
      </c>
    </row>
    <row r="71" spans="1:9" ht="15.75">
      <c r="A71" s="1"/>
      <c r="B71">
        <v>0.1</v>
      </c>
      <c r="C71">
        <v>1</v>
      </c>
      <c r="D71">
        <v>3</v>
      </c>
      <c r="E71">
        <v>8000000</v>
      </c>
    </row>
    <row r="72" spans="1:9" ht="15.75">
      <c r="A72" s="1"/>
    </row>
    <row r="73" spans="1:9" ht="15.75">
      <c r="A73" s="1" t="s">
        <v>389</v>
      </c>
      <c r="B73" s="25">
        <f>LOGEST(B75:G75,B74:G74,TRUE,FALSE)</f>
        <v>1.4632756281161756</v>
      </c>
      <c r="C73" s="25">
        <v>1.4632756281161756</v>
      </c>
      <c r="D73" t="str">
        <f>IF(B73=C73,"T","WARN")</f>
        <v>T</v>
      </c>
    </row>
    <row r="74" spans="1:9" ht="15.75">
      <c r="A74" s="1"/>
      <c r="B74">
        <v>11</v>
      </c>
      <c r="C74">
        <v>12</v>
      </c>
      <c r="D74">
        <v>13</v>
      </c>
      <c r="E74">
        <v>14</v>
      </c>
      <c r="F74">
        <v>15</v>
      </c>
      <c r="G74">
        <v>16</v>
      </c>
    </row>
    <row r="75" spans="1:9" ht="15.75">
      <c r="A75" s="1"/>
      <c r="B75">
        <v>33100</v>
      </c>
      <c r="C75">
        <v>47300</v>
      </c>
      <c r="D75">
        <v>69000</v>
      </c>
      <c r="E75">
        <v>102000</v>
      </c>
      <c r="F75">
        <v>150000</v>
      </c>
      <c r="G75">
        <v>220000</v>
      </c>
    </row>
    <row r="76" spans="1:9" ht="15.75">
      <c r="A76" s="1"/>
    </row>
    <row r="77" spans="1:9" ht="15.75">
      <c r="A77" s="1"/>
    </row>
    <row r="78" spans="1:9" ht="15.75">
      <c r="A78" s="1" t="s">
        <v>229</v>
      </c>
      <c r="B78" s="28">
        <f>MIRR(B79:G79,H79,I79)</f>
        <v>0.12609413036590511</v>
      </c>
      <c r="C78" s="28">
        <v>0.12609413036590511</v>
      </c>
      <c r="D78" t="str">
        <f>IF(B78=C78,"T","WARN")</f>
        <v>T</v>
      </c>
    </row>
    <row r="79" spans="1:9" ht="15.75">
      <c r="A79" s="1"/>
      <c r="B79">
        <v>-120000</v>
      </c>
      <c r="C79">
        <v>39000</v>
      </c>
      <c r="D79">
        <v>30000</v>
      </c>
      <c r="E79">
        <v>21000</v>
      </c>
      <c r="F79">
        <v>37000</v>
      </c>
      <c r="G79">
        <v>46000</v>
      </c>
      <c r="H79">
        <v>0.1</v>
      </c>
      <c r="I79">
        <v>0.12</v>
      </c>
    </row>
    <row r="80" spans="1:9" ht="15.75">
      <c r="A80" s="1"/>
    </row>
    <row r="81" spans="1:6" ht="15.75">
      <c r="A81" s="1" t="s">
        <v>211</v>
      </c>
      <c r="B81" s="25">
        <f>NOMINAL(B82,C82)</f>
        <v>5.2500319868356016E-2</v>
      </c>
      <c r="C81" s="25">
        <v>5.2500319868356016E-2</v>
      </c>
      <c r="D81" t="str">
        <f>IF(B81=C81,"T","WARN")</f>
        <v>T</v>
      </c>
    </row>
    <row r="82" spans="1:6" ht="15.75">
      <c r="A82" s="1"/>
      <c r="B82">
        <v>5.3543E-2</v>
      </c>
      <c r="C82">
        <v>4</v>
      </c>
    </row>
    <row r="83" spans="1:6" ht="15.75">
      <c r="A83" s="1"/>
    </row>
    <row r="84" spans="1:6" ht="15.75">
      <c r="A84" s="1" t="s">
        <v>230</v>
      </c>
      <c r="B84" s="25">
        <f>NPER(B85/12,C85,D85,E85,F85)</f>
        <v>59.673865674294568</v>
      </c>
      <c r="C84" s="25">
        <v>59.673865674294568</v>
      </c>
      <c r="D84" t="str">
        <f>IF(B84=C84,"T","WARN")</f>
        <v>T</v>
      </c>
    </row>
    <row r="85" spans="1:6" ht="15.75">
      <c r="A85" s="1"/>
      <c r="B85">
        <v>0.12</v>
      </c>
      <c r="C85">
        <v>-100</v>
      </c>
      <c r="D85">
        <v>-1000</v>
      </c>
      <c r="E85">
        <v>10000</v>
      </c>
      <c r="F85">
        <v>1</v>
      </c>
    </row>
    <row r="87" spans="1:6" ht="15.75">
      <c r="A87" s="1" t="s">
        <v>231</v>
      </c>
      <c r="B87" s="27">
        <f>NPV(0.08,8000,9200,10000,12000,14500)</f>
        <v>41922.06155493237</v>
      </c>
      <c r="C87" s="25">
        <v>41922.06155493237</v>
      </c>
      <c r="D87" t="str">
        <f>IF(B87=C87,"T","WARN")</f>
        <v>T</v>
      </c>
    </row>
    <row r="88" spans="1:6" ht="15.75">
      <c r="A88" s="1"/>
    </row>
    <row r="89" spans="1:6" ht="15.75">
      <c r="A89" s="1" t="s">
        <v>236</v>
      </c>
      <c r="B89" s="27">
        <f>PMT(0.08/12,10,10000)</f>
        <v>-1037.0320893591606</v>
      </c>
      <c r="C89" s="25">
        <v>-1037.0320893591606</v>
      </c>
      <c r="D89" t="str">
        <f>IF(B89=C89,"T","WARN")</f>
        <v>T</v>
      </c>
    </row>
    <row r="90" spans="1:6" ht="15.75">
      <c r="A90" s="1"/>
    </row>
    <row r="91" spans="1:6" ht="15.75">
      <c r="A91" s="1" t="s">
        <v>212</v>
      </c>
      <c r="B91" s="27">
        <f>PPMT(0.1/12,1,2*12,2000)</f>
        <v>-75.623186008366716</v>
      </c>
      <c r="C91" s="25">
        <v>-75.623186008366716</v>
      </c>
      <c r="D91" t="str">
        <f>IF(B91=C91,"T","WARN")</f>
        <v>T</v>
      </c>
    </row>
    <row r="92" spans="1:6" ht="15.75">
      <c r="A92" s="1"/>
      <c r="B92" s="5"/>
    </row>
    <row r="93" spans="1:6" ht="15.75">
      <c r="A93" s="1" t="s">
        <v>213</v>
      </c>
      <c r="B93" s="25">
        <f>PRICE(DATE(2008,2,15),DATE(2017,11,15),0.0575,0.065,100,2,0)</f>
        <v>94.634361621322128</v>
      </c>
      <c r="C93" s="25">
        <v>94.634361621322128</v>
      </c>
      <c r="D93" t="str">
        <f>IF(B93=C93,"T","WARN")</f>
        <v>T</v>
      </c>
    </row>
    <row r="94" spans="1:6" ht="15.75">
      <c r="A94" s="1"/>
      <c r="B94" s="5"/>
    </row>
    <row r="95" spans="1:6" ht="15.75">
      <c r="A95" s="1" t="s">
        <v>214</v>
      </c>
      <c r="B95" s="25">
        <f>PRICEDISC(DATE(2008,2,16),DATE(2008,3,1),0.0525,100,2)</f>
        <v>99.795833333333334</v>
      </c>
      <c r="C95" s="25">
        <v>99.795833333333334</v>
      </c>
      <c r="D95" t="str">
        <f>IF(B95=C95,"T","WARN")</f>
        <v>T</v>
      </c>
    </row>
    <row r="96" spans="1:6" ht="15.75">
      <c r="A96" s="1"/>
      <c r="B96" s="5"/>
    </row>
    <row r="97" spans="1:4" ht="15.75">
      <c r="A97" s="1" t="s">
        <v>215</v>
      </c>
      <c r="B97" s="25">
        <f>PRICEMAT(DATE(2008,2,15),DATE(2008,4,13),DATE(2007,11,11),0.061,0.061,0)</f>
        <v>99.984498875556937</v>
      </c>
      <c r="C97" s="25">
        <v>99.984498875556937</v>
      </c>
      <c r="D97" t="str">
        <f>IF(B97=C97,"T","WARN")</f>
        <v>T</v>
      </c>
    </row>
    <row r="98" spans="1:4" ht="15.75">
      <c r="A98" s="1"/>
      <c r="B98" s="5"/>
    </row>
    <row r="99" spans="1:4" ht="15.75">
      <c r="A99" s="1" t="s">
        <v>216</v>
      </c>
      <c r="B99" s="27">
        <f>PV(0.08/12,20*12,500,,0)</f>
        <v>-59777.145851187823</v>
      </c>
      <c r="C99" s="25">
        <v>-59777.145851187823</v>
      </c>
      <c r="D99" t="str">
        <f>IF(B99=C99,"T","WARN")</f>
        <v>T</v>
      </c>
    </row>
    <row r="100" spans="1:4" ht="15.75">
      <c r="A100" s="1"/>
      <c r="B100" s="5"/>
    </row>
    <row r="101" spans="1:4" ht="15.75">
      <c r="A101" s="1" t="s">
        <v>237</v>
      </c>
      <c r="B101" s="30">
        <f>RATE(4*12,-200,8000)</f>
        <v>7.7014724882013682E-3</v>
      </c>
      <c r="C101" s="28">
        <v>7.7014724882013682E-3</v>
      </c>
      <c r="D101" t="str">
        <f>IF(B101=C101,"T","WARN")</f>
        <v>T</v>
      </c>
    </row>
    <row r="102" spans="1:4" ht="15.75">
      <c r="A102" s="1"/>
      <c r="B102" s="5"/>
    </row>
    <row r="103" spans="1:4" ht="15.75">
      <c r="A103" s="1" t="s">
        <v>217</v>
      </c>
      <c r="B103" s="25">
        <f>RECEIVED(DATE(2008,2,15),DATE(2008,5,15),1000000,0.0575,2)</f>
        <v>1014584.6544071021</v>
      </c>
      <c r="C103" s="25">
        <v>1014584.6544071021</v>
      </c>
      <c r="D103" t="str">
        <f>IF(B103=C103,"T","WARN")</f>
        <v>T</v>
      </c>
    </row>
    <row r="104" spans="1:4" ht="15.75">
      <c r="A104" s="1"/>
      <c r="B104" s="8"/>
    </row>
    <row r="105" spans="1:4" ht="15.75">
      <c r="A105" s="1" t="s">
        <v>218</v>
      </c>
      <c r="B105" s="31">
        <f>SLN(30000,7500,10)</f>
        <v>2250</v>
      </c>
      <c r="C105">
        <v>2250</v>
      </c>
      <c r="D105" t="str">
        <f>IF(B105=C105,"T","WARN")</f>
        <v>T</v>
      </c>
    </row>
    <row r="106" spans="1:4" ht="15.75">
      <c r="A106" s="1"/>
      <c r="B106" s="5"/>
    </row>
    <row r="107" spans="1:4" ht="15.75">
      <c r="A107" s="1" t="s">
        <v>219</v>
      </c>
      <c r="B107" s="27">
        <f>SYD(30000,7500,10,1)</f>
        <v>4090.909090909091</v>
      </c>
      <c r="C107" s="25">
        <v>4090.909090909091</v>
      </c>
      <c r="D107" t="str">
        <f>IF(B107=C107,"T","WARN")</f>
        <v>T</v>
      </c>
    </row>
    <row r="108" spans="1:4" ht="15.75">
      <c r="A108" s="1"/>
    </row>
    <row r="109" spans="1:4" ht="15.75">
      <c r="A109" s="1" t="s">
        <v>220</v>
      </c>
      <c r="B109" s="25">
        <f>TBILLEQ(DATE(2008,3,31), DATE(2008,6,1), 0.0914)</f>
        <v>9.4151493565943017E-2</v>
      </c>
      <c r="C109" s="25">
        <v>9.4151493565943017E-2</v>
      </c>
      <c r="D109" t="str">
        <f>IF(B109=C109,"T","WARN")</f>
        <v>T</v>
      </c>
    </row>
    <row r="110" spans="1:4" ht="15.75">
      <c r="A110" s="1"/>
    </row>
    <row r="111" spans="1:4" ht="15.75">
      <c r="A111" s="1" t="s">
        <v>221</v>
      </c>
      <c r="B111" s="25">
        <f>TBILLYIELD(DATE(2008,3,31),DATE(2008,6,1), 98.45)</f>
        <v>9.141696292534264E-2</v>
      </c>
      <c r="C111" s="25">
        <v>9.141696292534264E-2</v>
      </c>
      <c r="D111" t="str">
        <f>IF(B111=C111,"T","WARN")</f>
        <v>T</v>
      </c>
    </row>
    <row r="112" spans="1:4" ht="15.75">
      <c r="A112" s="1"/>
    </row>
    <row r="113" spans="1:7" ht="15.75">
      <c r="A113" s="1" t="s">
        <v>239</v>
      </c>
      <c r="B113" s="27">
        <f>VDB(2400,400,10*365,0,1)</f>
        <v>1.3150684931506849</v>
      </c>
      <c r="C113" s="25">
        <v>1.3150684931506849</v>
      </c>
      <c r="D113" t="str">
        <f>IF(B113=C113,"T","WARN")</f>
        <v>T</v>
      </c>
    </row>
    <row r="114" spans="1:7" ht="15.75">
      <c r="A114" s="1"/>
    </row>
    <row r="115" spans="1:7" ht="15.75">
      <c r="A115" s="1" t="s">
        <v>222</v>
      </c>
      <c r="B115" s="25">
        <f>XNPV(0.09,B116:F116,B117:F117)</f>
        <v>2086.6476020315349</v>
      </c>
      <c r="C115" s="25">
        <v>2086.6476020315349</v>
      </c>
      <c r="D115" t="str">
        <f>IF(B115=C115,"T","WARN")</f>
        <v>T</v>
      </c>
    </row>
    <row r="116" spans="1:7" ht="15.75">
      <c r="A116" s="1"/>
      <c r="B116">
        <v>-10000</v>
      </c>
      <c r="C116">
        <v>2750</v>
      </c>
      <c r="D116">
        <v>4250</v>
      </c>
      <c r="E116">
        <v>3250</v>
      </c>
      <c r="F116">
        <v>2750</v>
      </c>
    </row>
    <row r="117" spans="1:7" ht="15.75">
      <c r="A117" s="1"/>
      <c r="B117" s="21">
        <v>39448</v>
      </c>
      <c r="C117" s="21">
        <v>39508</v>
      </c>
      <c r="D117" s="21">
        <v>39751</v>
      </c>
      <c r="E117" s="21">
        <v>39859</v>
      </c>
      <c r="F117" s="21">
        <v>39904</v>
      </c>
    </row>
    <row r="118" spans="1:7" ht="15.75">
      <c r="A118" s="1" t="s">
        <v>223</v>
      </c>
      <c r="B118" s="25">
        <f>YIELD(DATE(2008,2,14), DATE(2016,11,15), 0.0575, 95.04287, 100, 2,0)</f>
        <v>6.4998178600204778E-2</v>
      </c>
      <c r="C118" s="25">
        <v>6.4998178600204778E-2</v>
      </c>
      <c r="D118" t="str">
        <f>IF(B118=C118,"T","WARN")</f>
        <v>T</v>
      </c>
    </row>
    <row r="119" spans="1:7" ht="15.75">
      <c r="A119" s="1"/>
    </row>
    <row r="120" spans="1:7" ht="15.75">
      <c r="A120" s="1" t="s">
        <v>224</v>
      </c>
      <c r="B120" s="25">
        <f>YIELDDISC(DATE(2008,2,16), DATE(2008,3,1), 99.795, 100, 2)</f>
        <v>5.2822571986858337E-2</v>
      </c>
      <c r="C120" s="25">
        <v>5.2822571986858337E-2</v>
      </c>
      <c r="D120" t="str">
        <f>IF(B120=C120,"T","WARN")</f>
        <v>T</v>
      </c>
    </row>
    <row r="121" spans="1:7" ht="15.75">
      <c r="A121" s="1"/>
    </row>
    <row r="122" spans="1:7" ht="15.75">
      <c r="A122" s="1" t="s">
        <v>225</v>
      </c>
      <c r="B122" s="25">
        <f>YIELDMAT(B123,C123,D123,E123,F123,G123)</f>
        <v>6.0954333691538673E-2</v>
      </c>
      <c r="C122" s="25">
        <v>6.0954333691538673E-2</v>
      </c>
      <c r="D122" t="str">
        <f>IF(B122=C122,"T","WARN")</f>
        <v>T</v>
      </c>
    </row>
    <row r="123" spans="1:7" ht="15.75">
      <c r="A123" s="1"/>
      <c r="B123" s="21">
        <v>39522</v>
      </c>
      <c r="C123" s="21">
        <v>39755</v>
      </c>
      <c r="D123" s="21">
        <v>39394</v>
      </c>
      <c r="E123" s="24">
        <v>6.25E-2</v>
      </c>
      <c r="F123" s="24">
        <v>100.0123</v>
      </c>
      <c r="G123" s="24">
        <v>0</v>
      </c>
    </row>
    <row r="124" spans="1:7" ht="15.75">
      <c r="A124" s="1"/>
    </row>
    <row r="125" spans="1:7">
      <c r="A125" t="s">
        <v>399</v>
      </c>
    </row>
    <row r="126" spans="1:7" ht="15.75">
      <c r="A126" s="1"/>
    </row>
    <row r="127" spans="1:7" ht="15.75">
      <c r="A127" s="1"/>
    </row>
    <row r="128" spans="1:7" ht="15.75">
      <c r="A128" s="1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</row>
    <row r="133" spans="1:2" ht="15.75">
      <c r="A133" s="1"/>
      <c r="B133" s="5"/>
    </row>
    <row r="134" spans="1:2" ht="15.75">
      <c r="A134" s="1"/>
    </row>
    <row r="135" spans="1:2" ht="15.75">
      <c r="A135" s="1"/>
      <c r="B135" s="5"/>
    </row>
    <row r="136" spans="1:2" ht="15.75">
      <c r="A136" s="1"/>
    </row>
    <row r="137" spans="1:2" ht="15.75">
      <c r="A137" s="1"/>
      <c r="B137" s="5"/>
    </row>
    <row r="138" spans="1:2" ht="15.75">
      <c r="A138" s="1"/>
    </row>
    <row r="139" spans="1:2" ht="15.75">
      <c r="A139" s="1"/>
      <c r="B139" s="8"/>
    </row>
    <row r="140" spans="1:2" ht="15.75">
      <c r="A140" s="1"/>
    </row>
    <row r="141" spans="1:2" ht="15.75">
      <c r="A141" s="1"/>
      <c r="B141" s="5"/>
    </row>
    <row r="142" spans="1:2" ht="15.75">
      <c r="A142" s="1"/>
    </row>
    <row r="143" spans="1:2" ht="15.75">
      <c r="A143" s="1"/>
      <c r="B143" s="5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</row>
    <row r="148" spans="1:2" ht="15.75">
      <c r="A148" s="1"/>
      <c r="B148" s="5"/>
    </row>
    <row r="149" spans="1:2" ht="15.75">
      <c r="A149" s="1"/>
    </row>
    <row r="150" spans="1:2" ht="15.75">
      <c r="A150" s="1"/>
      <c r="B150" s="11"/>
    </row>
    <row r="151" spans="1:2" ht="15.75">
      <c r="A151" s="1"/>
    </row>
    <row r="152" spans="1:2" ht="15.75">
      <c r="A152" s="1"/>
      <c r="B152" s="9"/>
    </row>
    <row r="153" spans="1:2" ht="15.75">
      <c r="A153" s="1"/>
    </row>
    <row r="154" spans="1:2" ht="15.75">
      <c r="A154" s="1"/>
    </row>
    <row r="155" spans="1:2" ht="15.75">
      <c r="A155" s="1"/>
    </row>
    <row r="156" spans="1:2" ht="15.75">
      <c r="A156" s="1"/>
      <c r="B156" s="5"/>
    </row>
    <row r="157" spans="1:2" ht="15.75">
      <c r="A157" s="1"/>
    </row>
    <row r="158" spans="1:2" ht="15.75">
      <c r="A158" s="1"/>
      <c r="B158" s="5"/>
    </row>
    <row r="159" spans="1:2" ht="15.75">
      <c r="A159" s="1"/>
    </row>
    <row r="160" spans="1:2" ht="15.75">
      <c r="A160" s="1"/>
    </row>
    <row r="161" spans="1:2" ht="15.75">
      <c r="A161" s="1"/>
    </row>
    <row r="162" spans="1:2" ht="15.75">
      <c r="A162" s="1"/>
    </row>
    <row r="163" spans="1:2" ht="15.75">
      <c r="A163" s="1"/>
    </row>
    <row r="164" spans="1:2" ht="15.75">
      <c r="A164" s="1"/>
      <c r="B164" s="8"/>
    </row>
    <row r="165" spans="1:2" ht="15.75">
      <c r="A165" s="1"/>
    </row>
    <row r="166" spans="1:2" ht="15.75">
      <c r="A166" s="1"/>
    </row>
    <row r="167" spans="1:2" ht="15.75">
      <c r="A167" s="1"/>
    </row>
    <row r="168" spans="1:2" ht="15.75">
      <c r="A168" s="1"/>
    </row>
    <row r="169" spans="1:2" ht="15.75">
      <c r="A169" s="1"/>
    </row>
    <row r="170" spans="1:2" ht="15.75">
      <c r="A170" s="1"/>
    </row>
    <row r="171" spans="1:2" ht="15.75">
      <c r="A171" s="1"/>
    </row>
    <row r="172" spans="1:2" ht="15.75">
      <c r="A172" s="1"/>
    </row>
    <row r="173" spans="1:2">
      <c r="B173" s="12"/>
    </row>
    <row r="175" spans="1:2">
      <c r="B175" s="8"/>
    </row>
    <row r="177" spans="1:2" ht="15.75">
      <c r="A177" s="1"/>
      <c r="B177" s="5"/>
    </row>
    <row r="178" spans="1:2" ht="15.75">
      <c r="A178" s="1"/>
    </row>
    <row r="179" spans="1:2" ht="15.75">
      <c r="A179" s="1"/>
      <c r="B179" s="1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</row>
    <row r="189" spans="1:2" ht="15.75">
      <c r="A189" s="1"/>
    </row>
    <row r="190" spans="1:2" ht="15.75">
      <c r="A190" s="1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  <c r="B210" s="5"/>
    </row>
    <row r="211" spans="1:2" ht="15.75">
      <c r="A211" s="1"/>
    </row>
    <row r="212" spans="1:2" ht="15.75">
      <c r="A212" s="1"/>
    </row>
    <row r="213" spans="1:2" ht="15.75">
      <c r="A213" s="1"/>
      <c r="B213" s="5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</row>
    <row r="218" spans="1:2" ht="15.75">
      <c r="A218" s="1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</row>
    <row r="225" spans="1:2" ht="15.75">
      <c r="A225" s="1"/>
    </row>
    <row r="226" spans="1:2" ht="15.75">
      <c r="A226" s="1"/>
    </row>
    <row r="227" spans="1:2" ht="15.75">
      <c r="A227" s="1"/>
    </row>
    <row r="228" spans="1:2" ht="15.75">
      <c r="A228" s="1"/>
    </row>
    <row r="229" spans="1:2" ht="15.75">
      <c r="A229" s="1"/>
    </row>
    <row r="230" spans="1:2" ht="15.75">
      <c r="A230" s="1"/>
    </row>
    <row r="231" spans="1:2" ht="15.75">
      <c r="A231" s="1"/>
    </row>
    <row r="232" spans="1:2" ht="15.75">
      <c r="A232" s="1"/>
    </row>
    <row r="233" spans="1:2" ht="15.75">
      <c r="A233" s="1"/>
    </row>
    <row r="234" spans="1:2" ht="15.75">
      <c r="A234" s="1"/>
    </row>
    <row r="235" spans="1:2" ht="15.75">
      <c r="A235" s="1"/>
    </row>
    <row r="236" spans="1:2" ht="15.75">
      <c r="A236" s="1"/>
    </row>
    <row r="237" spans="1:2" ht="15.75">
      <c r="A237" s="1"/>
    </row>
    <row r="238" spans="1:2" ht="15.75">
      <c r="A238" s="1"/>
    </row>
    <row r="239" spans="1:2" ht="15.75">
      <c r="A239" s="1"/>
    </row>
    <row r="240" spans="1:2" ht="15.75">
      <c r="A240" s="1"/>
      <c r="B240" s="11"/>
    </row>
    <row r="241" spans="1:2" ht="15.75">
      <c r="A241" s="1"/>
    </row>
    <row r="242" spans="1:2" ht="15.75">
      <c r="A242" s="1"/>
      <c r="B242" s="11"/>
    </row>
    <row r="243" spans="1:2" ht="15.75">
      <c r="A243" s="1"/>
      <c r="B243" s="11"/>
    </row>
    <row r="244" spans="1:2" ht="15.75">
      <c r="A244" s="1"/>
      <c r="B244" s="5"/>
    </row>
    <row r="245" spans="1:2" ht="15.75">
      <c r="A245" s="1"/>
    </row>
    <row r="246" spans="1:2" ht="15.75">
      <c r="A246" s="1"/>
    </row>
    <row r="247" spans="1:2" ht="15.75">
      <c r="A247" s="1"/>
    </row>
    <row r="248" spans="1:2" ht="15.75">
      <c r="A248" s="1"/>
    </row>
    <row r="249" spans="1:2" ht="15.75">
      <c r="A249" s="1"/>
    </row>
    <row r="250" spans="1:2" ht="15.75">
      <c r="A250" s="1"/>
    </row>
    <row r="251" spans="1:2" ht="15.75">
      <c r="A251" s="1"/>
    </row>
    <row r="252" spans="1:2" ht="15.75">
      <c r="A252" s="1"/>
    </row>
    <row r="253" spans="1:2" ht="15.75">
      <c r="A253" s="1"/>
    </row>
    <row r="254" spans="1:2" ht="15.75">
      <c r="A254" s="1"/>
    </row>
    <row r="255" spans="1:2" ht="15.75">
      <c r="A255" s="1"/>
    </row>
    <row r="256" spans="1:2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2" spans="1:1" ht="15.75">
      <c r="A262" s="1"/>
    </row>
    <row r="263" spans="1:1" ht="15.75">
      <c r="A263" s="1"/>
    </row>
    <row r="264" spans="1:1" ht="15.75">
      <c r="A264" s="1"/>
    </row>
    <row r="265" spans="1:1" ht="15.75">
      <c r="A265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1" spans="1:1" ht="15.75">
      <c r="A271" s="1"/>
    </row>
    <row r="272" spans="1:1" ht="15.75">
      <c r="A272" s="1"/>
    </row>
    <row r="273" spans="1:1" ht="15.75">
      <c r="A273" s="1"/>
    </row>
    <row r="274" spans="1:1" ht="15.75">
      <c r="A274" s="1"/>
    </row>
    <row r="275" spans="1:1" ht="15.75">
      <c r="A275" s="1"/>
    </row>
    <row r="276" spans="1:1" ht="15.75">
      <c r="A276" s="1"/>
    </row>
    <row r="277" spans="1:1" ht="15.75">
      <c r="A277" s="1"/>
    </row>
    <row r="278" spans="1:1" ht="15.75">
      <c r="A278" s="1"/>
    </row>
    <row r="279" spans="1:1" ht="15.75">
      <c r="A279" s="1"/>
    </row>
    <row r="280" spans="1:1" ht="15.75">
      <c r="A280" s="1"/>
    </row>
    <row r="281" spans="1:1" ht="15.75">
      <c r="A281" s="1"/>
    </row>
    <row r="282" spans="1:1" ht="15.75">
      <c r="A282" s="1"/>
    </row>
    <row r="283" spans="1:1" ht="15.75">
      <c r="A283" s="1"/>
    </row>
    <row r="284" spans="1:1" ht="15.75">
      <c r="A284" s="1"/>
    </row>
    <row r="285" spans="1:1" ht="15.75">
      <c r="A285" s="1"/>
    </row>
    <row r="286" spans="1:1" ht="15.75">
      <c r="A286" s="1"/>
    </row>
    <row r="287" spans="1:1" ht="15.75">
      <c r="A287" s="1"/>
    </row>
    <row r="288" spans="1:1" ht="15.75">
      <c r="A288" s="1"/>
    </row>
    <row r="289" spans="1:1" ht="15.75">
      <c r="A289" s="1"/>
    </row>
    <row r="290" spans="1:1" ht="15.75">
      <c r="A290" s="1"/>
    </row>
    <row r="291" spans="1:1" ht="15.75">
      <c r="A291" s="1"/>
    </row>
    <row r="292" spans="1:1" ht="15.75">
      <c r="A292" s="1"/>
    </row>
    <row r="293" spans="1:1" ht="15.75">
      <c r="A293" s="1"/>
    </row>
    <row r="294" spans="1:1" ht="15.75">
      <c r="A294" s="1"/>
    </row>
    <row r="295" spans="1:1" ht="15.75">
      <c r="A295" s="1"/>
    </row>
    <row r="296" spans="1:1" ht="15.75">
      <c r="A296" s="1"/>
    </row>
    <row r="297" spans="1:1" ht="15.75">
      <c r="A297" s="1"/>
    </row>
    <row r="298" spans="1:1" ht="15.75">
      <c r="A298" s="1"/>
    </row>
    <row r="299" spans="1:1" ht="15.75">
      <c r="A299" s="1"/>
    </row>
    <row r="300" spans="1:1" ht="15.75">
      <c r="A300" s="1"/>
    </row>
    <row r="301" spans="1:1" ht="15.75">
      <c r="A301" s="1"/>
    </row>
    <row r="302" spans="1:1" ht="15.75">
      <c r="A302" s="1"/>
    </row>
    <row r="303" spans="1:1" ht="15.75">
      <c r="A303" s="1"/>
    </row>
    <row r="305" spans="1:1" ht="15.75">
      <c r="A305" s="1"/>
    </row>
    <row r="534" spans="1:1">
      <c r="A534" s="3" t="s">
        <v>0</v>
      </c>
    </row>
  </sheetData>
  <sortState ref="A3:A40">
    <sortCondition ref="A40"/>
  </sortState>
  <conditionalFormatting sqref="D3 D6 D9 D12">
    <cfRule type="cellIs" dxfId="34" priority="6" operator="equal">
      <formula>"WARN"</formula>
    </cfRule>
  </conditionalFormatting>
  <conditionalFormatting sqref="D15 D18 D21 D24 D27 D30 D33">
    <cfRule type="cellIs" dxfId="33" priority="5" operator="equal">
      <formula>"WARN"</formula>
    </cfRule>
  </conditionalFormatting>
  <conditionalFormatting sqref="D36 D39 D42 D45 D47 D49 D51">
    <cfRule type="cellIs" dxfId="32" priority="4" operator="equal">
      <formula>"WARN"</formula>
    </cfRule>
  </conditionalFormatting>
  <conditionalFormatting sqref="D54 D57 D59 D62 D64 D67 D70 D73">
    <cfRule type="cellIs" dxfId="31" priority="3" operator="equal">
      <formula>"WARN"</formula>
    </cfRule>
  </conditionalFormatting>
  <conditionalFormatting sqref="D78 D81 D84 D87 D89 D91 D93 D95 D97 D99 D101 D103 D105 D107 D109">
    <cfRule type="cellIs" dxfId="30" priority="2" operator="equal">
      <formula>"WARN"</formula>
    </cfRule>
  </conditionalFormatting>
  <conditionalFormatting sqref="D111 D113 D115 D118 D120 D122">
    <cfRule type="cellIs" dxfId="29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M623"/>
  <sheetViews>
    <sheetView topLeftCell="A6" workbookViewId="0">
      <selection activeCell="A17" sqref="A17:E19"/>
    </sheetView>
  </sheetViews>
  <sheetFormatPr defaultRowHeight="15"/>
  <cols>
    <col min="1" max="1" width="34.7109375" customWidth="1"/>
    <col min="2" max="2" width="17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13.85546875" customWidth="1"/>
  </cols>
  <sheetData>
    <row r="1" spans="1:8" ht="37.5" customHeight="1">
      <c r="A1" s="4" t="s">
        <v>186</v>
      </c>
      <c r="B1" s="34" t="s">
        <v>64</v>
      </c>
      <c r="C1" s="1" t="s">
        <v>63</v>
      </c>
    </row>
    <row r="2" spans="1:8" ht="25.5" customHeight="1"/>
    <row r="3" spans="1:8" ht="15.75">
      <c r="A3" s="1" t="s">
        <v>241</v>
      </c>
      <c r="B3" s="25">
        <f>AVEDEV(B4:H4)</f>
        <v>1.0204081632653061</v>
      </c>
      <c r="C3" s="25">
        <v>1.0204081632653061</v>
      </c>
      <c r="D3" t="str">
        <f>IF(B3=C3,"T","WARN")</f>
        <v>T</v>
      </c>
    </row>
    <row r="4" spans="1:8" ht="15.75">
      <c r="A4" s="1"/>
      <c r="B4">
        <v>4</v>
      </c>
      <c r="C4">
        <v>5</v>
      </c>
      <c r="D4">
        <v>6</v>
      </c>
      <c r="E4">
        <v>7</v>
      </c>
      <c r="F4">
        <v>5</v>
      </c>
      <c r="G4">
        <v>4</v>
      </c>
      <c r="H4">
        <v>3</v>
      </c>
    </row>
    <row r="5" spans="1:8" ht="15.75">
      <c r="A5" s="1" t="s">
        <v>242</v>
      </c>
    </row>
    <row r="6" spans="1:8" ht="15.75">
      <c r="A6" s="1"/>
      <c r="B6">
        <f>AVERAGE(B7:F7)</f>
        <v>11</v>
      </c>
      <c r="C6">
        <v>11</v>
      </c>
      <c r="D6" t="str">
        <f>IF(B6=C6,"T","WARN")</f>
        <v>T</v>
      </c>
    </row>
    <row r="7" spans="1:8" ht="15.75">
      <c r="A7" s="1"/>
      <c r="B7">
        <v>10</v>
      </c>
      <c r="C7">
        <v>7</v>
      </c>
      <c r="D7">
        <v>9</v>
      </c>
      <c r="E7">
        <v>27</v>
      </c>
      <c r="F7">
        <v>2</v>
      </c>
    </row>
    <row r="8" spans="1:8" ht="15.75">
      <c r="A8" s="1" t="s">
        <v>243</v>
      </c>
      <c r="B8">
        <f>AVERAGEA(B9:F9)</f>
        <v>5.6</v>
      </c>
      <c r="C8">
        <v>5.6</v>
      </c>
      <c r="D8" t="str">
        <f>IF(B8=C8,"T","WARN")</f>
        <v>T</v>
      </c>
    </row>
    <row r="9" spans="1:8" ht="15.75">
      <c r="A9" s="1"/>
      <c r="B9">
        <v>10</v>
      </c>
      <c r="C9">
        <v>7</v>
      </c>
      <c r="D9">
        <v>9</v>
      </c>
      <c r="E9">
        <v>2</v>
      </c>
      <c r="F9" t="s">
        <v>286</v>
      </c>
    </row>
    <row r="10" spans="1:8" ht="15.75">
      <c r="A10" s="1"/>
    </row>
    <row r="11" spans="1:8" ht="15.75">
      <c r="A11" s="1" t="s">
        <v>244</v>
      </c>
      <c r="B11">
        <f>AVERAGEIF(B12:E12,"&lt;23000")</f>
        <v>14000</v>
      </c>
      <c r="C11">
        <v>14000</v>
      </c>
      <c r="D11" t="str">
        <f>IF(B11=C11,"T","WARN")</f>
        <v>T</v>
      </c>
    </row>
    <row r="12" spans="1:8" ht="15.75">
      <c r="A12" s="1"/>
      <c r="B12" s="7">
        <v>7000</v>
      </c>
      <c r="C12" s="7">
        <v>14000</v>
      </c>
      <c r="D12">
        <v>21000</v>
      </c>
      <c r="E12">
        <v>28000</v>
      </c>
    </row>
    <row r="13" spans="1:8" ht="15.75">
      <c r="A13" s="1"/>
      <c r="B13" s="7"/>
      <c r="C13" s="7"/>
    </row>
    <row r="14" spans="1:8" ht="15.75">
      <c r="A14" s="1" t="s">
        <v>245</v>
      </c>
      <c r="B14">
        <f>AVERAGEIFS(B15:E15,B15:E15,"&lt;&gt;未完成",B15:E15,"&gt;80")</f>
        <v>87.5</v>
      </c>
      <c r="C14">
        <v>87.5</v>
      </c>
      <c r="D14" t="str">
        <f>IF(B14=C14,"T","WARN")</f>
        <v>T</v>
      </c>
    </row>
    <row r="15" spans="1:8" ht="15.75">
      <c r="A15" s="1"/>
      <c r="B15">
        <v>87</v>
      </c>
      <c r="C15">
        <v>88</v>
      </c>
      <c r="D15" t="s">
        <v>287</v>
      </c>
      <c r="E15">
        <v>75</v>
      </c>
    </row>
    <row r="16" spans="1:8" ht="15.75">
      <c r="A16" s="1"/>
    </row>
    <row r="17" spans="1:4" ht="15.75">
      <c r="A17" s="1" t="s">
        <v>246</v>
      </c>
      <c r="B17" s="25">
        <f>BETADIST(2,8,10,1,3)</f>
        <v>0.68547058095349067</v>
      </c>
      <c r="C17">
        <v>0.68547058095349067</v>
      </c>
      <c r="D17" t="str">
        <f>IF(B17=C17,"T","WARN")</f>
        <v>T</v>
      </c>
    </row>
    <row r="18" spans="1:4" ht="15.75">
      <c r="A18" s="1"/>
    </row>
    <row r="19" spans="1:4" ht="15.75">
      <c r="A19" s="1" t="s">
        <v>247</v>
      </c>
      <c r="B19" s="12">
        <f>BETAINV(0.6854,8,10,1,3)</f>
        <v>1.9999523162841797</v>
      </c>
      <c r="C19">
        <v>1.9999523162841797</v>
      </c>
      <c r="D19" t="str">
        <f>IF(B19=C19,"T","WARN")</f>
        <v>T</v>
      </c>
    </row>
    <row r="20" spans="1:4" ht="15.75">
      <c r="A20" s="1"/>
    </row>
    <row r="21" spans="1:4" ht="15.75">
      <c r="A21" s="1" t="s">
        <v>248</v>
      </c>
      <c r="B21" s="25">
        <f>BINOMDIST(6,10,0.5,FALSE)</f>
        <v>0.20507812500000006</v>
      </c>
      <c r="C21" s="25">
        <v>0.20507812500000006</v>
      </c>
      <c r="D21" t="str">
        <f>IF(B21=C21,"T","WARN")</f>
        <v>T</v>
      </c>
    </row>
    <row r="22" spans="1:4" ht="15.75">
      <c r="A22" s="1"/>
      <c r="B22" s="23"/>
    </row>
    <row r="23" spans="1:4" ht="15.75">
      <c r="A23" s="1" t="s">
        <v>249</v>
      </c>
      <c r="B23" s="25">
        <f>CHIDIST(18.307,10)</f>
        <v>5.0000589099658876E-2</v>
      </c>
      <c r="C23" s="25">
        <v>5.0000589099658876E-2</v>
      </c>
      <c r="D23" t="str">
        <f>IF(B23=C23,"T","WARN")</f>
        <v>T</v>
      </c>
    </row>
    <row r="24" spans="1:4" ht="15.75">
      <c r="A24" s="1"/>
    </row>
    <row r="25" spans="1:4" ht="15.75">
      <c r="A25" s="1" t="s">
        <v>250</v>
      </c>
      <c r="B25" s="25">
        <f>CHIINV(0.05,10)</f>
        <v>18.307038053808746</v>
      </c>
      <c r="C25" s="25">
        <v>18.307038053808746</v>
      </c>
      <c r="D25" t="str">
        <f>IF(B25=C25,"T","WARN")</f>
        <v>T</v>
      </c>
    </row>
    <row r="26" spans="1:4" ht="15.75">
      <c r="A26" s="1"/>
      <c r="B26" s="18"/>
    </row>
    <row r="27" spans="1:4" ht="15.75">
      <c r="A27" s="1" t="s">
        <v>288</v>
      </c>
      <c r="B27" s="32">
        <f>CHITEST(B28:C30,B31:C33)</f>
        <v>3.081920170211661E-4</v>
      </c>
      <c r="C27" s="32">
        <v>3.081920170211661E-4</v>
      </c>
      <c r="D27" t="str">
        <f>IF(B27=C27,"T","WARN")</f>
        <v>T</v>
      </c>
    </row>
    <row r="28" spans="1:4" ht="15.75">
      <c r="A28" s="1"/>
      <c r="B28">
        <v>58</v>
      </c>
      <c r="C28">
        <v>35</v>
      </c>
    </row>
    <row r="29" spans="1:4" ht="15.75">
      <c r="A29" s="1"/>
      <c r="B29">
        <v>11</v>
      </c>
      <c r="C29">
        <v>25</v>
      </c>
    </row>
    <row r="30" spans="1:4" ht="15.75">
      <c r="A30" s="1"/>
      <c r="B30">
        <v>10</v>
      </c>
      <c r="C30">
        <v>23</v>
      </c>
    </row>
    <row r="31" spans="1:4" ht="15.75">
      <c r="A31" s="1"/>
      <c r="B31">
        <v>45.35</v>
      </c>
      <c r="C31">
        <v>47.65</v>
      </c>
    </row>
    <row r="32" spans="1:4" ht="15.75">
      <c r="A32" s="1"/>
      <c r="B32">
        <v>17.559999999999999</v>
      </c>
      <c r="C32">
        <v>18.440000000000001</v>
      </c>
    </row>
    <row r="33" spans="1:8" ht="15.75">
      <c r="A33" s="1"/>
      <c r="B33">
        <v>16.09</v>
      </c>
      <c r="C33">
        <v>16.91</v>
      </c>
    </row>
    <row r="34" spans="1:8" ht="15.75">
      <c r="A34" s="1"/>
    </row>
    <row r="35" spans="1:8" ht="15.75">
      <c r="A35" s="1" t="s">
        <v>289</v>
      </c>
      <c r="B35" s="33">
        <f>CONFIDENCE(0.05,2.5,50)</f>
        <v>0.69295191217483887</v>
      </c>
      <c r="C35" s="25">
        <v>0.69295191217483887</v>
      </c>
      <c r="D35" t="str">
        <f>IF(B35=C35,"T","WARN")</f>
        <v>T</v>
      </c>
    </row>
    <row r="36" spans="1:8" ht="15.75">
      <c r="A36" s="1"/>
      <c r="B36" s="5"/>
    </row>
    <row r="37" spans="1:8" ht="15.75">
      <c r="A37" s="1" t="s">
        <v>290</v>
      </c>
      <c r="B37" s="11">
        <f>CORREL(B38:F38,B39:F39)</f>
        <v>0.99705448550158138</v>
      </c>
      <c r="C37" s="11">
        <v>0.99705448550158138</v>
      </c>
      <c r="D37" t="str">
        <f>IF(B37=C37,"T","WARN")</f>
        <v>T</v>
      </c>
    </row>
    <row r="38" spans="1:8" ht="15.75">
      <c r="A38" s="1"/>
      <c r="B38" s="7">
        <v>3</v>
      </c>
      <c r="C38">
        <v>2</v>
      </c>
      <c r="D38">
        <v>4</v>
      </c>
      <c r="E38">
        <v>5</v>
      </c>
      <c r="F38">
        <v>6</v>
      </c>
    </row>
    <row r="39" spans="1:8">
      <c r="B39" s="7">
        <v>9</v>
      </c>
      <c r="C39">
        <v>7</v>
      </c>
      <c r="D39">
        <v>12</v>
      </c>
      <c r="E39">
        <v>15</v>
      </c>
      <c r="F39">
        <v>17</v>
      </c>
    </row>
    <row r="40" spans="1:8">
      <c r="B40" s="7"/>
    </row>
    <row r="41" spans="1:8" ht="15.75">
      <c r="A41" s="1" t="s">
        <v>251</v>
      </c>
      <c r="B41">
        <f>COUNT(B42:H42)</f>
        <v>3</v>
      </c>
      <c r="C41">
        <v>3</v>
      </c>
      <c r="D41" t="str">
        <f>IF(B41=C41,"T","WARN")</f>
        <v>T</v>
      </c>
    </row>
    <row r="42" spans="1:8" ht="15.75">
      <c r="A42" s="1"/>
      <c r="B42" t="s">
        <v>291</v>
      </c>
      <c r="C42" s="21">
        <v>39672</v>
      </c>
      <c r="E42">
        <v>19</v>
      </c>
      <c r="F42">
        <v>22.24</v>
      </c>
      <c r="G42" t="b">
        <v>1</v>
      </c>
      <c r="H42" t="e">
        <v>#DIV/0!</v>
      </c>
    </row>
    <row r="43" spans="1:8" ht="15.75">
      <c r="A43" s="1" t="s">
        <v>252</v>
      </c>
      <c r="B43">
        <f>COUNTA(B44:H44)</f>
        <v>6</v>
      </c>
      <c r="C43">
        <v>6</v>
      </c>
      <c r="D43" t="str">
        <f>IF(B43=C43,"T","WARN")</f>
        <v>T</v>
      </c>
    </row>
    <row r="44" spans="1:8" ht="15.75">
      <c r="A44" s="1"/>
      <c r="B44" t="s">
        <v>291</v>
      </c>
      <c r="C44" s="21">
        <v>39672</v>
      </c>
      <c r="E44">
        <v>19</v>
      </c>
      <c r="F44">
        <v>22.24</v>
      </c>
      <c r="G44" t="b">
        <v>1</v>
      </c>
      <c r="H44" t="e">
        <v>#DIV/0!</v>
      </c>
    </row>
    <row r="45" spans="1:8" ht="15.75">
      <c r="A45" s="1" t="s">
        <v>253</v>
      </c>
      <c r="B45">
        <f>COUNTBLANK(B46:E46)</f>
        <v>2</v>
      </c>
      <c r="C45">
        <v>2</v>
      </c>
      <c r="D45" t="str">
        <f>IF(B45=C45,"T","WARN")</f>
        <v>T</v>
      </c>
    </row>
    <row r="46" spans="1:8" ht="15.75">
      <c r="A46" s="1"/>
      <c r="C46" s="24">
        <v>6</v>
      </c>
      <c r="E46">
        <v>4</v>
      </c>
    </row>
    <row r="47" spans="1:8" ht="15.75">
      <c r="A47" s="1" t="s">
        <v>254</v>
      </c>
      <c r="B47">
        <f>COUNTIF(B48:E48,"apples")</f>
        <v>2</v>
      </c>
      <c r="C47" s="24">
        <v>2</v>
      </c>
      <c r="D47" t="str">
        <f>IF(B47=C47,"T","WARN")</f>
        <v>T</v>
      </c>
    </row>
    <row r="48" spans="1:8" ht="15.75">
      <c r="A48" s="1"/>
      <c r="B48" t="s">
        <v>292</v>
      </c>
      <c r="C48" t="s">
        <v>293</v>
      </c>
      <c r="D48" t="s">
        <v>294</v>
      </c>
      <c r="E48" t="s">
        <v>292</v>
      </c>
    </row>
    <row r="49" spans="1:8" ht="15.75">
      <c r="A49" s="1"/>
    </row>
    <row r="50" spans="1:8" ht="15.75">
      <c r="A50" s="1" t="s">
        <v>296</v>
      </c>
      <c r="B50">
        <f>COVAR(B51:F51,B52:F52)</f>
        <v>5.2</v>
      </c>
      <c r="C50">
        <v>5.2</v>
      </c>
      <c r="D50" t="str">
        <f>IF(B50=C50,"T","WARN")</f>
        <v>T</v>
      </c>
    </row>
    <row r="51" spans="1:8" ht="15.75">
      <c r="A51" s="1"/>
      <c r="B51">
        <v>3</v>
      </c>
      <c r="C51">
        <v>2</v>
      </c>
      <c r="D51">
        <v>4</v>
      </c>
      <c r="E51">
        <v>5</v>
      </c>
      <c r="F51">
        <v>6</v>
      </c>
    </row>
    <row r="52" spans="1:8" ht="15.75">
      <c r="A52" s="1"/>
      <c r="B52">
        <v>9</v>
      </c>
      <c r="C52">
        <v>7</v>
      </c>
      <c r="D52">
        <v>12</v>
      </c>
      <c r="E52">
        <v>15</v>
      </c>
      <c r="F52">
        <v>17</v>
      </c>
    </row>
    <row r="53" spans="1:8" ht="15.75">
      <c r="A53" s="1" t="s">
        <v>297</v>
      </c>
      <c r="B53">
        <f>CRITBINOM(6,0.5,0.75)</f>
        <v>4</v>
      </c>
      <c r="C53">
        <v>4</v>
      </c>
      <c r="D53" t="str">
        <f>IF(B53=C53,"T","WARN")</f>
        <v>T</v>
      </c>
    </row>
    <row r="54" spans="1:8" ht="15.75">
      <c r="A54" s="1"/>
    </row>
    <row r="55" spans="1:8" ht="15.75">
      <c r="A55" s="1" t="s">
        <v>255</v>
      </c>
      <c r="B55">
        <f>DEVSQ(B56:H56)</f>
        <v>48</v>
      </c>
      <c r="C55">
        <v>48</v>
      </c>
      <c r="D55" t="str">
        <f>IF(B55=C55,"T","WARN")</f>
        <v>T</v>
      </c>
    </row>
    <row r="56" spans="1:8" ht="15.75">
      <c r="A56" s="1"/>
      <c r="B56">
        <v>4</v>
      </c>
      <c r="C56">
        <v>5</v>
      </c>
      <c r="D56">
        <v>8</v>
      </c>
      <c r="E56">
        <v>7</v>
      </c>
      <c r="F56">
        <v>11</v>
      </c>
      <c r="G56">
        <v>4</v>
      </c>
      <c r="H56">
        <v>3</v>
      </c>
    </row>
    <row r="57" spans="1:8" ht="15.75">
      <c r="A57" s="1" t="s">
        <v>256</v>
      </c>
      <c r="B57" s="25">
        <f>EXPONDIST(0.2,10, TRUE)</f>
        <v>0.8646647167633873</v>
      </c>
      <c r="C57" s="25">
        <v>0.8646647167633873</v>
      </c>
      <c r="D57" t="str">
        <f>IF(B57=C57,"T","WARN")</f>
        <v>T</v>
      </c>
    </row>
    <row r="58" spans="1:8" ht="15.75">
      <c r="A58" s="1"/>
    </row>
    <row r="59" spans="1:8" ht="15.75">
      <c r="A59" s="1" t="s">
        <v>257</v>
      </c>
      <c r="B59" s="25">
        <f>FDIST(15.2068,6,4)</f>
        <v>1.0000079377937579E-2</v>
      </c>
      <c r="C59" s="25">
        <v>1.0000079377937579E-2</v>
      </c>
      <c r="D59" t="str">
        <f>IF(B59=C59,"T","WARN")</f>
        <v>T</v>
      </c>
    </row>
    <row r="60" spans="1:8" ht="15.75">
      <c r="A60" s="1"/>
    </row>
    <row r="61" spans="1:8" ht="15.75">
      <c r="A61" s="1" t="s">
        <v>258</v>
      </c>
      <c r="B61" s="25">
        <f>FINV(0.01,6,4)</f>
        <v>15.20686486148989</v>
      </c>
      <c r="C61" s="25">
        <v>15.20686486148989</v>
      </c>
      <c r="D61" t="str">
        <f>IF(B61=C61,"T","WARN")</f>
        <v>T</v>
      </c>
    </row>
    <row r="62" spans="1:8" ht="15.75">
      <c r="A62" s="1"/>
    </row>
    <row r="63" spans="1:8" ht="15.75">
      <c r="A63" s="1" t="s">
        <v>298</v>
      </c>
      <c r="B63" s="25">
        <f>FISHER(0.75)</f>
        <v>0.97295507452765662</v>
      </c>
      <c r="C63" s="25">
        <v>0.97295507452765662</v>
      </c>
      <c r="D63" t="str">
        <f>IF(B63=C63,"T","WARN")</f>
        <v>T</v>
      </c>
    </row>
    <row r="64" spans="1:8" ht="15.75">
      <c r="A64" s="1"/>
    </row>
    <row r="65" spans="1:10" ht="15.75">
      <c r="A65" s="1" t="s">
        <v>299</v>
      </c>
      <c r="B65" s="25">
        <f>FISHERINV(0.972955)</f>
        <v>0.74999996739414843</v>
      </c>
      <c r="C65" s="25">
        <v>0.74999996739414843</v>
      </c>
      <c r="D65" t="str">
        <f>IF(B65=C65,"T","WARN")</f>
        <v>T</v>
      </c>
    </row>
    <row r="66" spans="1:10" ht="15.75">
      <c r="A66" s="1"/>
    </row>
    <row r="67" spans="1:10" ht="15.75">
      <c r="A67" s="1" t="s">
        <v>300</v>
      </c>
      <c r="B67" s="25">
        <f>FORECAST(30,B68:F68,B69:F69)</f>
        <v>10.607253086419755</v>
      </c>
      <c r="C67">
        <v>10.607253086419755</v>
      </c>
      <c r="D67" t="str">
        <f>IF(B67=C67,"T","WARN")</f>
        <v>T</v>
      </c>
    </row>
    <row r="68" spans="1:10" ht="15.75">
      <c r="A68" s="1"/>
      <c r="B68">
        <v>6</v>
      </c>
      <c r="C68">
        <v>7</v>
      </c>
      <c r="D68">
        <v>9</v>
      </c>
      <c r="E68">
        <v>15</v>
      </c>
      <c r="F68">
        <v>21</v>
      </c>
    </row>
    <row r="69" spans="1:10" ht="15.75">
      <c r="A69" s="1"/>
      <c r="B69">
        <v>20</v>
      </c>
      <c r="C69">
        <v>28</v>
      </c>
      <c r="D69">
        <v>31</v>
      </c>
      <c r="E69">
        <v>38</v>
      </c>
      <c r="F69">
        <v>40</v>
      </c>
    </row>
    <row r="70" spans="1:10" ht="15.75">
      <c r="A70" s="1" t="s">
        <v>301</v>
      </c>
      <c r="B70">
        <f>FREQUENCY(B71:J71,B72:D72)</f>
        <v>1</v>
      </c>
      <c r="C70">
        <v>1</v>
      </c>
      <c r="D70" t="str">
        <f>IF(B70=C70,"T","WARN")</f>
        <v>T</v>
      </c>
    </row>
    <row r="71" spans="1:10" ht="15.75">
      <c r="A71" s="1"/>
      <c r="B71">
        <v>79</v>
      </c>
      <c r="C71">
        <v>85</v>
      </c>
      <c r="D71">
        <v>78</v>
      </c>
      <c r="E71">
        <v>85</v>
      </c>
      <c r="F71">
        <v>50</v>
      </c>
      <c r="G71">
        <v>81</v>
      </c>
      <c r="H71">
        <v>95</v>
      </c>
      <c r="I71">
        <v>88</v>
      </c>
      <c r="J71">
        <v>97</v>
      </c>
    </row>
    <row r="72" spans="1:10" ht="15.75">
      <c r="A72" s="1"/>
      <c r="B72">
        <v>70</v>
      </c>
      <c r="C72">
        <v>79</v>
      </c>
      <c r="D72">
        <v>89</v>
      </c>
    </row>
    <row r="73" spans="1:10" ht="15.75">
      <c r="A73" s="1" t="s">
        <v>302</v>
      </c>
      <c r="B73" s="25">
        <f>FTEST(B74:F74,B75:F75)</f>
        <v>0.64831784680276039</v>
      </c>
      <c r="C73" s="25">
        <v>0.64831784680276039</v>
      </c>
      <c r="D73" t="str">
        <f>IF(B73=C73,"T","WARN")</f>
        <v>T</v>
      </c>
    </row>
    <row r="74" spans="1:10" ht="15.75">
      <c r="A74" s="1"/>
      <c r="B74">
        <v>6</v>
      </c>
      <c r="C74">
        <v>7</v>
      </c>
      <c r="D74">
        <v>9</v>
      </c>
      <c r="E74">
        <v>15</v>
      </c>
      <c r="F74">
        <v>21</v>
      </c>
    </row>
    <row r="75" spans="1:10" ht="15.75">
      <c r="A75" s="1"/>
      <c r="B75">
        <v>20</v>
      </c>
      <c r="C75">
        <v>28</v>
      </c>
      <c r="D75">
        <v>31</v>
      </c>
      <c r="E75">
        <v>38</v>
      </c>
      <c r="F75">
        <v>40</v>
      </c>
    </row>
    <row r="76" spans="1:10" ht="15.75">
      <c r="A76" s="1" t="s">
        <v>259</v>
      </c>
      <c r="B76" s="25">
        <f>GAMMADIST(10, 9,2, FALSE)</f>
        <v>3.2639019680753736E-2</v>
      </c>
      <c r="C76" s="25">
        <v>3.2639019680753736E-2</v>
      </c>
      <c r="D76" t="str">
        <f>IF(B76=C76,"T","WARN")</f>
        <v>T</v>
      </c>
    </row>
    <row r="77" spans="1:10" ht="15.75">
      <c r="A77" s="1"/>
    </row>
    <row r="78" spans="1:10" ht="15.75">
      <c r="A78" s="1" t="s">
        <v>260</v>
      </c>
      <c r="B78" s="25">
        <f>GAMMAINV(0.068094,9,2)</f>
        <v>10.00001131093865</v>
      </c>
      <c r="C78" s="25">
        <v>10.00001131093865</v>
      </c>
      <c r="D78" t="str">
        <f>IF(B78=C78,"T","WARN")</f>
        <v>T</v>
      </c>
    </row>
    <row r="79" spans="1:10" ht="15.75">
      <c r="A79" s="1"/>
    </row>
    <row r="80" spans="1:10" ht="15.75">
      <c r="A80" s="1" t="s">
        <v>261</v>
      </c>
      <c r="B80" s="25">
        <f>GAMMALN(4)</f>
        <v>1.7917594690821024</v>
      </c>
      <c r="C80" s="25">
        <v>1.7917594690821024</v>
      </c>
      <c r="D80" t="str">
        <f>IF(B80=C80,"T","WARN")</f>
        <v>T</v>
      </c>
    </row>
    <row r="81" spans="1:9" ht="15.75">
      <c r="A81" s="1"/>
    </row>
    <row r="82" spans="1:9" ht="15.75">
      <c r="A82" s="1" t="s">
        <v>262</v>
      </c>
      <c r="B82" s="25">
        <f>GEOMEAN(B83:H83)</f>
        <v>5.4769869696569611</v>
      </c>
      <c r="C82" s="25">
        <v>5.4769869696569611</v>
      </c>
      <c r="D82" t="str">
        <f>IF(B82=C82,"T","WARN")</f>
        <v>T</v>
      </c>
    </row>
    <row r="83" spans="1:9" ht="15.75">
      <c r="A83" s="1"/>
      <c r="B83">
        <v>4</v>
      </c>
      <c r="C83">
        <v>5</v>
      </c>
      <c r="D83">
        <v>8</v>
      </c>
      <c r="E83">
        <v>7</v>
      </c>
      <c r="F83">
        <v>11</v>
      </c>
      <c r="G83">
        <v>4</v>
      </c>
      <c r="H83">
        <v>3</v>
      </c>
    </row>
    <row r="84" spans="1:9" ht="15.75">
      <c r="A84" s="1"/>
    </row>
    <row r="85" spans="1:9" ht="15.75">
      <c r="A85" s="1" t="s">
        <v>263</v>
      </c>
      <c r="B85" s="25">
        <f>GROWTH(B87:G87,B86:G86,H86:I86)</f>
        <v>320196.71836347238</v>
      </c>
      <c r="C85" s="25">
        <v>320196.71836347238</v>
      </c>
      <c r="D85" t="str">
        <f>IF(B85=C85,"T","WARN")</f>
        <v>T</v>
      </c>
    </row>
    <row r="86" spans="1:9" ht="15.75">
      <c r="A86" s="1"/>
      <c r="B86">
        <v>11</v>
      </c>
      <c r="C86">
        <v>12</v>
      </c>
      <c r="D86">
        <v>13</v>
      </c>
      <c r="E86">
        <v>14</v>
      </c>
      <c r="F86">
        <v>15</v>
      </c>
      <c r="G86">
        <v>16</v>
      </c>
      <c r="H86">
        <v>17</v>
      </c>
      <c r="I86">
        <v>18</v>
      </c>
    </row>
    <row r="87" spans="1:9" ht="15.75">
      <c r="A87" s="1"/>
      <c r="B87">
        <v>33100</v>
      </c>
      <c r="C87">
        <v>47300</v>
      </c>
      <c r="D87">
        <v>69000</v>
      </c>
      <c r="E87">
        <v>102000</v>
      </c>
      <c r="F87">
        <v>150000</v>
      </c>
      <c r="G87">
        <v>220000</v>
      </c>
    </row>
    <row r="88" spans="1:9" ht="15.75">
      <c r="A88" s="1"/>
    </row>
    <row r="89" spans="1:9" ht="15.75">
      <c r="A89" s="1" t="s">
        <v>264</v>
      </c>
      <c r="B89" s="25">
        <f>HARMEAN(B90:H90)</f>
        <v>5.0283759620617277</v>
      </c>
      <c r="C89" s="25">
        <v>5.0283759620617277</v>
      </c>
      <c r="D89" t="str">
        <f>IF(B89=C89,"T","WARN")</f>
        <v>T</v>
      </c>
    </row>
    <row r="90" spans="1:9" ht="15.75">
      <c r="A90" s="1"/>
      <c r="B90">
        <v>4</v>
      </c>
      <c r="C90">
        <v>5</v>
      </c>
      <c r="D90">
        <v>8</v>
      </c>
      <c r="E90">
        <v>7</v>
      </c>
      <c r="F90">
        <v>11</v>
      </c>
      <c r="G90">
        <v>4</v>
      </c>
      <c r="H90">
        <v>3</v>
      </c>
    </row>
    <row r="91" spans="1:9" ht="15.75">
      <c r="A91" s="1"/>
    </row>
    <row r="92" spans="1:9" ht="15.75">
      <c r="A92" s="1" t="s">
        <v>265</v>
      </c>
      <c r="B92" s="25">
        <f>HYPGEOMDIST(1,4,8,20)</f>
        <v>0.36326109391124872</v>
      </c>
      <c r="C92" s="25">
        <v>0.36326109391124872</v>
      </c>
      <c r="D92" t="str">
        <f>IF(B92=C92,"T","WARN")</f>
        <v>T</v>
      </c>
    </row>
    <row r="93" spans="1:9" ht="15.75">
      <c r="A93" s="1"/>
    </row>
    <row r="94" spans="1:9" ht="15.75">
      <c r="A94" s="1" t="s">
        <v>266</v>
      </c>
      <c r="B94" s="25">
        <f>INTERCEPT(B95:F95,B96:F96)</f>
        <v>4.8387096774192173E-2</v>
      </c>
      <c r="C94" s="25">
        <v>4.8387096774192173E-2</v>
      </c>
      <c r="D94" t="str">
        <f>IF(B94=C94,"T","WARN")</f>
        <v>T</v>
      </c>
    </row>
    <row r="95" spans="1:9" ht="15.75">
      <c r="A95" s="1"/>
      <c r="B95">
        <v>2</v>
      </c>
      <c r="C95">
        <v>3</v>
      </c>
      <c r="D95">
        <v>9</v>
      </c>
      <c r="E95">
        <v>1</v>
      </c>
      <c r="F95">
        <v>8</v>
      </c>
    </row>
    <row r="96" spans="1:9" ht="15.75">
      <c r="A96" s="1"/>
      <c r="B96">
        <v>6</v>
      </c>
      <c r="C96">
        <v>5</v>
      </c>
      <c r="D96">
        <v>11</v>
      </c>
      <c r="E96">
        <v>7</v>
      </c>
      <c r="F96">
        <v>5</v>
      </c>
    </row>
    <row r="97" spans="1:11" ht="15.75">
      <c r="A97" s="1" t="s">
        <v>267</v>
      </c>
      <c r="B97" s="25">
        <f>KURT(B98:K98)</f>
        <v>-0.15179963720841627</v>
      </c>
      <c r="C97">
        <v>-0.15</v>
      </c>
    </row>
    <row r="98" spans="1:11" ht="15.75">
      <c r="A98" s="1"/>
      <c r="B98">
        <v>3</v>
      </c>
      <c r="C98">
        <v>4</v>
      </c>
      <c r="D98">
        <v>5</v>
      </c>
      <c r="E98">
        <v>2</v>
      </c>
      <c r="F98">
        <v>3</v>
      </c>
      <c r="G98">
        <v>4</v>
      </c>
      <c r="H98">
        <v>5</v>
      </c>
      <c r="I98">
        <v>6</v>
      </c>
      <c r="J98">
        <v>4</v>
      </c>
      <c r="K98">
        <v>7</v>
      </c>
    </row>
    <row r="99" spans="1:11" ht="15.75">
      <c r="A99" s="1"/>
    </row>
    <row r="100" spans="1:11" ht="15.75">
      <c r="A100" s="1" t="s">
        <v>268</v>
      </c>
      <c r="B100">
        <f>LARGE(B101:F102,3)</f>
        <v>5</v>
      </c>
      <c r="C100">
        <v>5</v>
      </c>
      <c r="D100" t="str">
        <f>IF(B100=C100,"T","WARN")</f>
        <v>T</v>
      </c>
    </row>
    <row r="101" spans="1:11" ht="15.75">
      <c r="A101" s="1"/>
      <c r="B101">
        <v>3</v>
      </c>
      <c r="C101">
        <v>5</v>
      </c>
      <c r="D101">
        <v>3</v>
      </c>
      <c r="E101">
        <v>5</v>
      </c>
      <c r="F101">
        <v>4</v>
      </c>
    </row>
    <row r="102" spans="1:11" ht="15.75">
      <c r="A102" s="1"/>
      <c r="B102">
        <v>4</v>
      </c>
      <c r="C102">
        <v>2</v>
      </c>
      <c r="D102">
        <v>4</v>
      </c>
      <c r="E102">
        <v>6</v>
      </c>
      <c r="F102">
        <v>7</v>
      </c>
    </row>
    <row r="103" spans="1:11" ht="15.75">
      <c r="A103" s="1" t="s">
        <v>303</v>
      </c>
      <c r="B103">
        <f>LINEST(B104:E104,B105:E105, , FALSE)</f>
        <v>2.0000000000000004</v>
      </c>
      <c r="C103">
        <v>2</v>
      </c>
    </row>
    <row r="104" spans="1:11" ht="15.75">
      <c r="A104" s="1"/>
      <c r="B104">
        <v>1</v>
      </c>
      <c r="C104">
        <v>9</v>
      </c>
      <c r="D104">
        <v>5</v>
      </c>
      <c r="E104">
        <v>7</v>
      </c>
    </row>
    <row r="105" spans="1:11" ht="15.75">
      <c r="A105" s="1"/>
      <c r="B105">
        <v>0</v>
      </c>
      <c r="C105">
        <v>4</v>
      </c>
      <c r="D105">
        <v>2</v>
      </c>
      <c r="E105">
        <v>3</v>
      </c>
    </row>
    <row r="106" spans="1:11" ht="15.75">
      <c r="A106" s="1" t="s">
        <v>304</v>
      </c>
      <c r="B106" s="25">
        <f>LOGINV(0.039084, 3.5, 1.2)</f>
        <v>4.0000252186806238</v>
      </c>
      <c r="C106" s="25">
        <v>4.0000252186806238</v>
      </c>
      <c r="D106" t="str">
        <f>IF(B106=C106,"T","WARN")</f>
        <v>T</v>
      </c>
    </row>
    <row r="107" spans="1:11" ht="15.75">
      <c r="A107" s="1"/>
    </row>
    <row r="108" spans="1:11" ht="15.75">
      <c r="A108" s="1" t="s">
        <v>305</v>
      </c>
      <c r="B108" s="25">
        <f>LOGNORMDIST(4,3.5,1.2)</f>
        <v>3.9083555706800555E-2</v>
      </c>
      <c r="C108" s="25">
        <v>3.9083555706800555E-2</v>
      </c>
      <c r="D108" t="str">
        <f>IF(B108=C108,"T","WARN")</f>
        <v>T</v>
      </c>
    </row>
    <row r="109" spans="1:11" ht="15.75">
      <c r="A109" s="1"/>
    </row>
    <row r="110" spans="1:11" ht="15.75">
      <c r="A110" s="1" t="s">
        <v>269</v>
      </c>
      <c r="B110">
        <f>MAX(B111:F111)</f>
        <v>27</v>
      </c>
      <c r="C110">
        <v>27</v>
      </c>
      <c r="D110" t="str">
        <f>IF(B110=C110,"T","WARN")</f>
        <v>T</v>
      </c>
    </row>
    <row r="111" spans="1:11" ht="15.75">
      <c r="A111" s="1"/>
      <c r="B111">
        <v>10</v>
      </c>
      <c r="C111">
        <v>7</v>
      </c>
      <c r="D111">
        <v>9</v>
      </c>
      <c r="E111">
        <v>27</v>
      </c>
      <c r="F111">
        <v>2</v>
      </c>
    </row>
    <row r="112" spans="1:11" ht="15.75">
      <c r="A112" s="1" t="s">
        <v>270</v>
      </c>
      <c r="B112">
        <f>MAXA(B113:E113)</f>
        <v>0.5</v>
      </c>
      <c r="C112">
        <v>0.5</v>
      </c>
      <c r="D112" t="str">
        <f>IF(B112=C112,"T","WARN")</f>
        <v>T</v>
      </c>
    </row>
    <row r="113" spans="1:7" ht="15.75">
      <c r="A113" s="1"/>
      <c r="B113">
        <v>0</v>
      </c>
      <c r="C113">
        <v>0.2</v>
      </c>
      <c r="D113">
        <v>0.5</v>
      </c>
      <c r="E113">
        <v>0.4</v>
      </c>
    </row>
    <row r="114" spans="1:7" ht="15.75">
      <c r="A114" s="1" t="s">
        <v>271</v>
      </c>
      <c r="B114">
        <f>MEDIAN(B115:F115)</f>
        <v>3</v>
      </c>
      <c r="C114">
        <v>3</v>
      </c>
      <c r="D114" t="str">
        <f>IF(B114=C114,"T","WARN")</f>
        <v>T</v>
      </c>
    </row>
    <row r="115" spans="1:7" ht="15.75">
      <c r="A115" s="1"/>
      <c r="B115">
        <v>1</v>
      </c>
      <c r="C115">
        <v>2</v>
      </c>
      <c r="D115">
        <v>3</v>
      </c>
      <c r="E115">
        <v>4</v>
      </c>
      <c r="F115">
        <v>5</v>
      </c>
    </row>
    <row r="116" spans="1:7" ht="15.75">
      <c r="A116" s="1" t="s">
        <v>272</v>
      </c>
      <c r="B116">
        <f>MIN(B117:F117)</f>
        <v>2</v>
      </c>
      <c r="C116">
        <v>2</v>
      </c>
      <c r="D116" t="str">
        <f>IF(B116=C116,"T","WARN")</f>
        <v>T</v>
      </c>
    </row>
    <row r="117" spans="1:7" ht="15.75">
      <c r="A117" s="1"/>
      <c r="B117">
        <v>10</v>
      </c>
      <c r="C117">
        <v>7</v>
      </c>
      <c r="D117">
        <v>9</v>
      </c>
      <c r="E117">
        <v>27</v>
      </c>
      <c r="F117">
        <v>2</v>
      </c>
    </row>
    <row r="118" spans="1:7" ht="15.75">
      <c r="A118" s="1" t="s">
        <v>273</v>
      </c>
      <c r="B118">
        <f>MINA(B119:F119)</f>
        <v>0</v>
      </c>
      <c r="C118">
        <v>0</v>
      </c>
      <c r="D118" t="str">
        <f>IF(B118=C118,"T","WARN")</f>
        <v>T</v>
      </c>
    </row>
    <row r="119" spans="1:7" ht="15.75">
      <c r="A119" s="1"/>
      <c r="B119" s="5" t="b">
        <v>0</v>
      </c>
      <c r="C119">
        <v>0.2</v>
      </c>
      <c r="D119">
        <v>0.5</v>
      </c>
      <c r="E119">
        <v>0.4</v>
      </c>
      <c r="F119">
        <v>0.8</v>
      </c>
    </row>
    <row r="120" spans="1:7" ht="15.75">
      <c r="A120" s="1"/>
    </row>
    <row r="121" spans="1:7" ht="15.75">
      <c r="A121" s="1" t="s">
        <v>274</v>
      </c>
      <c r="B121" s="5">
        <f>MODE(B122:G122)</f>
        <v>4</v>
      </c>
      <c r="C121">
        <v>4</v>
      </c>
      <c r="D121" t="str">
        <f>IF(B121=C121,"T","WARN")</f>
        <v>T</v>
      </c>
    </row>
    <row r="122" spans="1:7" ht="15.75">
      <c r="A122" s="1"/>
      <c r="B122">
        <v>5.6</v>
      </c>
      <c r="C122">
        <v>4</v>
      </c>
      <c r="D122">
        <v>4</v>
      </c>
      <c r="E122">
        <v>3</v>
      </c>
      <c r="F122">
        <v>2</v>
      </c>
      <c r="G122">
        <v>4</v>
      </c>
    </row>
    <row r="123" spans="1:7" ht="15.75">
      <c r="A123" s="1" t="s">
        <v>306</v>
      </c>
      <c r="B123" s="25">
        <f>NEGBINOMDIST(10,5,0.25)</f>
        <v>5.5048660375177888E-2</v>
      </c>
      <c r="C123" s="25">
        <v>5.5048660375177888E-2</v>
      </c>
      <c r="D123" t="str">
        <f>IF(B123=C123,"T","WARN")</f>
        <v>T</v>
      </c>
    </row>
    <row r="124" spans="1:7" ht="15.75">
      <c r="A124" s="1"/>
    </row>
    <row r="125" spans="1:7" ht="15.75">
      <c r="A125" s="1" t="s">
        <v>275</v>
      </c>
      <c r="B125" s="33">
        <f>NORMDIST(42,40,1.5,TRUE)</f>
        <v>0.90878878027413212</v>
      </c>
      <c r="C125" s="25">
        <v>0.90878878027413212</v>
      </c>
      <c r="D125" t="str">
        <f>IF(B125=C125,"T","WARN")</f>
        <v>T</v>
      </c>
    </row>
    <row r="126" spans="1:7" ht="15.75">
      <c r="A126" s="1"/>
    </row>
    <row r="127" spans="1:7" ht="15.75">
      <c r="A127" s="1" t="s">
        <v>307</v>
      </c>
      <c r="B127" s="25">
        <f>NORMINV(0.908789,40,1.5)</f>
        <v>42.00000200956616</v>
      </c>
      <c r="C127" s="25">
        <v>42.00000200956616</v>
      </c>
      <c r="D127" t="str">
        <f>IF(B127=C127,"T","WARN")</f>
        <v>T</v>
      </c>
    </row>
    <row r="128" spans="1:7" ht="15.75">
      <c r="A128" s="1"/>
    </row>
    <row r="129" spans="1:11" ht="15.75">
      <c r="A129" s="1" t="s">
        <v>308</v>
      </c>
      <c r="B129" s="25">
        <f>NORMSDIST(1.333333)</f>
        <v>0.90878872560409529</v>
      </c>
      <c r="C129" s="25">
        <v>0.90878872560409529</v>
      </c>
      <c r="D129" t="str">
        <f>IF(B129=C129,"T","WARN")</f>
        <v>T</v>
      </c>
    </row>
    <row r="130" spans="1:11" ht="15.75">
      <c r="A130" s="1"/>
    </row>
    <row r="131" spans="1:11" ht="15.75">
      <c r="A131" s="1" t="s">
        <v>309</v>
      </c>
      <c r="B131" s="25">
        <f>NORMSINV(0.908789)</f>
        <v>1.3333346730441065</v>
      </c>
      <c r="C131" s="25">
        <v>1.3333346730441065</v>
      </c>
      <c r="D131" t="str">
        <f>IF(B131=C131,"T","WARN")</f>
        <v>T</v>
      </c>
    </row>
    <row r="132" spans="1:11" ht="15.75">
      <c r="A132" s="1"/>
    </row>
    <row r="133" spans="1:11" ht="15.75">
      <c r="A133" s="1" t="s">
        <v>310</v>
      </c>
      <c r="B133" s="25">
        <f>PEARSON(B134:F134,B135:F135)</f>
        <v>0.69937860618023528</v>
      </c>
      <c r="C133" s="25">
        <v>0.69937860618023528</v>
      </c>
      <c r="D133" t="str">
        <f>IF(B133=C133,"T","WARN")</f>
        <v>T</v>
      </c>
    </row>
    <row r="134" spans="1:11" ht="15.75">
      <c r="A134" s="1"/>
      <c r="B134">
        <v>9</v>
      </c>
      <c r="C134">
        <v>7</v>
      </c>
      <c r="D134">
        <v>5</v>
      </c>
      <c r="E134">
        <v>3</v>
      </c>
      <c r="F134">
        <v>1</v>
      </c>
    </row>
    <row r="135" spans="1:11" ht="15.75">
      <c r="A135" s="1"/>
      <c r="B135">
        <v>10</v>
      </c>
      <c r="C135">
        <v>6</v>
      </c>
      <c r="D135">
        <v>1</v>
      </c>
      <c r="E135">
        <v>5</v>
      </c>
      <c r="F135">
        <v>3</v>
      </c>
    </row>
    <row r="136" spans="1:11" ht="15.75">
      <c r="A136" s="1" t="s">
        <v>311</v>
      </c>
      <c r="B136">
        <f>PERCENTILE(B137:E137,0.3)</f>
        <v>1.9</v>
      </c>
      <c r="C136">
        <v>1.9</v>
      </c>
      <c r="D136" t="str">
        <f>IF(B136=C136,"T","WARN")</f>
        <v>T</v>
      </c>
    </row>
    <row r="137" spans="1:11" ht="15.75">
      <c r="A137" s="1"/>
      <c r="B137">
        <v>1</v>
      </c>
      <c r="C137">
        <v>2</v>
      </c>
      <c r="D137">
        <v>3</v>
      </c>
      <c r="E137">
        <v>4</v>
      </c>
    </row>
    <row r="138" spans="1:11" ht="15.75">
      <c r="A138" s="1" t="s">
        <v>312</v>
      </c>
      <c r="B138" s="25">
        <f>PERCENTRANK(B139:K139,2)</f>
        <v>0.33300000000000002</v>
      </c>
      <c r="C138" s="25">
        <v>0.33300000000000002</v>
      </c>
      <c r="D138" t="str">
        <f>IF(B138=C138,"T","WARN")</f>
        <v>T</v>
      </c>
    </row>
    <row r="139" spans="1:11" ht="15.75">
      <c r="A139" s="1"/>
      <c r="B139">
        <v>13</v>
      </c>
      <c r="C139">
        <v>12</v>
      </c>
      <c r="D139">
        <v>11</v>
      </c>
      <c r="E139">
        <v>8</v>
      </c>
      <c r="F139">
        <v>4</v>
      </c>
      <c r="G139">
        <v>3</v>
      </c>
      <c r="H139">
        <v>2</v>
      </c>
      <c r="I139">
        <v>1</v>
      </c>
      <c r="J139">
        <v>1</v>
      </c>
      <c r="K139">
        <v>1</v>
      </c>
    </row>
    <row r="140" spans="1:11" ht="15.75">
      <c r="A140" s="1" t="s">
        <v>313</v>
      </c>
      <c r="B140">
        <f>PERMUT(100,3)</f>
        <v>970200</v>
      </c>
      <c r="C140">
        <v>970200</v>
      </c>
      <c r="D140" t="str">
        <f>IF(B140=C140,"T","WARN")</f>
        <v>T</v>
      </c>
    </row>
    <row r="141" spans="1:11" ht="15.75">
      <c r="A141" s="1"/>
    </row>
    <row r="142" spans="1:11" ht="15.75">
      <c r="A142" s="1" t="s">
        <v>276</v>
      </c>
      <c r="B142" s="33">
        <f>POISSON(2,5,TRUE)</f>
        <v>0.12465201948308466</v>
      </c>
      <c r="C142" s="25">
        <v>0.12465201948308466</v>
      </c>
      <c r="D142" t="str">
        <f>IF(B142=C142,"T","WARN")</f>
        <v>T</v>
      </c>
    </row>
    <row r="143" spans="1:11" ht="15.75">
      <c r="A143" s="1"/>
    </row>
    <row r="144" spans="1:11" ht="15.75">
      <c r="A144" s="1" t="s">
        <v>314</v>
      </c>
      <c r="B144">
        <f>PROB(B145:E145,B146:E146,2)</f>
        <v>0.1</v>
      </c>
      <c r="C144">
        <v>0.1</v>
      </c>
      <c r="D144" t="str">
        <f>IF(B144=C144,"T","WARN")</f>
        <v>T</v>
      </c>
    </row>
    <row r="145" spans="1:11" ht="15.75">
      <c r="A145" s="1"/>
      <c r="B145">
        <v>0</v>
      </c>
      <c r="C145">
        <v>1</v>
      </c>
      <c r="D145">
        <v>2</v>
      </c>
      <c r="E145">
        <v>3</v>
      </c>
    </row>
    <row r="146" spans="1:11" ht="15.75">
      <c r="A146" s="1"/>
      <c r="B146">
        <v>0.2</v>
      </c>
      <c r="C146">
        <v>0.3</v>
      </c>
      <c r="D146">
        <v>0.1</v>
      </c>
      <c r="E146">
        <v>0.4</v>
      </c>
    </row>
    <row r="147" spans="1:11" ht="15.75">
      <c r="A147" s="1" t="s">
        <v>315</v>
      </c>
      <c r="B147">
        <f>QUARTILE(B148:I148,1)</f>
        <v>3.5</v>
      </c>
      <c r="C147">
        <v>3.5</v>
      </c>
      <c r="D147" t="str">
        <f>IF(B147=C147,"T","WARN")</f>
        <v>T</v>
      </c>
    </row>
    <row r="148" spans="1:11">
      <c r="B148">
        <v>1</v>
      </c>
      <c r="C148">
        <v>2</v>
      </c>
      <c r="D148">
        <v>4</v>
      </c>
      <c r="E148">
        <v>7</v>
      </c>
      <c r="F148">
        <v>8</v>
      </c>
      <c r="G148">
        <v>9</v>
      </c>
      <c r="H148">
        <v>10</v>
      </c>
      <c r="I148">
        <v>12</v>
      </c>
    </row>
    <row r="149" spans="1:11" ht="15.75">
      <c r="A149" s="1" t="s">
        <v>316</v>
      </c>
      <c r="B149">
        <f>RANK(C150,B150:F150,1)</f>
        <v>3</v>
      </c>
      <c r="C149">
        <v>3</v>
      </c>
      <c r="D149" t="str">
        <f>IF(B149=C149,"T","WARN")</f>
        <v>T</v>
      </c>
    </row>
    <row r="150" spans="1:11">
      <c r="B150">
        <v>7</v>
      </c>
      <c r="C150">
        <v>3.5</v>
      </c>
      <c r="D150">
        <v>3.5</v>
      </c>
      <c r="E150">
        <v>1</v>
      </c>
      <c r="F150">
        <v>2</v>
      </c>
    </row>
    <row r="151" spans="1:11" ht="15.75">
      <c r="A151" s="1" t="s">
        <v>317</v>
      </c>
      <c r="B151" s="25">
        <f>RSQ(B152:H152,B153:H153)</f>
        <v>5.7950191570881222E-2</v>
      </c>
      <c r="C151" s="25">
        <v>5.7950191570881222E-2</v>
      </c>
      <c r="D151" t="str">
        <f>IF(B151=C151,"T","WARN")</f>
        <v>T</v>
      </c>
    </row>
    <row r="152" spans="1:11" ht="15.75">
      <c r="A152" s="1"/>
      <c r="B152">
        <v>2</v>
      </c>
      <c r="C152">
        <v>3</v>
      </c>
      <c r="D152">
        <v>9</v>
      </c>
      <c r="E152">
        <v>1</v>
      </c>
      <c r="F152">
        <v>8</v>
      </c>
      <c r="G152">
        <v>7</v>
      </c>
      <c r="H152">
        <v>5</v>
      </c>
    </row>
    <row r="153" spans="1:11" ht="15.75">
      <c r="A153" s="1"/>
      <c r="B153">
        <v>6</v>
      </c>
      <c r="C153">
        <v>5</v>
      </c>
      <c r="D153">
        <v>11</v>
      </c>
      <c r="E153">
        <v>7</v>
      </c>
      <c r="F153">
        <v>5</v>
      </c>
      <c r="G153">
        <v>4</v>
      </c>
      <c r="H153">
        <v>4</v>
      </c>
    </row>
    <row r="154" spans="1:11" ht="15.75">
      <c r="A154" s="1" t="s">
        <v>277</v>
      </c>
      <c r="B154" s="33">
        <f>SKEW(B155:K155)</f>
        <v>0.35954307140679742</v>
      </c>
      <c r="C154" s="25">
        <v>0.35954307140679742</v>
      </c>
      <c r="D154" t="str">
        <f>IF(B154=C154,"T","WARN")</f>
        <v>T</v>
      </c>
    </row>
    <row r="155" spans="1:11" ht="15.75">
      <c r="A155" s="1"/>
      <c r="B155">
        <v>3</v>
      </c>
      <c r="C155">
        <v>4</v>
      </c>
      <c r="D155">
        <v>5</v>
      </c>
      <c r="E155">
        <v>2</v>
      </c>
      <c r="F155">
        <v>3</v>
      </c>
      <c r="G155">
        <v>4</v>
      </c>
      <c r="H155">
        <v>5</v>
      </c>
      <c r="I155">
        <v>6</v>
      </c>
      <c r="J155">
        <v>4</v>
      </c>
      <c r="K155">
        <v>7</v>
      </c>
    </row>
    <row r="156" spans="1:11" ht="15.75">
      <c r="A156" s="1" t="s">
        <v>278</v>
      </c>
      <c r="B156" s="33">
        <f>SLOPE(B157:H157,B158:H158)</f>
        <v>0.30555555555555558</v>
      </c>
      <c r="C156" s="25">
        <v>0.30555555555555558</v>
      </c>
      <c r="D156" t="str">
        <f>IF(B156=C156,"T","WARN")</f>
        <v>T</v>
      </c>
    </row>
    <row r="157" spans="1:11" ht="15.75">
      <c r="A157" s="1"/>
      <c r="B157" s="7">
        <v>2</v>
      </c>
      <c r="C157">
        <v>3</v>
      </c>
      <c r="D157">
        <v>9</v>
      </c>
      <c r="E157">
        <v>1</v>
      </c>
      <c r="F157">
        <v>8</v>
      </c>
      <c r="G157">
        <v>7</v>
      </c>
      <c r="H157">
        <v>5</v>
      </c>
    </row>
    <row r="158" spans="1:11" ht="15.75">
      <c r="A158" s="1"/>
      <c r="B158">
        <v>6</v>
      </c>
      <c r="C158">
        <v>5</v>
      </c>
      <c r="D158">
        <v>11</v>
      </c>
      <c r="E158">
        <v>7</v>
      </c>
      <c r="F158">
        <v>5</v>
      </c>
      <c r="G158">
        <v>4</v>
      </c>
      <c r="H158">
        <v>4</v>
      </c>
    </row>
    <row r="159" spans="1:11" ht="15.75">
      <c r="A159" s="1" t="s">
        <v>279</v>
      </c>
      <c r="B159" s="5">
        <f>SMALL(B160:J160,4)</f>
        <v>4</v>
      </c>
      <c r="C159">
        <v>4</v>
      </c>
      <c r="D159" t="str">
        <f>IF(B159=C159,"T","WARN")</f>
        <v>T</v>
      </c>
    </row>
    <row r="160" spans="1:11" ht="15.75">
      <c r="A160" s="1"/>
      <c r="B160">
        <v>3</v>
      </c>
      <c r="C160">
        <v>4</v>
      </c>
      <c r="D160">
        <v>5</v>
      </c>
      <c r="E160">
        <v>2</v>
      </c>
      <c r="F160">
        <v>3</v>
      </c>
      <c r="G160">
        <v>4</v>
      </c>
      <c r="H160">
        <v>6</v>
      </c>
      <c r="I160">
        <v>4</v>
      </c>
      <c r="J160">
        <v>7</v>
      </c>
    </row>
    <row r="161" spans="1:11" ht="15.75">
      <c r="A161" s="1"/>
    </row>
    <row r="162" spans="1:11" ht="15.75">
      <c r="A162" s="1" t="s">
        <v>318</v>
      </c>
      <c r="B162" s="25">
        <f>STANDARDIZE(42,40,1.5)</f>
        <v>1.3333333333333333</v>
      </c>
      <c r="C162" s="25">
        <v>1.3333333333333333</v>
      </c>
      <c r="D162" t="str">
        <f>IF(B162=C162,"T","WARN")</f>
        <v>T</v>
      </c>
    </row>
    <row r="163" spans="1:11" ht="15.75">
      <c r="A163" s="1"/>
    </row>
    <row r="164" spans="1:11" ht="15.75">
      <c r="A164" s="1" t="s">
        <v>280</v>
      </c>
      <c r="B164" s="25">
        <f>STDEV(B165:K165)</f>
        <v>27.463915719840482</v>
      </c>
      <c r="C164" s="25">
        <v>27.463915719840482</v>
      </c>
      <c r="D164" t="str">
        <f>IF(B164=C164,"T","WARN")</f>
        <v>T</v>
      </c>
    </row>
    <row r="165" spans="1:11" ht="15.75">
      <c r="A165" s="1"/>
      <c r="B165">
        <v>1345</v>
      </c>
      <c r="C165">
        <v>1301</v>
      </c>
      <c r="D165">
        <v>1368</v>
      </c>
      <c r="E165">
        <v>1322</v>
      </c>
      <c r="F165">
        <v>1310</v>
      </c>
      <c r="G165">
        <v>1370</v>
      </c>
      <c r="H165">
        <v>1318</v>
      </c>
      <c r="I165">
        <v>1350</v>
      </c>
      <c r="J165">
        <v>1303</v>
      </c>
      <c r="K165">
        <v>1299</v>
      </c>
    </row>
    <row r="166" spans="1:11" ht="15.75">
      <c r="A166" s="1" t="s">
        <v>281</v>
      </c>
      <c r="B166" s="25">
        <f>STDEVA(B165:K165)</f>
        <v>27.463915719840482</v>
      </c>
      <c r="C166" s="25">
        <v>27.463915719840482</v>
      </c>
      <c r="D166" t="str">
        <f>IF(B166=C166,"T","WARN")</f>
        <v>T</v>
      </c>
    </row>
    <row r="167" spans="1:11" ht="15.75">
      <c r="A167" s="1"/>
    </row>
    <row r="168" spans="1:11" ht="15.75">
      <c r="A168" s="1" t="s">
        <v>319</v>
      </c>
      <c r="B168" s="25">
        <f>STDEVP(B165:K165)</f>
        <v>26.054558142482477</v>
      </c>
      <c r="C168" s="25">
        <v>26.054558142482477</v>
      </c>
      <c r="D168" t="str">
        <f>IF(B168=C168,"T","WARN")</f>
        <v>T</v>
      </c>
    </row>
    <row r="169" spans="1:11" ht="15.75">
      <c r="A169" s="1"/>
    </row>
    <row r="170" spans="1:11" ht="15.75">
      <c r="A170" s="1" t="s">
        <v>320</v>
      </c>
      <c r="B170" s="25">
        <f>STDEVPA(B165:K165)</f>
        <v>26.054558142482477</v>
      </c>
      <c r="C170" s="25">
        <v>26.054558142482477</v>
      </c>
      <c r="D170" t="str">
        <f>IF(B170=C170,"T","WARN")</f>
        <v>T</v>
      </c>
    </row>
    <row r="171" spans="1:11" ht="15.75">
      <c r="A171" s="1"/>
    </row>
    <row r="172" spans="1:11" ht="15.75">
      <c r="A172" s="1" t="s">
        <v>321</v>
      </c>
      <c r="B172" s="25">
        <f>STEYX(B173:H173,B174:H174)</f>
        <v>3.305718950210041</v>
      </c>
      <c r="C172" s="25">
        <v>3.305718950210041</v>
      </c>
      <c r="D172" t="str">
        <f>IF(B172=C172,"T","WARN")</f>
        <v>T</v>
      </c>
    </row>
    <row r="173" spans="1:11" ht="15.75">
      <c r="A173" s="1"/>
      <c r="B173">
        <v>2</v>
      </c>
      <c r="C173">
        <v>3</v>
      </c>
      <c r="D173">
        <v>9</v>
      </c>
      <c r="E173">
        <v>1</v>
      </c>
      <c r="F173">
        <v>8</v>
      </c>
      <c r="G173">
        <v>7</v>
      </c>
      <c r="H173">
        <v>5</v>
      </c>
    </row>
    <row r="174" spans="1:11" ht="15.75">
      <c r="A174" s="1"/>
      <c r="B174">
        <v>6</v>
      </c>
      <c r="C174">
        <v>5</v>
      </c>
      <c r="D174">
        <v>11</v>
      </c>
      <c r="E174">
        <v>7</v>
      </c>
      <c r="F174">
        <v>5</v>
      </c>
      <c r="G174">
        <v>4</v>
      </c>
      <c r="H174">
        <v>4</v>
      </c>
    </row>
    <row r="175" spans="1:11" ht="15.75">
      <c r="A175" s="1" t="s">
        <v>282</v>
      </c>
      <c r="B175" s="25">
        <f>TDIST(1.959999,60,2)</f>
        <v>5.4645046467296891E-2</v>
      </c>
      <c r="C175" s="25">
        <v>5.4645046467296891E-2</v>
      </c>
      <c r="D175" t="str">
        <f>IF(B175=C175,"T","WARN")</f>
        <v>T</v>
      </c>
    </row>
    <row r="176" spans="1:11" ht="15.75">
      <c r="A176" s="1"/>
    </row>
    <row r="177" spans="1:13" ht="15.75">
      <c r="A177" s="1" t="s">
        <v>283</v>
      </c>
      <c r="B177" s="25">
        <f>TINV(0.054644927,60)</f>
        <v>1.9599999980901761</v>
      </c>
      <c r="C177" s="25">
        <v>1.9599999980901761</v>
      </c>
      <c r="D177" t="str">
        <f>IF(B177=C177,"T","WARN")</f>
        <v>T</v>
      </c>
    </row>
    <row r="178" spans="1:13" ht="15.75">
      <c r="A178" s="1"/>
    </row>
    <row r="179" spans="1:13" ht="15.75">
      <c r="A179" s="1" t="s">
        <v>322</v>
      </c>
      <c r="B179" s="25">
        <f>TREND(B181:M181,B180:M180)</f>
        <v>133953.33333333334</v>
      </c>
      <c r="C179" s="25">
        <v>133953.33333333334</v>
      </c>
      <c r="D179" t="str">
        <f>IF(B179=C179,"T","WARN")</f>
        <v>T</v>
      </c>
    </row>
    <row r="180" spans="1:13" ht="15.75">
      <c r="A180" s="1"/>
      <c r="B180">
        <v>1</v>
      </c>
      <c r="C180">
        <v>2</v>
      </c>
      <c r="D180">
        <v>3</v>
      </c>
      <c r="E180">
        <v>4</v>
      </c>
      <c r="F180">
        <v>5</v>
      </c>
      <c r="G180">
        <v>6</v>
      </c>
      <c r="H180">
        <v>7</v>
      </c>
      <c r="I180">
        <v>8</v>
      </c>
      <c r="J180">
        <v>9</v>
      </c>
      <c r="K180">
        <v>10</v>
      </c>
      <c r="L180">
        <v>11</v>
      </c>
      <c r="M180">
        <v>12</v>
      </c>
    </row>
    <row r="181" spans="1:13" ht="15.75">
      <c r="A181" s="1"/>
      <c r="B181">
        <v>133890</v>
      </c>
      <c r="C181">
        <v>135000</v>
      </c>
      <c r="D181">
        <v>135790</v>
      </c>
      <c r="E181">
        <v>137300</v>
      </c>
      <c r="F181">
        <v>138130</v>
      </c>
      <c r="G181">
        <v>139100</v>
      </c>
      <c r="H181">
        <v>139900</v>
      </c>
      <c r="I181">
        <v>141120</v>
      </c>
      <c r="J181">
        <v>141890</v>
      </c>
      <c r="K181">
        <v>143230</v>
      </c>
      <c r="L181">
        <v>144000</v>
      </c>
      <c r="M181">
        <v>145290</v>
      </c>
    </row>
    <row r="182" spans="1:13" ht="15.75">
      <c r="A182" s="1"/>
    </row>
    <row r="183" spans="1:13" ht="15.75">
      <c r="A183" s="1" t="s">
        <v>323</v>
      </c>
      <c r="B183" s="25">
        <f>TRIMMEAN(B184:L184,0.2)</f>
        <v>3.7777777777777777</v>
      </c>
      <c r="C183" s="25">
        <v>3.7777777777777777</v>
      </c>
      <c r="D183" t="str">
        <f>IF(B183=C183,"T","WARN")</f>
        <v>T</v>
      </c>
    </row>
    <row r="184" spans="1:13" ht="15.75">
      <c r="A184" s="1"/>
      <c r="B184">
        <v>4</v>
      </c>
      <c r="C184">
        <v>5</v>
      </c>
      <c r="D184">
        <v>6</v>
      </c>
      <c r="E184">
        <v>7</v>
      </c>
      <c r="F184">
        <v>2</v>
      </c>
      <c r="G184">
        <v>3</v>
      </c>
      <c r="H184">
        <v>4</v>
      </c>
      <c r="I184">
        <v>5</v>
      </c>
      <c r="J184">
        <v>1</v>
      </c>
      <c r="K184">
        <v>2</v>
      </c>
      <c r="L184">
        <v>3</v>
      </c>
    </row>
    <row r="185" spans="1:13" ht="15.75">
      <c r="A185" s="1"/>
    </row>
    <row r="186" spans="1:13" ht="15.75">
      <c r="A186" s="1" t="s">
        <v>324</v>
      </c>
      <c r="B186" s="25">
        <f>TTEST(B187:J187,B188:J188,2,1)</f>
        <v>0.19601578498575278</v>
      </c>
      <c r="C186" s="25">
        <v>0.19601578498575278</v>
      </c>
      <c r="D186" t="str">
        <f>IF(B186=C186,"T","WARN")</f>
        <v>T</v>
      </c>
    </row>
    <row r="187" spans="1:13" ht="15.75">
      <c r="A187" s="1"/>
      <c r="B187">
        <v>3</v>
      </c>
      <c r="C187">
        <v>4</v>
      </c>
      <c r="D187">
        <v>5</v>
      </c>
      <c r="E187">
        <v>8</v>
      </c>
      <c r="F187">
        <v>9</v>
      </c>
      <c r="G187">
        <v>1</v>
      </c>
      <c r="H187">
        <v>2</v>
      </c>
      <c r="I187">
        <v>4</v>
      </c>
      <c r="J187">
        <v>5</v>
      </c>
    </row>
    <row r="188" spans="1:13" ht="15.75">
      <c r="A188" s="1"/>
      <c r="B188">
        <v>6</v>
      </c>
      <c r="C188">
        <v>19</v>
      </c>
      <c r="D188">
        <v>3</v>
      </c>
      <c r="E188">
        <v>2</v>
      </c>
      <c r="F188">
        <v>14</v>
      </c>
      <c r="G188">
        <v>4</v>
      </c>
      <c r="H188">
        <v>5</v>
      </c>
      <c r="I188">
        <v>17</v>
      </c>
      <c r="J188">
        <v>1</v>
      </c>
    </row>
    <row r="189" spans="1:13" ht="15.75">
      <c r="A189" s="1" t="s">
        <v>284</v>
      </c>
      <c r="B189" s="25">
        <f>VAR(B165:K165)</f>
        <v>754.26666666650112</v>
      </c>
      <c r="C189" s="25">
        <v>754.26666666650112</v>
      </c>
      <c r="D189" t="str">
        <f>IF(B189=C189,"T","WARN")</f>
        <v>T</v>
      </c>
    </row>
    <row r="190" spans="1:13" ht="15.75">
      <c r="A190" s="1"/>
    </row>
    <row r="191" spans="1:13" ht="15.75">
      <c r="A191" s="1" t="s">
        <v>325</v>
      </c>
      <c r="B191" s="25">
        <f>VARA(B165:K165)</f>
        <v>754.26666666650112</v>
      </c>
      <c r="C191" s="25">
        <v>754.26666666650112</v>
      </c>
      <c r="D191" t="str">
        <f>IF(B191=C191,"T","WARN")</f>
        <v>T</v>
      </c>
    </row>
    <row r="192" spans="1:13" ht="15.75">
      <c r="A192" s="1"/>
    </row>
    <row r="193" spans="1:11" ht="15.75">
      <c r="A193" s="1" t="s">
        <v>326</v>
      </c>
      <c r="B193">
        <f>VARP(B165:K165)</f>
        <v>678.84</v>
      </c>
      <c r="C193">
        <v>678.84</v>
      </c>
      <c r="D193" t="str">
        <f>IF(B193=C193,"T","WARN")</f>
        <v>T</v>
      </c>
    </row>
    <row r="194" spans="1:11" ht="15.75">
      <c r="A194" s="1"/>
    </row>
    <row r="195" spans="1:11" ht="15.75">
      <c r="A195" s="1" t="s">
        <v>327</v>
      </c>
      <c r="B195">
        <f>VARPA(B165:K165)</f>
        <v>678.84</v>
      </c>
      <c r="C195">
        <v>678.84</v>
      </c>
      <c r="D195" t="str">
        <f>IF(B195=C195,"T","WARN")</f>
        <v>T</v>
      </c>
    </row>
    <row r="196" spans="1:11" ht="15.75">
      <c r="A196" s="1"/>
    </row>
    <row r="197" spans="1:11" ht="15.75">
      <c r="A197" s="1" t="s">
        <v>285</v>
      </c>
      <c r="B197" s="25">
        <f>WEIBULL(105,20,100,TRUE)</f>
        <v>0.92958139006927698</v>
      </c>
      <c r="C197" s="25">
        <v>0.92958139006927698</v>
      </c>
      <c r="D197" t="str">
        <f>IF(B197=C197,"T","WARN")</f>
        <v>T</v>
      </c>
    </row>
    <row r="198" spans="1:11" ht="15.75">
      <c r="A198" s="1"/>
    </row>
    <row r="199" spans="1:11" ht="15.75">
      <c r="A199" s="1" t="s">
        <v>328</v>
      </c>
      <c r="B199" s="25">
        <f>ZTEST(B200:K200,4)</f>
        <v>9.0574196851363808E-2</v>
      </c>
      <c r="C199" s="25">
        <v>9.0574196851363808E-2</v>
      </c>
      <c r="D199" t="str">
        <f>IF(B199=C199,"T","WARN")</f>
        <v>T</v>
      </c>
    </row>
    <row r="200" spans="1:11" ht="15.75">
      <c r="A200" s="1"/>
      <c r="B200">
        <v>3</v>
      </c>
      <c r="C200">
        <v>6</v>
      </c>
      <c r="D200">
        <v>7</v>
      </c>
      <c r="E200">
        <v>8</v>
      </c>
      <c r="F200">
        <v>6</v>
      </c>
      <c r="G200">
        <v>5</v>
      </c>
      <c r="H200">
        <v>4</v>
      </c>
      <c r="I200">
        <v>2</v>
      </c>
      <c r="J200">
        <v>1</v>
      </c>
      <c r="K200">
        <v>9</v>
      </c>
    </row>
    <row r="201" spans="1:11" ht="15.75">
      <c r="A201" s="1"/>
    </row>
    <row r="202" spans="1:11">
      <c r="A202" t="s">
        <v>399</v>
      </c>
    </row>
    <row r="203" spans="1:11" ht="15.75">
      <c r="A203" s="1"/>
    </row>
    <row r="204" spans="1:11" ht="15.75">
      <c r="A204" s="1"/>
    </row>
    <row r="205" spans="1:11" ht="15.75">
      <c r="A205" s="1"/>
    </row>
    <row r="206" spans="1:11" ht="15.75">
      <c r="A206" s="1"/>
    </row>
    <row r="207" spans="1:11" ht="15.75">
      <c r="A207" s="1"/>
      <c r="B207" s="5"/>
    </row>
    <row r="208" spans="1:11" ht="15.75">
      <c r="A208" s="1"/>
    </row>
    <row r="209" spans="1:2" ht="15.75">
      <c r="A209" s="1"/>
      <c r="B209" s="5"/>
    </row>
    <row r="210" spans="1:2" ht="15.75">
      <c r="A210" s="1"/>
    </row>
    <row r="211" spans="1:2" ht="15.75">
      <c r="A211" s="1"/>
      <c r="B211" s="5"/>
    </row>
    <row r="212" spans="1:2" ht="15.75">
      <c r="A212" s="1"/>
    </row>
    <row r="213" spans="1:2" ht="15.75">
      <c r="A213" s="1"/>
      <c r="B213" s="5"/>
    </row>
    <row r="215" spans="1:2">
      <c r="B215" s="8"/>
    </row>
    <row r="217" spans="1:2" ht="15.75">
      <c r="A217" s="1"/>
      <c r="B217" s="5"/>
    </row>
    <row r="218" spans="1:2" ht="15.75">
      <c r="A218" s="1"/>
    </row>
    <row r="219" spans="1:2" ht="15.75">
      <c r="A219" s="1"/>
      <c r="B219" s="5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  <c r="B224" s="5"/>
    </row>
    <row r="225" spans="1:2" ht="15.75">
      <c r="A225" s="1"/>
    </row>
    <row r="226" spans="1:2" ht="15.75">
      <c r="A226" s="1"/>
      <c r="B226" s="11"/>
    </row>
    <row r="227" spans="1:2" ht="15.75">
      <c r="A227" s="1"/>
    </row>
    <row r="228" spans="1:2" ht="15.75">
      <c r="A228" s="1"/>
      <c r="B228" s="9"/>
    </row>
    <row r="229" spans="1:2" ht="15.75">
      <c r="A229" s="1"/>
    </row>
    <row r="230" spans="1:2" ht="15.75">
      <c r="A230" s="1"/>
    </row>
    <row r="231" spans="1:2" ht="15.75">
      <c r="A231" s="1"/>
    </row>
    <row r="232" spans="1:2" ht="15.75">
      <c r="A232" s="1"/>
      <c r="B232" s="5"/>
    </row>
    <row r="233" spans="1:2" ht="15.75">
      <c r="A233" s="1"/>
    </row>
    <row r="234" spans="1:2" ht="15.75">
      <c r="A234" s="1"/>
      <c r="B234" s="5"/>
    </row>
    <row r="235" spans="1:2" ht="15.75">
      <c r="A235" s="1"/>
    </row>
    <row r="236" spans="1:2" ht="15.75">
      <c r="A236" s="1"/>
    </row>
    <row r="237" spans="1:2" ht="15.75">
      <c r="A237" s="1"/>
    </row>
    <row r="238" spans="1:2" ht="15.75">
      <c r="A238" s="1"/>
    </row>
    <row r="239" spans="1:2" ht="15.75">
      <c r="A239" s="1"/>
    </row>
    <row r="240" spans="1:2" ht="15.75">
      <c r="A240" s="1"/>
      <c r="B240" s="8"/>
    </row>
    <row r="241" spans="1:2" ht="15.75">
      <c r="A241" s="1"/>
    </row>
    <row r="242" spans="1:2" ht="15.75">
      <c r="A242" s="1"/>
    </row>
    <row r="243" spans="1:2" ht="15.75">
      <c r="A243" s="1"/>
    </row>
    <row r="244" spans="1:2" ht="15.75">
      <c r="A244" s="1"/>
    </row>
    <row r="245" spans="1:2" ht="15.75">
      <c r="A245" s="1"/>
    </row>
    <row r="246" spans="1:2" ht="15.75">
      <c r="A246" s="1"/>
    </row>
    <row r="247" spans="1:2" ht="15.75">
      <c r="A247" s="1"/>
    </row>
    <row r="248" spans="1:2" ht="15.75">
      <c r="A248" s="1"/>
    </row>
    <row r="249" spans="1:2" ht="15.75">
      <c r="A249" s="1"/>
      <c r="B249" s="12"/>
    </row>
    <row r="250" spans="1:2" ht="15.75">
      <c r="A250" s="1"/>
    </row>
    <row r="251" spans="1:2" ht="15.75">
      <c r="A251" s="1"/>
      <c r="B251" s="8"/>
    </row>
    <row r="252" spans="1:2" ht="15.75">
      <c r="A252" s="1"/>
    </row>
    <row r="253" spans="1:2" ht="15.75">
      <c r="A253" s="1"/>
      <c r="B253" s="5"/>
    </row>
    <row r="254" spans="1:2" ht="15.75">
      <c r="A254" s="1"/>
    </row>
    <row r="255" spans="1:2" ht="15.75">
      <c r="A255" s="1"/>
      <c r="B255" s="11"/>
    </row>
    <row r="256" spans="1:2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1" spans="1:1" ht="15.75">
      <c r="A271" s="1"/>
    </row>
    <row r="272" spans="1:1" ht="15.75">
      <c r="A272" s="1"/>
    </row>
    <row r="273" spans="1:2" ht="15.75">
      <c r="A273" s="1"/>
    </row>
    <row r="274" spans="1:2" ht="15.75">
      <c r="A274" s="1"/>
    </row>
    <row r="275" spans="1:2" ht="15.75">
      <c r="A275" s="1"/>
    </row>
    <row r="276" spans="1:2" ht="15.75">
      <c r="A276" s="1"/>
    </row>
    <row r="277" spans="1:2" ht="15.75">
      <c r="A277" s="1"/>
    </row>
    <row r="278" spans="1:2" ht="15.75">
      <c r="A278" s="1"/>
    </row>
    <row r="279" spans="1:2" ht="15.75">
      <c r="A279" s="1"/>
    </row>
    <row r="280" spans="1:2" ht="15.75">
      <c r="A280" s="1"/>
    </row>
    <row r="281" spans="1:2" ht="15.75">
      <c r="A281" s="1"/>
    </row>
    <row r="282" spans="1:2" ht="15.75">
      <c r="A282" s="1"/>
    </row>
    <row r="283" spans="1:2" ht="15.75">
      <c r="A283" s="1"/>
    </row>
    <row r="284" spans="1:2" ht="15.75">
      <c r="A284" s="1"/>
    </row>
    <row r="285" spans="1:2" ht="15.75">
      <c r="A285" s="1"/>
    </row>
    <row r="286" spans="1:2" ht="15.75">
      <c r="A286" s="1"/>
      <c r="B286" s="5"/>
    </row>
    <row r="287" spans="1:2" ht="15.75">
      <c r="A287" s="1"/>
    </row>
    <row r="288" spans="1:2" ht="15.75">
      <c r="A288" s="1"/>
    </row>
    <row r="289" spans="1:2" ht="15.75">
      <c r="A289" s="1"/>
      <c r="B289" s="5"/>
    </row>
    <row r="290" spans="1:2" ht="15.75">
      <c r="A290" s="1"/>
    </row>
    <row r="291" spans="1:2" ht="15.75">
      <c r="A291" s="1"/>
    </row>
    <row r="292" spans="1:2" ht="15.75">
      <c r="A292" s="1"/>
    </row>
    <row r="293" spans="1:2" ht="15.75">
      <c r="A293" s="1"/>
    </row>
    <row r="294" spans="1:2" ht="15.75">
      <c r="A294" s="1"/>
    </row>
    <row r="295" spans="1:2" ht="15.75">
      <c r="A295" s="1"/>
    </row>
    <row r="296" spans="1:2" ht="15.75">
      <c r="A296" s="1"/>
    </row>
    <row r="297" spans="1:2" ht="15.75">
      <c r="A297" s="1"/>
    </row>
    <row r="298" spans="1:2" ht="15.75">
      <c r="A298" s="1"/>
    </row>
    <row r="299" spans="1:2" ht="15.75">
      <c r="A299" s="1"/>
    </row>
    <row r="300" spans="1:2" ht="15.75">
      <c r="A300" s="1"/>
    </row>
    <row r="301" spans="1:2" ht="15.75">
      <c r="A301" s="1"/>
    </row>
    <row r="302" spans="1:2" ht="15.75">
      <c r="A302" s="1"/>
    </row>
    <row r="303" spans="1:2" ht="15.75">
      <c r="A303" s="1"/>
    </row>
    <row r="304" spans="1:2" ht="15.75">
      <c r="A304" s="1"/>
    </row>
    <row r="305" spans="1:2" ht="15.75">
      <c r="A305" s="1"/>
    </row>
    <row r="306" spans="1:2" ht="15.75">
      <c r="A306" s="1"/>
    </row>
    <row r="307" spans="1:2" ht="15.75">
      <c r="A307" s="1"/>
    </row>
    <row r="308" spans="1:2" ht="15.75">
      <c r="A308" s="1"/>
    </row>
    <row r="309" spans="1:2" ht="15.75">
      <c r="A309" s="1"/>
    </row>
    <row r="310" spans="1:2" ht="15.75">
      <c r="A310" s="1"/>
    </row>
    <row r="311" spans="1:2" ht="15.75">
      <c r="A311" s="1"/>
    </row>
    <row r="312" spans="1:2" ht="15.75">
      <c r="A312" s="1"/>
    </row>
    <row r="313" spans="1:2" ht="15.75">
      <c r="A313" s="1"/>
    </row>
    <row r="314" spans="1:2" ht="15.75">
      <c r="A314" s="1"/>
    </row>
    <row r="315" spans="1:2" ht="15.75">
      <c r="A315" s="1"/>
    </row>
    <row r="316" spans="1:2" ht="15.75">
      <c r="A316" s="1"/>
      <c r="B316" s="11"/>
    </row>
    <row r="317" spans="1:2" ht="15.75">
      <c r="A317" s="1"/>
    </row>
    <row r="318" spans="1:2" ht="15.75">
      <c r="A318" s="1"/>
      <c r="B318" s="11"/>
    </row>
    <row r="319" spans="1:2" ht="15.75">
      <c r="A319" s="1"/>
      <c r="B319" s="11"/>
    </row>
    <row r="320" spans="1:2" ht="15.75">
      <c r="A320" s="1"/>
      <c r="B320" s="5"/>
    </row>
    <row r="321" spans="1:1" ht="15.75">
      <c r="A321" s="1"/>
    </row>
    <row r="322" spans="1:1" ht="15.75">
      <c r="A322" s="1"/>
    </row>
    <row r="323" spans="1:1" ht="15.75">
      <c r="A323" s="1"/>
    </row>
    <row r="324" spans="1:1" ht="15.75">
      <c r="A324" s="1"/>
    </row>
    <row r="325" spans="1:1" ht="15.75">
      <c r="A325" s="1"/>
    </row>
    <row r="326" spans="1:1" ht="15.75">
      <c r="A326" s="1"/>
    </row>
    <row r="327" spans="1:1" ht="15.75">
      <c r="A327" s="1"/>
    </row>
    <row r="328" spans="1:1" ht="15.75">
      <c r="A328" s="1"/>
    </row>
    <row r="329" spans="1:1" ht="15.75">
      <c r="A329" s="1"/>
    </row>
    <row r="330" spans="1:1" ht="15.75">
      <c r="A330" s="1"/>
    </row>
    <row r="331" spans="1:1" ht="15.75">
      <c r="A331" s="1"/>
    </row>
    <row r="332" spans="1:1" ht="15.75">
      <c r="A332" s="1"/>
    </row>
    <row r="333" spans="1:1" ht="15.75">
      <c r="A333" s="1"/>
    </row>
    <row r="334" spans="1:1" ht="15.75">
      <c r="A334" s="1"/>
    </row>
    <row r="335" spans="1:1" ht="15.75">
      <c r="A335" s="1"/>
    </row>
    <row r="336" spans="1:1" ht="15.75">
      <c r="A336" s="1"/>
    </row>
    <row r="337" spans="1:1" ht="15.75">
      <c r="A337" s="1"/>
    </row>
    <row r="338" spans="1:1" ht="15.75">
      <c r="A338" s="1"/>
    </row>
    <row r="339" spans="1:1" ht="15.75">
      <c r="A339" s="1"/>
    </row>
    <row r="340" spans="1:1" ht="15.75">
      <c r="A340" s="1"/>
    </row>
    <row r="341" spans="1:1" ht="15.75">
      <c r="A341" s="1"/>
    </row>
    <row r="342" spans="1:1" ht="15.75">
      <c r="A342" s="1"/>
    </row>
    <row r="343" spans="1:1" ht="15.75">
      <c r="A343" s="1"/>
    </row>
    <row r="344" spans="1:1" ht="15.75">
      <c r="A344" s="1"/>
    </row>
    <row r="345" spans="1:1" ht="15.75">
      <c r="A345" s="1"/>
    </row>
    <row r="346" spans="1:1" ht="15.75">
      <c r="A346" s="1"/>
    </row>
    <row r="347" spans="1:1" ht="15.75">
      <c r="A347" s="1"/>
    </row>
    <row r="348" spans="1:1" ht="15.75">
      <c r="A348" s="1"/>
    </row>
    <row r="349" spans="1:1" ht="15.75">
      <c r="A349" s="1"/>
    </row>
    <row r="350" spans="1:1" ht="15.75">
      <c r="A350" s="1"/>
    </row>
    <row r="351" spans="1:1" ht="15.75">
      <c r="A351" s="1"/>
    </row>
    <row r="352" spans="1:1" ht="15.75">
      <c r="A352" s="1"/>
    </row>
    <row r="353" spans="1:1" ht="15.75">
      <c r="A353" s="1"/>
    </row>
    <row r="354" spans="1:1" ht="15.75">
      <c r="A354" s="1"/>
    </row>
    <row r="355" spans="1:1" ht="15.75">
      <c r="A355" s="1"/>
    </row>
    <row r="356" spans="1:1" ht="15.75">
      <c r="A356" s="1"/>
    </row>
    <row r="357" spans="1:1" ht="15.75">
      <c r="A357" s="1"/>
    </row>
    <row r="358" spans="1:1" ht="15.75">
      <c r="A358" s="1"/>
    </row>
    <row r="359" spans="1:1" ht="15.75">
      <c r="A359" s="1"/>
    </row>
    <row r="360" spans="1:1" ht="15.75">
      <c r="A360" s="1"/>
    </row>
    <row r="361" spans="1:1" ht="15.75">
      <c r="A361" s="1"/>
    </row>
    <row r="362" spans="1:1" ht="15.75">
      <c r="A362" s="1"/>
    </row>
    <row r="363" spans="1:1" ht="15.75">
      <c r="A363" s="1"/>
    </row>
    <row r="364" spans="1:1" ht="15.75">
      <c r="A364" s="1"/>
    </row>
    <row r="365" spans="1:1" ht="15.75">
      <c r="A365" s="1"/>
    </row>
    <row r="366" spans="1:1" ht="15.75">
      <c r="A366" s="1"/>
    </row>
    <row r="367" spans="1:1" ht="15.75">
      <c r="A367" s="1"/>
    </row>
    <row r="368" spans="1:1" ht="15.75">
      <c r="A368" s="1"/>
    </row>
    <row r="369" spans="1:1" ht="15.75">
      <c r="A369" s="1"/>
    </row>
    <row r="370" spans="1:1" ht="15.75">
      <c r="A370" s="1"/>
    </row>
    <row r="371" spans="1:1" ht="15.75">
      <c r="A371" s="1"/>
    </row>
    <row r="372" spans="1:1" ht="15.75">
      <c r="A372" s="1"/>
    </row>
    <row r="373" spans="1:1" ht="15.75">
      <c r="A373" s="1"/>
    </row>
    <row r="374" spans="1:1" ht="15.75">
      <c r="A374" s="1"/>
    </row>
    <row r="375" spans="1:1" ht="15.75">
      <c r="A375" s="1"/>
    </row>
    <row r="376" spans="1:1" ht="15.75">
      <c r="A376" s="1"/>
    </row>
    <row r="377" spans="1:1" ht="15.75">
      <c r="A377" s="1"/>
    </row>
    <row r="378" spans="1:1" ht="15.75">
      <c r="A378" s="1"/>
    </row>
    <row r="379" spans="1:1" ht="15.75">
      <c r="A379" s="1"/>
    </row>
    <row r="380" spans="1:1" ht="15.75">
      <c r="A380" s="1"/>
    </row>
    <row r="381" spans="1:1" ht="15.75">
      <c r="A381" s="1"/>
    </row>
    <row r="382" spans="1:1" ht="15.75">
      <c r="A382" s="1"/>
    </row>
    <row r="383" spans="1:1" ht="15.75">
      <c r="A383" s="1"/>
    </row>
    <row r="384" spans="1:1" ht="15.75">
      <c r="A384" s="1"/>
    </row>
    <row r="385" spans="1:1" ht="15.75">
      <c r="A385" s="1"/>
    </row>
    <row r="386" spans="1:1" ht="15.75">
      <c r="A386" s="1"/>
    </row>
    <row r="387" spans="1:1" ht="15.75">
      <c r="A387" s="1"/>
    </row>
    <row r="388" spans="1:1" ht="15.75">
      <c r="A388" s="1"/>
    </row>
    <row r="389" spans="1:1" ht="15.75">
      <c r="A389" s="1"/>
    </row>
    <row r="390" spans="1:1" ht="15.75">
      <c r="A390" s="1"/>
    </row>
    <row r="391" spans="1:1" ht="15.75">
      <c r="A391" s="1"/>
    </row>
    <row r="392" spans="1:1" ht="15.75">
      <c r="A392" s="1"/>
    </row>
    <row r="394" spans="1:1" ht="15.75">
      <c r="A394" s="1"/>
    </row>
    <row r="623" spans="1:1">
      <c r="A623" s="3" t="s">
        <v>0</v>
      </c>
    </row>
  </sheetData>
  <sortState ref="D3:D50">
    <sortCondition ref="D50"/>
  </sortState>
  <conditionalFormatting sqref="D3 D6 D8 D11 D14 D17 D19 D21 D23 D25 D27">
    <cfRule type="cellIs" dxfId="28" priority="13" operator="equal">
      <formula>"WARN"</formula>
    </cfRule>
  </conditionalFormatting>
  <conditionalFormatting sqref="D35 D37 D41 D43 D45 D47 D50">
    <cfRule type="cellIs" dxfId="27" priority="12" operator="equal">
      <formula>"WARN"</formula>
    </cfRule>
  </conditionalFormatting>
  <conditionalFormatting sqref="D53 D55 D57 D59 D61 D63 D65 D67">
    <cfRule type="cellIs" dxfId="26" priority="11" operator="equal">
      <formula>"WARN"</formula>
    </cfRule>
  </conditionalFormatting>
  <conditionalFormatting sqref="D70 D73 D76 D78 D80 D82">
    <cfRule type="cellIs" dxfId="25" priority="10" operator="equal">
      <formula>"WARN"</formula>
    </cfRule>
  </conditionalFormatting>
  <conditionalFormatting sqref="D85 D89 D92 D94 D100 D106 D108">
    <cfRule type="cellIs" dxfId="24" priority="9" operator="equal">
      <formula>"WARN"</formula>
    </cfRule>
  </conditionalFormatting>
  <conditionalFormatting sqref="D110 D112 D114 D116 D118">
    <cfRule type="cellIs" dxfId="23" priority="8" operator="equal">
      <formula>"WARN"</formula>
    </cfRule>
  </conditionalFormatting>
  <conditionalFormatting sqref="D121 D123 D125 D127 D129 D131 D133 D136 D138 D140 D142 D144">
    <cfRule type="cellIs" dxfId="22" priority="7" operator="equal">
      <formula>"WARN"</formula>
    </cfRule>
  </conditionalFormatting>
  <conditionalFormatting sqref="D147 D149 D151">
    <cfRule type="cellIs" dxfId="21" priority="6" operator="equal">
      <formula>"WARN"</formula>
    </cfRule>
  </conditionalFormatting>
  <conditionalFormatting sqref="D154 D156 D162">
    <cfRule type="cellIs" dxfId="20" priority="5" operator="equal">
      <formula>"WARN"</formula>
    </cfRule>
  </conditionalFormatting>
  <conditionalFormatting sqref="D159">
    <cfRule type="cellIs" dxfId="19" priority="4" operator="equal">
      <formula>"WARN"</formula>
    </cfRule>
  </conditionalFormatting>
  <conditionalFormatting sqref="D164 D166 D168 D170 D172">
    <cfRule type="cellIs" dxfId="18" priority="3" operator="equal">
      <formula>"WARN"</formula>
    </cfRule>
  </conditionalFormatting>
  <conditionalFormatting sqref="D175 D177 D179 D183 D186">
    <cfRule type="cellIs" dxfId="17" priority="2" operator="equal">
      <formula>"WARN"</formula>
    </cfRule>
  </conditionalFormatting>
  <conditionalFormatting sqref="D189 D191 D193 D195 D197 D199">
    <cfRule type="cellIs" dxfId="16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first</vt:lpstr>
      <vt:lpstr>temp</vt:lpstr>
      <vt:lpstr>formula-math</vt:lpstr>
      <vt:lpstr>formula-logical</vt:lpstr>
      <vt:lpstr>formula-text</vt:lpstr>
      <vt:lpstr>formula-info</vt:lpstr>
      <vt:lpstr>formula-datetime</vt:lpstr>
      <vt:lpstr>formula-financial</vt:lpstr>
      <vt:lpstr>formula-statistical</vt:lpstr>
      <vt:lpstr>formula-engineering</vt:lpstr>
      <vt:lpstr>formula-notsupported</vt:lpstr>
      <vt:lpstr>formula-custom</vt:lpstr>
      <vt:lpstr>error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2013-04-12T02:01:29Z</dcterms:created>
  <dcterms:modified xsi:type="dcterms:W3CDTF">2013-05-06T06:58:52Z</dcterms:modified>
</cp:coreProperties>
</file>