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MCA" r:id="rId3" sheetId="1" state="visible"/>
  </sheets>
  <definedNames>
    <definedName name="_WO1">#REF!</definedName>
    <definedName name="BL">CMCA!$E$14:$E$14</definedName>
    <definedName name="BW">CMCA!$E$11:$E$11</definedName>
    <definedName name="cellsource.w100">CMCA!$F$21</definedName>
    <definedName name="cellsource.w101">CMCA!$H$21</definedName>
    <definedName name="cellsource.w106">CMCA!$D$22</definedName>
    <definedName name="cellsource.w108">CMCA!$F$22</definedName>
    <definedName name="cellsource.w109">CMCA!$H$22</definedName>
    <definedName name="cellsource.w113">CMCA!$D$28</definedName>
    <definedName name="cellsource.w114">CMCA!$E$28</definedName>
    <definedName name="cellsource.w115">CMCA!$F$28</definedName>
    <definedName name="cellsource.w116">CMCA!$H$28</definedName>
    <definedName name="cellsource.w117">CMCA!$D$29</definedName>
    <definedName name="cellsource.w118">CMCA!$F$29</definedName>
    <definedName name="cellsource.w119">CMCA!$H$29</definedName>
    <definedName name="cellsource.w122">CMCA!$D$31</definedName>
    <definedName name="cellsource.w123">CMCA!$E$31</definedName>
    <definedName name="cellsource.w124">CMCA!$F$31</definedName>
    <definedName name="cellsource.w125">CMCA!$H$31</definedName>
    <definedName name="cellsource.w126">CMCA!$D$32</definedName>
    <definedName name="cellsource.w127">CMCA!$F$32</definedName>
    <definedName name="cellsource.w128">CMCA!$H$32</definedName>
    <definedName name="cellsource.w131">CMCA!$D$34</definedName>
    <definedName name="cellsource.w133">CMCA!$F$34</definedName>
    <definedName name="cellsource.w134">CMCA!$H$34</definedName>
    <definedName name="cellsource.w137">CMCA!$D$36</definedName>
    <definedName name="cellsource.w138">CMCA!$F$36</definedName>
    <definedName name="cellsource.w139">CMCA!$H$36</definedName>
    <definedName name="cellsource.w150">CMCA!$E$19</definedName>
    <definedName name="cellsource.w159">CMCA!$D$40</definedName>
    <definedName name="cellsource.w162">CMCA!$H$40</definedName>
    <definedName name="cellsource.w166">CMCA!$D$42</definedName>
    <definedName name="cellsource.w167">CMCA!$E$42</definedName>
    <definedName name="cellsource.w168">CMCA!$H$42</definedName>
    <definedName name="cellsource.w181">CMCA!$D$45</definedName>
    <definedName name="cellsource.w182">CMCA!$E$45</definedName>
    <definedName name="cellsource.w183">CMCA!$F$45</definedName>
    <definedName name="cellsource.w184">CMCA!$H$45</definedName>
    <definedName name="cellsource.w187">CMCA!$D$46</definedName>
    <definedName name="cellsource.w188">CMCA!$E$46</definedName>
    <definedName name="cellsource.w189">CMCA!$F$46</definedName>
    <definedName name="cellsource.w190">CMCA!$H$46</definedName>
    <definedName name="cellsource.w198">CMCA!$D$49</definedName>
    <definedName name="cellsource.w199">CMCA!$E$49</definedName>
    <definedName name="cellsource.w201">CMCA!$H$49</definedName>
    <definedName name="cellsource.w206">CMCA!$K$17</definedName>
    <definedName name="cellsource.w210">CMCA!$E$32</definedName>
    <definedName name="cellsource.w211">CMCA!$E$36</definedName>
    <definedName name="cellsource.w212">CMCA!$K$11</definedName>
    <definedName name="cellsource.w221">CMCA!$K$13</definedName>
    <definedName name="cellsource.w237">CMCA!$K$21</definedName>
    <definedName name="cellsource.w241">CMCA!$K$22</definedName>
    <definedName name="cellsource.w244">CMCA!$K$28</definedName>
    <definedName name="cellsource.w248">CMCA!$K$31</definedName>
    <definedName name="cellsource.w250">CMCA!$K$32</definedName>
    <definedName name="cellsource.w253">CMCA!$K$34</definedName>
    <definedName name="cellsource.w264">CMCA!$K$40</definedName>
    <definedName name="cellsource.w274">CMCA!$K$45</definedName>
    <definedName name="cellsource.w278">CMCA!$K$46</definedName>
    <definedName name="cellsource.w282">CMCA!$K$49</definedName>
    <definedName name="cellsource.w284">CMCA!$K$19</definedName>
    <definedName name="cellsource.w286">CMCA!$D$14</definedName>
    <definedName name="cellsource.w287">CMCA!$D$24</definedName>
    <definedName name="cellsource.w288">CMCA!$D$39</definedName>
    <definedName name="cellsource.w289">CMCA!$D$47</definedName>
    <definedName name="cellsource.w291">CMCA!$D$25</definedName>
    <definedName name="cellsource.w296">CMCA!$D$55</definedName>
    <definedName name="cellsource.w304">CMCA!$K$47</definedName>
    <definedName name="cellsource.w351">CMCA!$G$11</definedName>
    <definedName name="cellsource.w354">CMCA!$G$13</definedName>
    <definedName name="cellsource.w355">CMCA!$G$14</definedName>
    <definedName name="cellsource.w357">CMCA!$G$16</definedName>
    <definedName name="cellsource.w358">CMCA!$G$17</definedName>
    <definedName name="cellsource.w364">CMCA!$G$19</definedName>
    <definedName name="cellsource.w366">CMCA!$G$20</definedName>
    <definedName name="cellsource.w367">CMCA!$G$21</definedName>
    <definedName name="cellsource.w369">CMCA!$G$22</definedName>
    <definedName name="cellsource.w371">CMCA!$G$24</definedName>
    <definedName name="cellsource.w372">CMCA!$G$28</definedName>
    <definedName name="cellsource.w373">CMCA!$G$29</definedName>
    <definedName name="cellsource.w374">CMCA!$G$31</definedName>
    <definedName name="cellsource.w375">CMCA!$G$32</definedName>
    <definedName name="cellsource.w377">CMCA!$G$34</definedName>
    <definedName name="cellsource.w378">CMCA!$G$36</definedName>
    <definedName name="cellsource.w381">CMCA!$G$39</definedName>
    <definedName name="cellsource.w384">CMCA!$G$40</definedName>
    <definedName name="cellsource.w386">CMCA!$G$42</definedName>
    <definedName name="cellsource.w389">CMCA!$G$45</definedName>
    <definedName name="cellsource.w390">CMCA!$G$46</definedName>
    <definedName name="cellsource.w392">CMCA!$G$47</definedName>
    <definedName name="cellsource.w394">CMCA!$G$49</definedName>
    <definedName name="cellsource.w395">CMCA!$G$55</definedName>
    <definedName name="cellsource.w397">CMCA!$F$14</definedName>
    <definedName name="cellsource.w398">CMCA!$E$14</definedName>
    <definedName name="cellsource.w400">CMCA!$K$14</definedName>
    <definedName name="cellsource.w401">CMCA!$H$14</definedName>
    <definedName name="cellsource.w402">CMCA!$F$47</definedName>
    <definedName name="cellsource.w403">CMCA!$E$47</definedName>
    <definedName name="cellsource.w404">CMCA!$H$47</definedName>
    <definedName name="cellsource.w405">CMCA!$E$24</definedName>
    <definedName name="cellsource.w407">CMCA!$H$24</definedName>
    <definedName name="cellsource.w408">CMCA!$E$39</definedName>
    <definedName name="cellsource.w409">CMCA!$F$39</definedName>
    <definedName name="cellsource.w411">CMCA!$K$39</definedName>
    <definedName name="cellsource.w413">CMCA!$K$24</definedName>
    <definedName name="cellsource.w418">CMCA!$H$39</definedName>
    <definedName name="cellsource.w420">#REF!</definedName>
    <definedName name="cellsource.w421">CMCA!$D$27</definedName>
    <definedName name="cellsource.w432">CMCA!$D$18</definedName>
    <definedName name="cellsource.w434">CMCA!$G$18</definedName>
    <definedName name="cellsource.w435">CMCA!$H$18</definedName>
    <definedName name="cellsource.w44">CMCA!$D$11</definedName>
    <definedName name="cellsource.w440">CMCA!$D$23</definedName>
    <definedName name="cellsource.w442">CMCA!$F$23</definedName>
    <definedName name="cellsource.w443">CMCA!$G$23</definedName>
    <definedName name="cellsource.w444">CMCA!$H$23</definedName>
    <definedName name="cellsource.w445">CMCA!$K$23</definedName>
    <definedName name="cellsource.w45">CMCA!$F$11</definedName>
    <definedName name="cellsource.w46">CMCA!$H$11</definedName>
    <definedName name="cellsource.w469">CMCA!$F$24</definedName>
    <definedName name="cellsource.w470">CMCA!$D$12</definedName>
    <definedName name="cellsource.w471">CMCA!$E$12</definedName>
    <definedName name="cellsource.w473">CMCA!$G$12</definedName>
    <definedName name="cellsource.w474">CMCA!$H$12</definedName>
    <definedName name="cellsource.w475">CMCA!$K$12</definedName>
    <definedName name="cellsource.w477">#REF!</definedName>
    <definedName name="cellsource.w478">#REF!</definedName>
    <definedName name="cellsource.w479">CMCA!$H$27</definedName>
    <definedName name="cellsource.w480">CMCA!$G$27</definedName>
    <definedName name="cellsource.w481">CMCA!$F$25</definedName>
    <definedName name="cellsource.w484">CMCA!$F$18</definedName>
    <definedName name="cellsource.w486">CMCA!$D$50</definedName>
    <definedName name="cellsource.w487">CMCA!$G$25</definedName>
    <definedName name="cellsource.w500">CMCA!$D$43</definedName>
    <definedName name="cellsource.w501">CMCA!$E$43</definedName>
    <definedName name="cellsource.w503">CMCA!$G$43</definedName>
    <definedName name="cellsource.w504">CMCA!$H$43</definedName>
    <definedName name="cellsource.w510">CMCA!$K$43</definedName>
    <definedName name="cellsource.w514">CMCA!$F$12</definedName>
    <definedName name="cellsource.w520">CMCA!$H$25</definedName>
    <definedName name="cellsource.w521">CMCA!$D$35</definedName>
    <definedName name="cellsource.w526">CMCA!$E$25</definedName>
    <definedName name="cellsource.w527">CMCA!$E$11</definedName>
    <definedName name="cellsource.w528">CMCA!$E$16</definedName>
    <definedName name="cellsource.w529">CMCA!$E$22</definedName>
    <definedName name="cellsource.w530">CMCA!$E$34</definedName>
    <definedName name="cellsource.w531">CMCA!$G$46</definedName>
    <definedName name="cellsource.w534">CMCA!$K$16</definedName>
    <definedName name="cellsource.w538">CMCA!$K$25</definedName>
    <definedName name="cellsource.w540">CMCA!$F$14</definedName>
    <definedName name="cellsource.w541">CMCA!$D$41</definedName>
    <definedName name="cellsource.w542">CMCA!$H$41</definedName>
    <definedName name="cellsource.w543">CMCA!$D$10</definedName>
    <definedName name="cellsource.w544">CMCA!$G$10</definedName>
    <definedName name="cellsource.w545">CMCA!$D$38</definedName>
    <definedName name="cellsource.w547">CMCA!$G$44</definedName>
    <definedName name="cellsource.w548">CMCA!$H$44</definedName>
    <definedName name="cellsource.w55">CMCA!$D$13</definedName>
    <definedName name="cellsource.w551">CMCA!$F$44</definedName>
    <definedName name="cellsource.w552">CMCA!$D$44</definedName>
    <definedName name="cellsource.w553">CMCA!$D$33</definedName>
    <definedName name="cellsource.w554">CMCA!$G$33</definedName>
    <definedName name="cellsource.w555">CMCA!$H$33</definedName>
    <definedName name="cellsource.w556">#REF!</definedName>
    <definedName name="cellsource.w557">CMCA!$D$15</definedName>
    <definedName name="cellsource.w558">CMCA!$D$51</definedName>
    <definedName name="cellsource.w559">CMCA!$D$52</definedName>
    <definedName name="cellsource.w56">CMCA!$E$13</definedName>
    <definedName name="cellsource.w560">#REF!</definedName>
    <definedName name="cellsource.w561">CMCA!$F$15</definedName>
    <definedName name="cellsource.w562">CMCA!$F$51</definedName>
    <definedName name="cellsource.w563">CMCA!$F$52</definedName>
    <definedName name="cellsource.w564">CMCA!$G$15</definedName>
    <definedName name="cellsource.w565">CMCA!$G$51</definedName>
    <definedName name="cellsource.w566">CMCA!$G$52</definedName>
    <definedName name="cellsource.w567">#REF!</definedName>
    <definedName name="cellsource.w568">CMCA!$H$15</definedName>
    <definedName name="cellsource.w569">CMCA!$H$51</definedName>
    <definedName name="cellsource.w57">CMCA!$H$13</definedName>
    <definedName name="cellsource.w570">CMCA!$H$52</definedName>
    <definedName name="cellsource.w571">CMCA!$E$15</definedName>
    <definedName name="cellsource.w572">CMCA!$K$15</definedName>
    <definedName name="cellsource.w573">CMCA!$E$52</definedName>
    <definedName name="cellsource.w574">#REF!</definedName>
    <definedName name="cellsource.w575">CMCA!$K$52</definedName>
    <definedName name="cellsource.w576">CMCA!$D$54</definedName>
    <definedName name="cellsource.w577">CMCA!$E$54</definedName>
    <definedName name="cellsource.w578">CMCA!$F$54</definedName>
    <definedName name="cellsource.w579">CMCA!$G$54</definedName>
    <definedName name="cellsource.w580">CMCA!$H$54</definedName>
    <definedName name="cellsource.w581">CMCA!$K$54</definedName>
    <definedName name="cellsource.w582">CMCA!$D$37</definedName>
    <definedName name="cellsource.w583">CMCA!$F$37</definedName>
    <definedName name="cellsource.w584">CMCA!$G$37</definedName>
    <definedName name="cellsource.w585">CMCA!$H$37</definedName>
    <definedName name="cellsource.w586">CMCA!$F$38</definedName>
    <definedName name="cellsource.w587">CMCA!$G$38</definedName>
    <definedName name="cellsource.w588">CMCA!$H$38</definedName>
    <definedName name="cellsource.w593">CMCA!$F$40</definedName>
    <definedName name="cellsource.w61">CMCA!$D$16</definedName>
    <definedName name="cellsource.w62">CMCA!$F$16</definedName>
    <definedName name="cellsource.w63">CMCA!$H$16</definedName>
    <definedName name="cellsource.w64">CMCA!$D$17</definedName>
    <definedName name="cellsource.w65">CMCA!$E$17</definedName>
    <definedName name="cellsource.w66">CMCA!$F$17</definedName>
    <definedName name="cellsource.w67">CMCA!$H$17</definedName>
    <definedName name="cellsource.w88">CMCA!$D$19</definedName>
    <definedName name="cellsource.w89">CMCA!$F$19</definedName>
    <definedName name="cellsource.w90">CMCA!$H$19</definedName>
    <definedName name="cellsource.w95">CMCA!$D$20</definedName>
    <definedName name="cellsource.w96">CMCA!$F$20</definedName>
    <definedName name="cellsource.w97">CMCA!$H$20</definedName>
    <definedName name="cellsource.w98">CMCA!$D$21</definedName>
    <definedName name="cellsource.w99">CMCA!$E$21</definedName>
    <definedName name="COMERICA">CMCA!$C$6:$C$62</definedName>
    <definedName name="DETAIL">CMCA!$A$10:$I$77</definedName>
    <definedName name="FIVE">CMCA!$I$10:$I$46</definedName>
    <definedName name="FOUR">CMCA!$F$10:$F$58</definedName>
    <definedName name="FR">#REF!</definedName>
    <definedName name="FRD">#REF!</definedName>
    <definedName name="FRIDAY">CMCA!$M$5:$M$70</definedName>
    <definedName name="INT">#REF!</definedName>
    <definedName name="MO">#REF!</definedName>
    <definedName name="MOD">#REF!</definedName>
    <definedName name="MS">CMCA!$E$28:$E$28</definedName>
    <definedName name="ONE">CMCA!$E$10:$E$58</definedName>
    <definedName name="PULLDOWN">CMCA!$D$92:$I$96</definedName>
    <definedName name="SH">CMCA!$E$13:$E$13</definedName>
    <definedName name="SIX">CMCA!$I$49:$I$58</definedName>
    <definedName name="SORTER">CMCA!$M$10:$M$71</definedName>
    <definedName name="SOURCE">CMCA!$D$10:$I$62</definedName>
    <definedName name="SR">CMCA!$E$19:$E$19</definedName>
    <definedName name="ST">CMCA!$A$19:$A$19</definedName>
    <definedName name="SV">CMCA!$E$18:$E$18</definedName>
    <definedName name="T">CMCA!$C$205:$C$205</definedName>
    <definedName name="TCI">CMCA!$E$42:$E$42</definedName>
    <definedName name="TH">#REF!</definedName>
    <definedName name="THD">#REF!</definedName>
    <definedName name="TITLES">CMCA!$A$6:$A$62</definedName>
    <definedName name="TO">CMCA!$E$12:$E$12</definedName>
    <definedName name="TOTAL">#REF!</definedName>
    <definedName name="TOTAL2">#REF!</definedName>
    <definedName name="TOTAL2T">#REF!</definedName>
    <definedName name="TOTALT">#REF!</definedName>
    <definedName name="TRANS">#REF!</definedName>
    <definedName name="TRANS2">#REF!</definedName>
    <definedName name="TRG">CMCA!$A$40:$A$40</definedName>
    <definedName name="TTC">#REF!</definedName>
    <definedName name="TU">#REF!</definedName>
    <definedName name="TUD">#REF!</definedName>
    <definedName name="WD">CMCA!$A$17:$A$17</definedName>
    <definedName name="WDF">CMCA!$E$17:$E$17</definedName>
    <definedName name="WE">#REF!</definedName>
    <definedName name="WED">#REF!</definedName>
    <definedName name="WO">#REF!</definedName>
    <definedName name="WONSORT">#REF!</definedName>
    <definedName name="WOSORT">#REF!</definedName>
  </definedNames>
</workbook>
</file>

<file path=xl/sharedStrings.xml><?xml version="1.0" encoding="utf-8"?>
<sst xmlns="http://schemas.openxmlformats.org/spreadsheetml/2006/main" count="256" uniqueCount="125">
  <si>
    <t/>
  </si>
  <si>
    <t>DAILY CASH MANAGEMENT</t>
  </si>
  <si>
    <t>COMERICA BANK ENTERED INFORMATION</t>
  </si>
  <si>
    <t>Fidelity</t>
  </si>
  <si>
    <t>PLUS</t>
  </si>
  <si>
    <t>LESS</t>
  </si>
  <si>
    <t>INTERIM</t>
  </si>
  <si>
    <t>Deposits</t>
  </si>
  <si>
    <t>1076012655</t>
  </si>
  <si>
    <t>NAME OF COMPANY</t>
  </si>
  <si>
    <t>Fund 2013</t>
  </si>
  <si>
    <t>COMERICA</t>
  </si>
  <si>
    <t>Opening</t>
  </si>
  <si>
    <t>Immediate</t>
  </si>
  <si>
    <t>Controlled</t>
  </si>
  <si>
    <t>Incoming</t>
  </si>
  <si>
    <t>Outgoing</t>
  </si>
  <si>
    <t>CASH</t>
  </si>
  <si>
    <t>Available</t>
  </si>
  <si>
    <t>TAUBMAN</t>
  </si>
  <si>
    <t>&amp; Acct #</t>
  </si>
  <si>
    <t>Account  #</t>
  </si>
  <si>
    <t>Balance</t>
  </si>
  <si>
    <t>Lockbox</t>
  </si>
  <si>
    <t>Disburse</t>
  </si>
  <si>
    <t>ACH/WIRE</t>
  </si>
  <si>
    <t>ACH/ WIRE</t>
  </si>
  <si>
    <t>POSITION 1</t>
  </si>
  <si>
    <t>Tomorrow</t>
  </si>
  <si>
    <t>CLEARING</t>
  </si>
  <si>
    <t>Beverly Garage Receipts</t>
  </si>
  <si>
    <t>1852-401049</t>
  </si>
  <si>
    <t>Beverly Unreserved</t>
  </si>
  <si>
    <t>1039-119852</t>
  </si>
  <si>
    <t>TRG Charlotte</t>
  </si>
  <si>
    <t>1852-096518</t>
  </si>
  <si>
    <t>Charleston</t>
  </si>
  <si>
    <t>1076-036373</t>
  </si>
  <si>
    <t>Dolphin Mall Assoc LP</t>
  </si>
  <si>
    <t>1851-232452</t>
  </si>
  <si>
    <t>El Paseo Village</t>
  </si>
  <si>
    <t>1852-829355</t>
  </si>
  <si>
    <t>Fair Oaks Unreserved</t>
  </si>
  <si>
    <t>1850-887512</t>
  </si>
  <si>
    <t>Fairlane Town Center</t>
  </si>
  <si>
    <t>1076-012861</t>
  </si>
  <si>
    <t>Plaza Internacional (SCFS)</t>
  </si>
  <si>
    <t>1853-143590</t>
  </si>
  <si>
    <t>Rich Taubman (Stamford)</t>
  </si>
  <si>
    <t>1076-015070</t>
  </si>
  <si>
    <t>Stamford Garage</t>
  </si>
  <si>
    <t>1076-022332</t>
  </si>
  <si>
    <t>Short Hills Assoc LLC</t>
  </si>
  <si>
    <t>1076-014099</t>
  </si>
  <si>
    <t>Sunvalley Shopping Ctr LLC</t>
  </si>
  <si>
    <t>1076-016581</t>
  </si>
  <si>
    <t>Stony Point Fashion Park</t>
  </si>
  <si>
    <t>1851-623536</t>
  </si>
  <si>
    <t>Tampa Westshore Assoc LP</t>
  </si>
  <si>
    <t>1851-232429</t>
  </si>
  <si>
    <t>Partridge Fashion Park</t>
  </si>
  <si>
    <t>1852-090933</t>
  </si>
  <si>
    <t>Taub Co Mgmt IV Inc</t>
  </si>
  <si>
    <t>1851-117257</t>
  </si>
  <si>
    <t>Taubman Auburn Hills</t>
  </si>
  <si>
    <t>1850-805597</t>
  </si>
  <si>
    <t>Taubman Centers</t>
  </si>
  <si>
    <t>1039-027196</t>
  </si>
  <si>
    <t>Taubman Benderson</t>
  </si>
  <si>
    <t>1852-978913</t>
  </si>
  <si>
    <t>Taubman Cherry Ck SC LLC</t>
  </si>
  <si>
    <t>1076-031606</t>
  </si>
  <si>
    <t>Taubman Company LP</t>
  </si>
  <si>
    <t>01</t>
  </si>
  <si>
    <t>1076-138294</t>
  </si>
  <si>
    <t>Taubman CLEARING/FIDELITY</t>
  </si>
  <si>
    <t>1076-012655</t>
  </si>
  <si>
    <t>MacArthur Shopping Ctr LLC</t>
  </si>
  <si>
    <t>1850-605542</t>
  </si>
  <si>
    <t>Atlantic Pier Signage</t>
  </si>
  <si>
    <t>1852-220506</t>
  </si>
  <si>
    <t>Taubman Realty Group</t>
  </si>
  <si>
    <t>1076-034030</t>
  </si>
  <si>
    <t>Prestige Outlets Chesterfield</t>
  </si>
  <si>
    <t>1852-879616</t>
  </si>
  <si>
    <t>Plaza Internacional (DEV)</t>
  </si>
  <si>
    <t>1852-880085</t>
  </si>
  <si>
    <t xml:space="preserve">TJ Palm Beach </t>
  </si>
  <si>
    <t>1851-232437</t>
  </si>
  <si>
    <t>TRG IMP</t>
  </si>
  <si>
    <t>1852-636198</t>
  </si>
  <si>
    <t>TTC Payroll</t>
  </si>
  <si>
    <t>1076-138484</t>
  </si>
  <si>
    <t>TTC Health &amp; Dental</t>
  </si>
  <si>
    <t>05</t>
  </si>
  <si>
    <t>1851-023380</t>
  </si>
  <si>
    <t>Taubman Cherry Ck LP</t>
  </si>
  <si>
    <t>1852-187945</t>
  </si>
  <si>
    <t>TRG Development</t>
  </si>
  <si>
    <t>1851-021350</t>
  </si>
  <si>
    <t>Twelve Oaks Mall LP</t>
  </si>
  <si>
    <t>1076-014073</t>
  </si>
  <si>
    <t>Westfarms Mall LLC</t>
  </si>
  <si>
    <t>1076-015021</t>
  </si>
  <si>
    <t>Willow Bend SC LP</t>
  </si>
  <si>
    <t>1851-232445</t>
  </si>
  <si>
    <t>TB Mall at UTC</t>
  </si>
  <si>
    <t>1853-010210</t>
  </si>
  <si>
    <t>Woodland</t>
  </si>
  <si>
    <t>1076-014081</t>
  </si>
  <si>
    <t>Woodland Investment  Assoc</t>
  </si>
  <si>
    <t>1852-169430</t>
  </si>
  <si>
    <t xml:space="preserve">The Gardens on El Paseo </t>
  </si>
  <si>
    <t>1852-829348</t>
  </si>
  <si>
    <t>Green Hills MALL</t>
  </si>
  <si>
    <t>1852-829322</t>
  </si>
  <si>
    <t>City Creek Center Assoc.</t>
  </si>
  <si>
    <t>1852-453354</t>
  </si>
  <si>
    <t>Lakeside/Novi Land</t>
  </si>
  <si>
    <t>1076-102027</t>
  </si>
  <si>
    <t xml:space="preserve">Taubman Office </t>
  </si>
  <si>
    <t>1853-008801</t>
  </si>
  <si>
    <t>Taubman Puerto Rico</t>
  </si>
  <si>
    <t>1853-054847</t>
  </si>
  <si>
    <t xml:space="preserve">          SUB-TOTAL</t>
  </si>
</sst>
</file>

<file path=xl/styles.xml><?xml version="1.0" encoding="utf-8"?>
<styleSheet xmlns="http://schemas.openxmlformats.org/spreadsheetml/2006/main">
  <numFmts count="1">
    <numFmt numFmtId="165" formatCode="M/dd/yyyy hh:mm"/>
  </numFmts>
  <fonts count="5">
    <font>
      <name val="Arial MT"/>
      <sz val="10.0"/>
      <color rgb="FF000000"/>
      <u val="none"/>
    </font>
    <font>
      <name val="Arial MT"/>
      <sz val="6.0"/>
      <color rgb="FF000000"/>
      <u val="none"/>
    </font>
    <font>
      <name val="Arial MT"/>
      <sz val="10.0"/>
      <b val="true"/>
      <color rgb="FF000000"/>
      <u val="none"/>
    </font>
    <font>
      <name val="Arial MT"/>
      <sz val="12.0"/>
      <b val="true"/>
      <color rgb="FF000000"/>
      <u val="none"/>
    </font>
    <font>
      <name val="Arial MT"/>
      <sz val="12.0"/>
      <color rgb="FF000000"/>
      <u val="none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hair">
        <color rgb="FF000000"/>
      </bottom>
    </border>
    <border>
      <left style="thin">
        <color rgb="FF000000"/>
      </left>
      <right/>
      <top/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/>
      <right style="thin">
        <color rgb="FF000000"/>
      </right>
      <top/>
      <bottom style="hair">
        <color rgb="FF000000"/>
      </bottom>
    </border>
    <border>
      <left/>
      <right/>
      <top/>
      <bottom style="hair">
        <color rgb="FF000000"/>
      </bottom>
    </border>
    <border>
      <left style="thin">
        <color rgb="FF000000"/>
      </left>
      <right style="medium">
        <color rgb="FF000000"/>
      </right>
      <top/>
      <bottom style="hair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thin">
        <color rgb="FF000000"/>
      </right>
      <top/>
      <bottom style="hair">
        <color rgb="FF000000"/>
      </bottom>
    </border>
    <border>
      <left style="medium">
        <color rgb="FF000000"/>
      </left>
      <right/>
      <top style="medium">
        <color rgb="FFDDDDDD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/>
      <bottom style="double">
        <color rgb="FF000000"/>
      </bottom>
    </border>
  </borders>
  <cellStyleXfs count="1">
    <xf numFmtId="39" fontId="0" fillId="2" borderId="0"/>
  </cellStyleXfs>
  <cellXfs count="80">
    <xf numFmtId="39" fontId="0" fillId="2" borderId="0" xfId="0"/>
    <xf numFmtId="39" fontId="1" fillId="0" borderId="0" xfId="0" applyFill="true" applyFont="true"/>
    <xf numFmtId="39" fontId="0" fillId="2" borderId="0" xfId="0" applyAlignment="true">
      <alignment horizontal="right"/>
    </xf>
    <xf numFmtId="39" fontId="2" fillId="0" borderId="0" xfId="0" applyFill="true" applyFont="true"/>
    <xf numFmtId="39" fontId="3" fillId="0" borderId="0" xfId="0" applyFill="true" applyFont="true"/>
    <xf numFmtId="39" fontId="0" fillId="2" borderId="0" xfId="0"/>
    <xf numFmtId="165" fontId="4" fillId="0" borderId="1" xfId="0" applyBorder="true" applyFill="true" applyAlignment="true" applyNumberFormat="true" applyFont="true">
      <alignment horizontal="center"/>
    </xf>
    <xf numFmtId="39" fontId="0" fillId="0" borderId="2" xfId="0" applyBorder="true" applyFill="true" applyAlignment="true">
      <alignment horizontal="centerContinuous"/>
    </xf>
    <xf numFmtId="39" fontId="0" fillId="0" borderId="3" xfId="0" applyBorder="true" applyFill="true" applyAlignment="true">
      <alignment horizontal="right"/>
    </xf>
    <xf numFmtId="39" fontId="0" fillId="0" borderId="2" xfId="0" applyBorder="true" applyFill="true" applyAlignment="true">
      <alignment horizontal="right"/>
    </xf>
    <xf numFmtId="39" fontId="0" fillId="0" borderId="4" xfId="0" applyBorder="true" applyFill="true" applyAlignment="true">
      <alignment horizontal="right"/>
    </xf>
    <xf numFmtId="39" fontId="0" fillId="0" borderId="5" xfId="0" applyBorder="true" applyFill="true"/>
    <xf numFmtId="39" fontId="0" fillId="0" borderId="5" xfId="0" applyBorder="true" applyFill="true" applyAlignment="true">
      <alignment horizontal="centerContinuous"/>
    </xf>
    <xf numFmtId="39" fontId="0" fillId="0" borderId="5" xfId="0" applyBorder="true" applyFill="true" applyAlignment="true">
      <alignment horizontal="center"/>
    </xf>
    <xf numFmtId="39" fontId="0" fillId="0" borderId="5" xfId="0" applyBorder="true" applyFill="true" applyAlignment="true">
      <alignment horizontal="center"/>
    </xf>
    <xf numFmtId="39" fontId="0" fillId="2" borderId="0" xfId="0" applyAlignment="true">
      <alignment horizontal="center"/>
    </xf>
    <xf numFmtId="39" fontId="0" fillId="0" borderId="6" xfId="0" applyBorder="true" applyFill="true" applyAlignment="true">
      <alignment horizontal="center"/>
    </xf>
    <xf numFmtId="39" fontId="0" fillId="0" borderId="6" xfId="0" applyBorder="true" applyFill="true" applyAlignment="true">
      <alignment horizontal="center"/>
    </xf>
    <xf numFmtId="39" fontId="0" fillId="0" borderId="7" xfId="0" applyBorder="true" applyFill="true"/>
    <xf numFmtId="39" fontId="0" fillId="0" borderId="8" xfId="0" applyBorder="true" applyFill="true" applyAlignment="true">
      <alignment horizontal="centerContinuous"/>
    </xf>
    <xf numFmtId="39" fontId="0" fillId="0" borderId="7" xfId="0" applyBorder="true" applyFill="true" applyAlignment="true">
      <alignment horizontal="center"/>
    </xf>
    <xf numFmtId="39" fontId="0" fillId="0" borderId="9" xfId="0" applyBorder="true" applyFill="true" applyAlignment="true">
      <alignment horizontal="center"/>
    </xf>
    <xf numFmtId="39" fontId="0" fillId="0" borderId="9" xfId="0" applyBorder="true" applyFill="true" applyAlignment="true">
      <alignment horizontal="center"/>
    </xf>
    <xf numFmtId="39" fontId="0" fillId="0" borderId="10" xfId="0" applyBorder="true" applyFill="true"/>
    <xf numFmtId="39" fontId="0" fillId="0" borderId="11" xfId="0" applyBorder="true" applyFill="true"/>
    <xf numFmtId="39" fontId="0" fillId="0" borderId="11" xfId="0" applyBorder="true" applyFill="true" applyAlignment="true">
      <alignment horizontal="center"/>
    </xf>
    <xf numFmtId="39" fontId="0" fillId="0" borderId="8" xfId="0" applyBorder="true" applyFill="true" applyAlignment="true">
      <alignment horizontal="center"/>
    </xf>
    <xf numFmtId="39" fontId="0" fillId="0" borderId="11" xfId="0" applyBorder="true" applyFill="true" applyAlignment="true">
      <alignment horizontal="center"/>
    </xf>
    <xf numFmtId="39" fontId="0" fillId="0" borderId="12" xfId="0" applyBorder="true" applyFill="true"/>
    <xf numFmtId="39" fontId="0" fillId="2" borderId="12" xfId="0" applyBorder="true" applyAlignment="true">
      <alignment horizontal="center"/>
    </xf>
    <xf numFmtId="39" fontId="0" fillId="2" borderId="13" xfId="0" applyBorder="true" applyAlignment="true">
      <alignment horizontal="center"/>
    </xf>
    <xf numFmtId="39" fontId="0" fillId="0" borderId="14" xfId="0" applyBorder="true" applyFill="true" applyAlignment="true">
      <alignment horizontal="center"/>
    </xf>
    <xf numFmtId="39" fontId="0" fillId="0" borderId="0" xfId="0" applyFill="true" applyAlignment="true">
      <alignment horizontal="center"/>
    </xf>
    <xf numFmtId="39" fontId="0" fillId="2" borderId="14" xfId="0" applyBorder="true"/>
    <xf numFmtId="39" fontId="0" fillId="0" borderId="13" xfId="0" applyBorder="true" applyFill="true"/>
    <xf numFmtId="39" fontId="0" fillId="0" borderId="15" xfId="0" applyBorder="true" applyFill="true"/>
    <xf numFmtId="3" fontId="0" fillId="0" borderId="16" xfId="0" applyBorder="true" applyFill="true" applyAlignment="true" applyNumberFormat="true">
      <alignment horizontal="center"/>
    </xf>
    <xf numFmtId="39" fontId="0" fillId="0" borderId="17" xfId="0" applyBorder="true" applyFill="true" applyAlignment="true">
      <alignment horizontal="center"/>
    </xf>
    <xf numFmtId="39" fontId="0" fillId="0" borderId="18" xfId="0" applyBorder="true" applyFill="true" applyAlignment="true">
      <alignment horizontal="right"/>
    </xf>
    <xf numFmtId="39" fontId="0" fillId="0" borderId="19" xfId="0" applyBorder="true" applyFill="true" applyAlignment="true">
      <alignment horizontal="right"/>
    </xf>
    <xf numFmtId="39" fontId="0" fillId="0" borderId="20" xfId="0" applyBorder="true" applyFill="true" applyAlignment="true">
      <alignment horizontal="right"/>
    </xf>
    <xf numFmtId="39" fontId="0" fillId="2" borderId="13" xfId="0" applyBorder="true" applyAlignment="true">
      <alignment horizontal="right"/>
    </xf>
    <xf numFmtId="39" fontId="0" fillId="0" borderId="17" xfId="0" applyBorder="true" applyFill="true" applyAlignment="true">
      <alignment horizontal="right"/>
    </xf>
    <xf numFmtId="39" fontId="0" fillId="0" borderId="18" xfId="0" applyBorder="true" applyFill="true" applyAlignment="true">
      <alignment horizontal="right"/>
    </xf>
    <xf numFmtId="3" fontId="0" fillId="0" borderId="21" xfId="0" applyBorder="true" applyFill="true" applyAlignment="true" applyNumberFormat="true">
      <alignment horizontal="center"/>
    </xf>
    <xf numFmtId="39" fontId="0" fillId="0" borderId="7" xfId="0" applyBorder="true" applyFill="true" applyAlignment="true">
      <alignment horizontal="right"/>
    </xf>
    <xf numFmtId="39" fontId="0" fillId="0" borderId="0" xfId="0" applyFill="true" applyAlignment="true">
      <alignment horizontal="right"/>
    </xf>
    <xf numFmtId="39" fontId="0" fillId="0" borderId="22" xfId="0" applyBorder="true" applyFill="true" applyAlignment="true">
      <alignment horizontal="right"/>
    </xf>
    <xf numFmtId="3" fontId="0" fillId="0" borderId="12" xfId="0" applyBorder="true" applyFill="true" applyAlignment="true" applyNumberFormat="true">
      <alignment horizontal="center"/>
    </xf>
    <xf numFmtId="39" fontId="0" fillId="2" borderId="12" xfId="0" applyBorder="true" applyAlignment="true">
      <alignment horizontal="right"/>
    </xf>
    <xf numFmtId="3" fontId="0" fillId="0" borderId="16" xfId="0" applyBorder="true" applyFill="true" applyAlignment="true" applyNumberFormat="true">
      <alignment horizontal="center"/>
    </xf>
    <xf numFmtId="39" fontId="0" fillId="0" borderId="17" xfId="0" applyBorder="true" applyFill="true" applyAlignment="true">
      <alignment horizontal="center"/>
    </xf>
    <xf numFmtId="39" fontId="0" fillId="0" borderId="18" xfId="0" applyBorder="true" applyFill="true" applyAlignment="true">
      <alignment horizontal="right"/>
    </xf>
    <xf numFmtId="39" fontId="0" fillId="0" borderId="18" xfId="0" applyBorder="true" applyFill="true" applyAlignment="true">
      <alignment horizontal="right"/>
    </xf>
    <xf numFmtId="39" fontId="0" fillId="0" borderId="19" xfId="0" applyBorder="true" applyFill="true" applyAlignment="true">
      <alignment horizontal="right"/>
    </xf>
    <xf numFmtId="39" fontId="0" fillId="0" borderId="15" xfId="0" applyBorder="true" applyFill="true" applyAlignment="true">
      <alignment horizontal="right"/>
    </xf>
    <xf numFmtId="39" fontId="0" fillId="0" borderId="18" xfId="0" applyBorder="true" applyFill="true" applyAlignment="true">
      <alignment horizontal="center"/>
    </xf>
    <xf numFmtId="39" fontId="0" fillId="0" borderId="0" xfId="0" applyFill="true" applyAlignment="true">
      <alignment horizontal="right"/>
    </xf>
    <xf numFmtId="39" fontId="0" fillId="0" borderId="23" xfId="0" applyBorder="true" applyFill="true"/>
    <xf numFmtId="3" fontId="0" fillId="0" borderId="24" xfId="0" applyBorder="true" applyFill="true" applyAlignment="true" applyNumberFormat="true">
      <alignment horizontal="center"/>
    </xf>
    <xf numFmtId="39" fontId="0" fillId="0" borderId="25" xfId="0" applyBorder="true" applyFill="true" applyAlignment="true">
      <alignment horizontal="center"/>
    </xf>
    <xf numFmtId="39" fontId="0" fillId="0" borderId="26" xfId="0" applyBorder="true" applyFill="true" applyAlignment="true">
      <alignment horizontal="right"/>
    </xf>
    <xf numFmtId="39" fontId="0" fillId="0" borderId="14" xfId="0" applyBorder="true" applyFill="true" applyAlignment="true">
      <alignment horizontal="right"/>
    </xf>
    <xf numFmtId="3" fontId="0" fillId="0" borderId="21" xfId="0" applyBorder="true" applyFill="true" applyAlignment="true" applyNumberFormat="true">
      <alignment horizontal="center"/>
    </xf>
    <xf numFmtId="39" fontId="0" fillId="0" borderId="27" xfId="0" applyBorder="true" applyFill="true"/>
    <xf numFmtId="39" fontId="0" fillId="0" borderId="28" xfId="0" applyBorder="true" applyFill="true" applyAlignment="true">
      <alignment horizontal="center"/>
    </xf>
    <xf numFmtId="39" fontId="0" fillId="0" borderId="9" xfId="0" applyBorder="true" applyFill="true" applyAlignment="true">
      <alignment horizontal="right"/>
    </xf>
    <xf numFmtId="39" fontId="0" fillId="2" borderId="29" xfId="0" applyBorder="true"/>
    <xf numFmtId="39" fontId="0" fillId="0" borderId="30" xfId="0" applyBorder="true" applyFill="true" applyAlignment="true">
      <alignment horizontal="center"/>
    </xf>
    <xf numFmtId="39" fontId="0" fillId="0" borderId="17" xfId="0" applyBorder="true" applyFill="true" applyAlignment="true">
      <alignment horizontal="right"/>
    </xf>
    <xf numFmtId="39" fontId="0" fillId="2" borderId="0" xfId="0"/>
    <xf numFmtId="3" fontId="0" fillId="0" borderId="0" xfId="0" applyFill="true" applyAlignment="true" applyNumberFormat="true">
      <alignment horizontal="center"/>
    </xf>
    <xf numFmtId="39" fontId="0" fillId="2" borderId="0" xfId="0" applyAlignment="true">
      <alignment horizontal="right"/>
    </xf>
    <xf numFmtId="39" fontId="0" fillId="0" borderId="0" xfId="0" applyFill="true" applyAlignment="true">
      <alignment horizontal="center"/>
    </xf>
    <xf numFmtId="39" fontId="0" fillId="0" borderId="10" xfId="0" applyBorder="true" applyFill="true"/>
    <xf numFmtId="3" fontId="0" fillId="0" borderId="11" xfId="0" applyBorder="true" applyFill="true" applyAlignment="true" applyNumberFormat="true">
      <alignment horizontal="center"/>
    </xf>
    <xf numFmtId="39" fontId="0" fillId="0" borderId="8" xfId="0" applyBorder="true" applyFill="true"/>
    <xf numFmtId="39" fontId="0" fillId="0" borderId="31" xfId="0" applyBorder="true" applyFill="true" applyAlignment="true">
      <alignment horizontal="right"/>
    </xf>
    <xf numFmtId="39" fontId="0" fillId="0" borderId="0" xfId="0" applyFill="true" applyAlignment="true">
      <alignment horizontal="right"/>
    </xf>
    <xf numFmtId="39" fontId="0" fillId="0" borderId="0" xfId="0" applyFill="true"/>
  </cellXfs>
  <cellStyles count="1">
    <cellStyle name="Normal" xfId="0" customBuiltin="true" builtinId="0"/>
  </cellStyle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 topLeftCell="A1" showGridLines="true">
      <pane ySplit="8.0" state="frozen" topLeftCell="A9" activePane="bottomLeft"/>
      <selection pane="bottomLeft"/>
    </sheetView>
  </sheetViews>
  <sheetFormatPr defaultRowHeight="12.75" customHeight="true" baseColWidth="8"/>
  <cols>
    <col min="1" max="1" style="79" customWidth="true" width="27.85546875" hidden="false"/>
    <col min="2" max="2" style="79" customWidth="true" width="10.0" hidden="false"/>
    <col min="3" max="3" style="79" customWidth="true" width="14.5703125" hidden="false"/>
    <col min="4" max="4" style="79" customWidth="true" width="14.0" hidden="false"/>
    <col min="5" max="6" style="79" customWidth="true" width="11.71484375" hidden="false"/>
    <col min="7" max="7" style="79" customWidth="true" width="14.28515625" hidden="false"/>
    <col min="8" max="8" style="79" customWidth="true" width="14.14453125" hidden="false"/>
    <col min="9" max="9" style="79" customWidth="true" width="14.5703125" hidden="false"/>
    <col min="10" max="10" style="79" customWidth="true" width="2.71484375" hidden="false"/>
    <col min="11" max="11" style="79" customWidth="true" width="11.85546875" hidden="false"/>
    <col min="12" max="12" style="79" customWidth="true" width="3.71484375" hidden="false"/>
    <col min="13" max="13" style="79" customWidth="true" width="16.0" hidden="false"/>
    <col min="14" max="16384" style="79" customWidth="true" width="8.71484375" hidden="false"/>
  </cols>
  <sheetData>
    <row r="1" customHeight="true" ht="0.75">
      <c r="A1" s="1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true" ht="12.75">
      <c r="A2" s="3"/>
      <c r="D2" s="2"/>
      <c r="E2" s="2"/>
      <c r="F2" s="2"/>
      <c r="G2" s="2"/>
      <c r="H2" s="2"/>
      <c r="I2" s="2"/>
      <c r="J2" s="2"/>
      <c r="K2" s="2"/>
      <c r="L2" s="2"/>
      <c r="M2" s="2"/>
    </row>
    <row r="3" customHeight="true" ht="12.75">
      <c r="A3" s="4" t="s">
        <v>1</v>
      </c>
      <c r="C3" s="5"/>
      <c r="D3" s="2"/>
      <c r="E3" s="2"/>
      <c r="F3" s="2"/>
      <c r="G3" s="2"/>
      <c r="H3" s="2"/>
      <c r="I3" s="2"/>
      <c r="J3" s="2"/>
      <c r="K3" s="2"/>
      <c r="L3" s="2"/>
      <c r="M3" s="2"/>
    </row>
    <row r="4" customHeight="true" ht="18.0">
      <c r="A4" s="6">
        <f>NOW()</f>
      </c>
      <c r="B4" s="7"/>
      <c r="C4" s="7"/>
      <c r="D4" s="8" t="s">
        <v>2</v>
      </c>
      <c r="E4" s="9"/>
      <c r="F4" s="9"/>
      <c r="G4" s="9"/>
      <c r="H4" s="10"/>
      <c r="I4" s="2"/>
      <c r="J4" s="2"/>
      <c r="K4" s="2"/>
      <c r="L4" s="2"/>
      <c r="M4" s="2"/>
      <c r="N4" s="5"/>
    </row>
    <row r="5" ht="12.75">
      <c r="A5" s="5"/>
      <c r="D5" s="2"/>
      <c r="E5" s="2"/>
      <c r="F5" s="2"/>
      <c r="G5" s="2"/>
      <c r="H5" s="2"/>
      <c r="I5" s="2"/>
      <c r="J5" s="2"/>
      <c r="K5" s="2"/>
      <c r="L5" s="2"/>
      <c r="M5" s="2"/>
    </row>
    <row r="6" customHeight="true" ht="12.75">
      <c r="A6" s="11"/>
      <c r="B6" s="11" t="s">
        <v>3</v>
      </c>
      <c r="C6" s="12"/>
      <c r="D6" s="13"/>
      <c r="E6" s="14" t="s">
        <v>4</v>
      </c>
      <c r="F6" s="14" t="s">
        <v>5</v>
      </c>
      <c r="G6" s="14" t="s">
        <v>4</v>
      </c>
      <c r="H6" s="14" t="s">
        <v>5</v>
      </c>
      <c r="I6" s="14" t="s">
        <v>6</v>
      </c>
      <c r="J6" s="15"/>
      <c r="K6" s="16" t="s">
        <v>7</v>
      </c>
      <c r="L6" s="15"/>
      <c r="M6" s="17" t="s">
        <v>8</v>
      </c>
    </row>
    <row r="7" customHeight="true" ht="12.75">
      <c r="A7" s="18" t="s">
        <v>9</v>
      </c>
      <c r="B7" s="18" t="s">
        <v>10</v>
      </c>
      <c r="C7" s="19" t="s">
        <v>11</v>
      </c>
      <c r="D7" s="20" t="s">
        <v>12</v>
      </c>
      <c r="E7" s="20" t="s">
        <v>13</v>
      </c>
      <c r="F7" s="20" t="s">
        <v>14</v>
      </c>
      <c r="G7" s="20" t="s">
        <v>15</v>
      </c>
      <c r="H7" s="20" t="s">
        <v>16</v>
      </c>
      <c r="I7" s="20" t="s">
        <v>17</v>
      </c>
      <c r="J7" s="15"/>
      <c r="K7" s="21" t="s">
        <v>18</v>
      </c>
      <c r="L7" s="15"/>
      <c r="M7" s="22" t="s">
        <v>19</v>
      </c>
    </row>
    <row r="8" customHeight="true" ht="15.0">
      <c r="A8" s="23"/>
      <c r="B8" s="24" t="s">
        <v>20</v>
      </c>
      <c r="C8" s="25" t="s">
        <v>21</v>
      </c>
      <c r="D8" s="26" t="s">
        <v>22</v>
      </c>
      <c r="E8" s="26" t="s">
        <v>23</v>
      </c>
      <c r="F8" s="26" t="s">
        <v>24</v>
      </c>
      <c r="G8" s="26" t="s">
        <v>25</v>
      </c>
      <c r="H8" s="26" t="s">
        <v>26</v>
      </c>
      <c r="I8" s="26" t="s">
        <v>27</v>
      </c>
      <c r="J8" s="15"/>
      <c r="K8" s="25" t="s">
        <v>28</v>
      </c>
      <c r="L8" s="15"/>
      <c r="M8" s="27" t="s">
        <v>29</v>
      </c>
    </row>
    <row r="9" customHeight="true" ht="15.0">
      <c r="A9" s="28"/>
      <c r="B9" s="28"/>
      <c r="C9" s="29"/>
      <c r="D9" s="29"/>
      <c r="E9" s="29"/>
      <c r="F9" s="29"/>
      <c r="G9" s="29"/>
      <c r="H9" s="29"/>
      <c r="I9" s="29"/>
      <c r="J9" s="30"/>
      <c r="K9" s="31"/>
      <c r="L9" s="30"/>
      <c r="M9" s="32"/>
      <c r="N9" s="33"/>
      <c r="O9" s="34"/>
    </row>
    <row r="10" customHeight="true" ht="16.5">
      <c r="A10" s="35" t="s">
        <v>30</v>
      </c>
      <c r="B10" s="36"/>
      <c r="C10" s="37" t="s">
        <v>31</v>
      </c>
      <c r="D10" s="38">
        <f>ds("Beverly Garage Receipts Avail")</f>
      </c>
      <c r="E10" s="38"/>
      <c r="F10" s="38"/>
      <c r="G10" s="38">
        <f>ds("Beverly Garage Rec IN")</f>
      </c>
      <c r="H10" s="38"/>
      <c r="I10" s="38">
        <f>+D10+E10-F10+G10-H10</f>
      </c>
      <c r="J10" s="39"/>
      <c r="K10" s="40"/>
      <c r="L10" s="41"/>
      <c r="M10" s="42"/>
    </row>
    <row r="11" customHeight="true" ht="18.0">
      <c r="A11" s="35" t="s">
        <v>32</v>
      </c>
      <c r="B11" s="36" t="n">
        <v>26.0</v>
      </c>
      <c r="C11" s="37" t="s">
        <v>33</v>
      </c>
      <c r="D11" s="38">
        <f>ds("Beverly Unreserved Avail")</f>
      </c>
      <c r="E11" s="38">
        <f>ds("Beverly Unreserved Lockbox")</f>
      </c>
      <c r="F11" s="43">
        <f>ds("Beverly Unreserved Cont Disb")</f>
      </c>
      <c r="G11" s="38">
        <f>ds("Beverly Unreserved Inc ACH &amp; Wire")</f>
      </c>
      <c r="H11" s="38">
        <f>ds("Beverly Unreserved Out ACH &amp; Wire")</f>
      </c>
      <c r="I11" s="38">
        <f>+D11+E11-F11+G11-H11</f>
      </c>
      <c r="J11" s="39"/>
      <c r="K11" s="40">
        <f>ds("Beverrly Unreserved Lockbox 1 Day")</f>
      </c>
      <c r="L11" s="41"/>
      <c r="M11" s="42"/>
    </row>
    <row r="12" customHeight="true" ht="18.0">
      <c r="A12" s="35" t="s">
        <v>34</v>
      </c>
      <c r="B12" s="36" t="n">
        <v>27.0</v>
      </c>
      <c r="C12" s="37" t="s">
        <v>35</v>
      </c>
      <c r="D12" s="38">
        <f>ds("TRG Charlotte Avail")</f>
      </c>
      <c r="E12" s="38">
        <f>ds("TRG Charlotte Lockbox")</f>
      </c>
      <c r="F12" s="43">
        <f>ds("TRG Charlotte Cont Disb")</f>
      </c>
      <c r="G12" s="38">
        <f>ds("TRG Charlotte Inc ACH &amp; Wire")</f>
      </c>
      <c r="H12" s="38">
        <f>ds("TRG Charlotte Out ACH &amp; Wire")</f>
      </c>
      <c r="I12" s="38">
        <f>+D12+E12-F12+G12-H12</f>
      </c>
      <c r="J12" s="39"/>
      <c r="K12" s="40">
        <f>ds("TRG Charlotte Lockbox 1Day")</f>
      </c>
      <c r="L12" s="41"/>
      <c r="M12" s="42"/>
    </row>
    <row r="13" customHeight="true" ht="18.0">
      <c r="A13" s="35" t="s">
        <v>36</v>
      </c>
      <c r="B13" s="36" t="n">
        <v>47.0</v>
      </c>
      <c r="C13" s="37" t="s">
        <v>37</v>
      </c>
      <c r="D13" s="38">
        <f>ds("Charleston Avail")</f>
      </c>
      <c r="E13" s="38">
        <f>ds("Charleston Lockbox")</f>
      </c>
      <c r="F13" s="38"/>
      <c r="G13" s="38">
        <f>ds("Charleston Inc ACH &amp; Wire")</f>
      </c>
      <c r="H13" s="38">
        <f>ds("Charleston Out ACH &amp; Wire")</f>
      </c>
      <c r="I13" s="38">
        <f>+D13+E13-F13+G13-H13</f>
      </c>
      <c r="J13" s="39"/>
      <c r="K13" s="40">
        <f>ds("Charleston Lockbox 1 day")</f>
      </c>
      <c r="L13" s="41"/>
      <c r="M13" s="42"/>
    </row>
    <row r="14" customHeight="true" ht="18.0">
      <c r="A14" s="34" t="s">
        <v>38</v>
      </c>
      <c r="B14" s="44" t="n">
        <v>91.0</v>
      </c>
      <c r="C14" s="21" t="s">
        <v>39</v>
      </c>
      <c r="D14" s="45">
        <f>ds("Dolphin Mall Avail")</f>
      </c>
      <c r="E14" s="45">
        <f>ds("Dolphin Mall Lockbox")</f>
      </c>
      <c r="F14" s="45">
        <f>ds("Dolphin Mall Cont Disb")</f>
      </c>
      <c r="G14" s="45">
        <f>ds("Dolphin Mall Inc ACH &amp; Wire")</f>
      </c>
      <c r="H14" s="45">
        <f>ds("Dolphin Mall Out ACH &amp; Wire")</f>
      </c>
      <c r="I14" s="45">
        <f>+D14+E14-F14+G14-H14</f>
      </c>
      <c r="J14" s="46"/>
      <c r="K14" s="47">
        <f>ds("Dolphin Mall Lockbox 1 Day")</f>
      </c>
      <c r="L14" s="41"/>
      <c r="M14" s="42"/>
    </row>
    <row r="15" customHeight="true" ht="18.0">
      <c r="A15" s="33" t="s">
        <v>40</v>
      </c>
      <c r="B15" s="48"/>
      <c r="C15" s="29" t="s">
        <v>41</v>
      </c>
      <c r="D15" s="49">
        <f>ds("El Passeo Village Avail")</f>
      </c>
      <c r="E15" s="49">
        <f>ds("El Passeo Village Lockbox")</f>
      </c>
      <c r="F15" s="49">
        <f>ds("El Passeo Village Cont Disb")</f>
      </c>
      <c r="G15" s="49">
        <f>ds("El Passeo Village Inc ACH &amp; Wire")</f>
      </c>
      <c r="H15" s="49">
        <f>ds("El Passeo Village Out ACH &amp; Wire")</f>
      </c>
      <c r="I15" s="49">
        <f>+D15+E15-F15+G15-H15</f>
      </c>
      <c r="J15" s="49"/>
      <c r="K15" s="49">
        <f>ds("El Passeo Village Locbox 1 Day")</f>
      </c>
      <c r="L15" s="41"/>
      <c r="M15" s="42"/>
    </row>
    <row r="16" customHeight="true" ht="18.0">
      <c r="A16" s="34" t="s">
        <v>42</v>
      </c>
      <c r="B16" s="44" t="n">
        <v>62.0</v>
      </c>
      <c r="C16" s="21" t="s">
        <v>43</v>
      </c>
      <c r="D16" s="45">
        <f>ds("Fair Oaks Avail")</f>
      </c>
      <c r="E16" s="45">
        <f>ds("Fair Oaks Lockbox")</f>
      </c>
      <c r="F16" s="45">
        <f>ds("Fair Oaks Cont Disb")</f>
      </c>
      <c r="G16" s="45">
        <f>ds("Fair Oaks Inc ACH &amp; Wire")</f>
      </c>
      <c r="H16" s="45">
        <f>ds("Fair Oaks Outgoing ACH &amp; Wire")</f>
      </c>
      <c r="I16" s="45">
        <f>+D16+E16-F16+G16-H16</f>
      </c>
      <c r="J16" s="46"/>
      <c r="K16" s="47">
        <f>ds("Fair Oaks Lockbox 1 Day")</f>
      </c>
      <c r="L16" s="41"/>
      <c r="M16" s="42"/>
    </row>
    <row r="17" customHeight="true" ht="18.0">
      <c r="A17" s="28" t="s">
        <v>44</v>
      </c>
      <c r="B17" s="48" t="n">
        <v>12.0</v>
      </c>
      <c r="C17" s="29" t="s">
        <v>45</v>
      </c>
      <c r="D17" s="49">
        <f>ds("Fairlane Avail")</f>
      </c>
      <c r="E17" s="49">
        <f>ds("Fairlane Lockbox")</f>
      </c>
      <c r="F17" s="49">
        <f>ds("Fairlane ContDisb")</f>
      </c>
      <c r="G17" s="49">
        <f>ds("Fairlane Incoming ACH &amp; Wire")</f>
      </c>
      <c r="H17" s="49">
        <f>ds("Fairlane Outgoing ACH &amp; Wire")</f>
      </c>
      <c r="I17" s="49">
        <f>+D17+E17-F17+G17-H17</f>
      </c>
      <c r="J17" s="49"/>
      <c r="K17" s="49">
        <f>ds("Fairlane Lockbox 1Day")</f>
      </c>
      <c r="L17" s="41"/>
      <c r="M17" s="42"/>
    </row>
    <row r="18" customHeight="true" ht="18.0">
      <c r="A18" s="28" t="s">
        <v>46</v>
      </c>
      <c r="B18" s="48" t="n">
        <v>50.0</v>
      </c>
      <c r="C18" s="29" t="s">
        <v>47</v>
      </c>
      <c r="D18" s="49">
        <f>ds("Plaza Internacional (SCFS) Avail")</f>
      </c>
      <c r="E18" s="49">
        <f>ds("Plaza Internacional SCFS Lockbox")</f>
      </c>
      <c r="F18" s="49">
        <f>ds("Plaza Internacional SCFS CD")</f>
      </c>
      <c r="G18" s="49">
        <f>ds("Plaza Intern SCFS Incoming")</f>
      </c>
      <c r="H18" s="49">
        <f>ds("Plaza Internacional SCFS Outgoing")</f>
      </c>
      <c r="I18" s="49">
        <f>+D18+E18-F18+G18-H18</f>
      </c>
      <c r="J18" s="49"/>
      <c r="K18" s="49">
        <f>ds("Plaza Internacional SCFS Lockbx 1 day")</f>
      </c>
      <c r="L18" s="41"/>
      <c r="M18" s="42"/>
    </row>
    <row r="19" customHeight="true" ht="18.0">
      <c r="A19" s="28" t="s">
        <v>48</v>
      </c>
      <c r="B19" s="48" t="n">
        <v>42.0</v>
      </c>
      <c r="C19" s="29" t="s">
        <v>49</v>
      </c>
      <c r="D19" s="49">
        <f>ds("RichTaubman Stamford Avail")</f>
      </c>
      <c r="E19" s="49">
        <f>ds("RichTaubman Stamford Lockbox")</f>
      </c>
      <c r="F19" s="49">
        <f>ds("RichTaubman Stamford CD")</f>
      </c>
      <c r="G19" s="49">
        <f>ds("RichTaubman Stamford Inc ACH &amp; Wire")</f>
      </c>
      <c r="H19" s="49">
        <f>ds("RichTaubman Stamford Outgoing ACH &amp; Wire")</f>
      </c>
      <c r="I19" s="49">
        <f>+D19+E19-F19+G19-H19</f>
      </c>
      <c r="J19" s="49"/>
      <c r="K19" s="49">
        <f>ds("RichTaubman Stamford Lockbox 1 Day")</f>
      </c>
      <c r="L19" s="41"/>
      <c r="M19" s="42"/>
    </row>
    <row r="20" customHeight="true" ht="18.0">
      <c r="A20" s="28" t="s">
        <v>50</v>
      </c>
      <c r="B20" s="48"/>
      <c r="C20" s="29" t="s">
        <v>51</v>
      </c>
      <c r="D20" s="49">
        <f>ds("Stamford Garage Avail")</f>
      </c>
      <c r="E20" s="49"/>
      <c r="F20" s="49">
        <f>ds("Stamford Garage Cont Disb")</f>
      </c>
      <c r="G20" s="49">
        <f>ds("Stamford Garage Incoming ACH &amp; Wire")</f>
      </c>
      <c r="H20" s="49">
        <f>ds("Stamford Garage Ooutgoing ACH &amp; Wire")</f>
      </c>
      <c r="I20" s="49">
        <f>+D20+E20-F20+G20-H20</f>
      </c>
      <c r="J20" s="49"/>
      <c r="K20" s="49"/>
      <c r="L20" s="41"/>
      <c r="M20" s="42"/>
      <c r="Q20" s="5"/>
    </row>
    <row r="21" customHeight="true" ht="18.0">
      <c r="A21" s="35" t="s">
        <v>52</v>
      </c>
      <c r="B21" s="36" t="n">
        <v>52.0</v>
      </c>
      <c r="C21" s="37" t="s">
        <v>53</v>
      </c>
      <c r="D21" s="43">
        <f>ds("Short Hills Avail")</f>
      </c>
      <c r="E21" s="43">
        <f>ds("Short Hills Lockbox")</f>
      </c>
      <c r="F21" s="43">
        <f>ds("Short Hills Cont Disb")</f>
      </c>
      <c r="G21" s="43">
        <f>ds("Short Hills Incoming ACH &amp; Wire")</f>
      </c>
      <c r="H21" s="43">
        <f>ds("Short Hills Outgoing ACH &amp; Wire")</f>
      </c>
      <c r="I21" s="43">
        <f>+D21+E21-F21+G21-H21</f>
      </c>
      <c r="J21" s="39"/>
      <c r="K21" s="40">
        <f>ds("Short Hills Lockbox 1 Day")</f>
      </c>
      <c r="L21" s="41"/>
      <c r="M21" s="42"/>
    </row>
    <row r="22" customHeight="true" ht="18.0">
      <c r="A22" s="35" t="s">
        <v>54</v>
      </c>
      <c r="B22" s="36" t="n">
        <v>21.0</v>
      </c>
      <c r="C22" s="37" t="s">
        <v>55</v>
      </c>
      <c r="D22" s="38">
        <f>ds("Sunvalley Avail")</f>
      </c>
      <c r="E22" s="38">
        <f>ds("Sunvalley Lockbox")</f>
      </c>
      <c r="F22" s="43">
        <f>ds("Sunvalley Cont Disb")</f>
      </c>
      <c r="G22" s="38">
        <f>ds("Sunvalley Incoming ACH &amp; Wire")</f>
      </c>
      <c r="H22" s="38">
        <f>ds("Sunvalley Outgoing ACH &amp; Wire")</f>
      </c>
      <c r="I22" s="38">
        <f>+D22+E22-F22+G22-H22</f>
      </c>
      <c r="J22" s="39"/>
      <c r="K22" s="40">
        <f>ds("Sunvalley Lockbox 1 Day")</f>
      </c>
      <c r="L22" s="41"/>
      <c r="M22" s="42"/>
    </row>
    <row r="23" customHeight="true" ht="18.0">
      <c r="A23" s="35" t="s">
        <v>56</v>
      </c>
      <c r="B23" s="50" t="n">
        <v>97.0</v>
      </c>
      <c r="C23" s="51" t="s">
        <v>57</v>
      </c>
      <c r="D23" s="52">
        <f>ds("Stony Point Oper Avail")</f>
      </c>
      <c r="E23" s="52">
        <f>ds("Stony Point  Lockbox")</f>
      </c>
      <c r="F23" s="53">
        <f>ds("Stony Point Cont Disb")</f>
      </c>
      <c r="G23" s="52">
        <f>ds("Stony Point Incoming ACH &amp; Wire")</f>
      </c>
      <c r="H23" s="52">
        <f>ds("Stony Point Outgoing ACH &amp; Wire")</f>
      </c>
      <c r="I23" s="38">
        <f>+D23+E23-F23+G23-H23</f>
      </c>
      <c r="J23" s="54"/>
      <c r="K23" s="40">
        <f>ds("Stony Point  Lockbox 1 Day")</f>
      </c>
      <c r="L23" s="41"/>
      <c r="M23" s="42"/>
    </row>
    <row r="24" customHeight="true" ht="18.0">
      <c r="A24" s="35" t="s">
        <v>58</v>
      </c>
      <c r="B24" s="36" t="n">
        <v>92.0</v>
      </c>
      <c r="C24" s="37" t="s">
        <v>59</v>
      </c>
      <c r="D24" s="38">
        <f>ds("Tampa Avail")</f>
      </c>
      <c r="E24" s="38">
        <f>ds("Tampa Lockbox")</f>
      </c>
      <c r="F24" s="43">
        <f>ds("Tampa Cont Disb")</f>
      </c>
      <c r="G24" s="38">
        <f>ds("Tampa Incoming ACH &amp; Wire")</f>
      </c>
      <c r="H24" s="38">
        <f>ds("Tampa Outgoing ACH &amp; Wire")</f>
      </c>
      <c r="I24" s="38">
        <f>+D24+E24-F24+G24-H24</f>
      </c>
      <c r="J24" s="39"/>
      <c r="K24" s="40">
        <f>ds("Tampa Lockbox 1 Day")</f>
      </c>
      <c r="L24" s="41"/>
      <c r="M24" s="42"/>
    </row>
    <row r="25" customHeight="true" ht="18.0">
      <c r="A25" s="35" t="s">
        <v>60</v>
      </c>
      <c r="B25" s="36" t="n">
        <v>32.0</v>
      </c>
      <c r="C25" s="37" t="s">
        <v>61</v>
      </c>
      <c r="D25" s="38">
        <f>ds("Partridge Fashion PK Avail")</f>
      </c>
      <c r="E25" s="38">
        <f>ds("Partridge Fashion PK Lockbox")</f>
      </c>
      <c r="F25" s="38">
        <f>ds("Partridge Fashion PK Cont Disb")</f>
      </c>
      <c r="G25" s="38">
        <f>ds("Partridge Fashion PK Incoming ACH &amp; Wire")</f>
      </c>
      <c r="H25" s="38">
        <f>ds("Partridge Fashion PK Outgoing ACH &amp; Wire")</f>
      </c>
      <c r="I25" s="38">
        <f>+D25+E25-F25+G25-H25</f>
      </c>
      <c r="J25" s="39"/>
      <c r="K25" s="40">
        <f>ds("Partridge Fashion PK Lockbox 1 Day")</f>
      </c>
      <c r="L25" s="41"/>
      <c r="M25" s="42"/>
    </row>
    <row r="26" customHeight="true" ht="18.0">
      <c r="A26" s="35" t="s">
        <v>62</v>
      </c>
      <c r="B26" s="50"/>
      <c r="C26" s="51" t="s">
        <v>63</v>
      </c>
      <c r="D26" s="52">
        <f>ds("Taub Co Mgmt IV Avail")</f>
      </c>
      <c r="E26" s="52"/>
      <c r="F26" s="52">
        <f>ds("TaubCo Mgmt IV CD")</f>
      </c>
      <c r="G26" s="52">
        <f>ds("Taub Co Mgmt IV Incoming ACH &amp; Wire")</f>
      </c>
      <c r="H26" s="52">
        <f>ds("Taub Co Mgmt IV Outgoing ACH &amp; Wire")</f>
      </c>
      <c r="I26" s="38">
        <f>+D26+E26-F26+G26-H26</f>
      </c>
      <c r="J26" s="54"/>
      <c r="K26" s="40"/>
      <c r="L26" s="55"/>
      <c r="M26" s="42"/>
    </row>
    <row r="27" customHeight="true" ht="18.0">
      <c r="A27" s="35" t="s">
        <v>62</v>
      </c>
      <c r="B27" s="50"/>
      <c r="C27" s="51" t="s">
        <v>63</v>
      </c>
      <c r="D27" s="52">
        <f>ds("Taub Co Mgmt IV Avail")</f>
      </c>
      <c r="E27" s="52"/>
      <c r="F27" s="52">
        <f>ds("TaubCo Mgmt IV CD")</f>
      </c>
      <c r="G27" s="52">
        <f>ds("Taub Co Mgmt IV Incoming ACH &amp; Wire")</f>
      </c>
      <c r="H27" s="52">
        <f>ds("Taub Co Mgmt IV Outgoing ACH &amp; Wire")</f>
      </c>
      <c r="I27" s="38">
        <f>+D27+E27-F27+G27-H27</f>
      </c>
      <c r="J27" s="54"/>
      <c r="K27" s="40"/>
      <c r="L27" s="55"/>
      <c r="M27" s="42"/>
    </row>
    <row r="28" customHeight="true" ht="18.0">
      <c r="A28" s="35" t="s">
        <v>64</v>
      </c>
      <c r="B28" s="50" t="n">
        <v>49.0</v>
      </c>
      <c r="C28" s="51" t="s">
        <v>65</v>
      </c>
      <c r="D28" s="52">
        <f>ds("Taubman Auburn Hills Avail")</f>
      </c>
      <c r="E28" s="52">
        <f>ds("Taubman Auburn Hills Lockbox")</f>
      </c>
      <c r="F28" s="53">
        <f>ds("Taubman Auburn Hills Cont Disb")</f>
      </c>
      <c r="G28" s="52">
        <f>ds("Taubman Auburn Hills Incoming ACH &amp; Wire")</f>
      </c>
      <c r="H28" s="52">
        <f>ds("Taubman Auburn Hills Outgoing ACH &amp; Wire")</f>
      </c>
      <c r="I28" s="38">
        <f>+D28+E28-F28+G28-H28</f>
      </c>
      <c r="J28" s="54"/>
      <c r="K28" s="40">
        <f>ds("Taubman Auburn Hills Lockbox 1 Day")</f>
      </c>
      <c r="L28" s="41"/>
      <c r="M28" s="42"/>
      <c r="P28" s="5"/>
    </row>
    <row r="29" customHeight="true" ht="18.0">
      <c r="A29" s="35" t="s">
        <v>66</v>
      </c>
      <c r="B29" s="36" t="n">
        <v>35.0</v>
      </c>
      <c r="C29" s="37" t="s">
        <v>67</v>
      </c>
      <c r="D29" s="38">
        <f>ds("Taubman Centers Avail")</f>
      </c>
      <c r="E29" s="38">
        <f>ds("Taubman Centers Lockbox")</f>
      </c>
      <c r="F29" s="43">
        <f>ds("Taubman Centers Cont Disb")</f>
      </c>
      <c r="G29" s="38">
        <f>ds("Taubman Centers Incoming ACH &amp; Wire")</f>
      </c>
      <c r="H29" s="38">
        <f>ds("Taubman Centers Outgoing ACH &amp; Wire")</f>
      </c>
      <c r="I29" s="38">
        <f>+D29+E29-F29+G29-H29</f>
      </c>
      <c r="J29" s="39"/>
      <c r="K29" s="40"/>
      <c r="L29" s="41"/>
      <c r="M29" s="42"/>
    </row>
    <row r="30" customHeight="true" ht="18.0">
      <c r="A30" s="35" t="s">
        <v>68</v>
      </c>
      <c r="B30" s="50"/>
      <c r="C30" s="56" t="s">
        <v>69</v>
      </c>
      <c r="D30" s="38">
        <f>ds("Benderson Avail")</f>
      </c>
      <c r="E30" s="38"/>
      <c r="F30" s="38"/>
      <c r="G30" s="38">
        <f>ds("Benderson Incoming ACH &amp; Wire")</f>
      </c>
      <c r="H30" s="38">
        <f>ds("Benderson Outgoing ACH &amp; Wire")</f>
      </c>
      <c r="I30" s="38">
        <f>+D30+E30-F30+G30-H30</f>
      </c>
      <c r="J30" s="57"/>
      <c r="K30" s="40"/>
      <c r="L30" s="41"/>
      <c r="M30" s="42"/>
      <c r="N30" s="5"/>
      <c r="O30" s="5"/>
    </row>
    <row r="31" customHeight="true" ht="18.0">
      <c r="A31" s="35" t="s">
        <v>70</v>
      </c>
      <c r="B31" s="50" t="n">
        <v>40.0</v>
      </c>
      <c r="C31" s="51" t="s">
        <v>71</v>
      </c>
      <c r="D31" s="52">
        <f>ds("Taubman Cherry Ck SC Avail")</f>
      </c>
      <c r="E31" s="52">
        <f>ds("Taubman Cherry Ck SC Lockbox")</f>
      </c>
      <c r="F31" s="53">
        <f>ds("Taubman Cherry Ck SC Cont Disb")</f>
      </c>
      <c r="G31" s="52">
        <f>ds("Taubman Cherry Ck SC Incoming Wires ACH")</f>
      </c>
      <c r="H31" s="52">
        <f>ds("Taubman Cherry Ck SC Outgoing ACH &amp; Wire")</f>
      </c>
      <c r="I31" s="38">
        <f>+D31+E31-F31+G31-H31</f>
      </c>
      <c r="J31" s="54"/>
      <c r="K31" s="40">
        <f>ds("Taubman Cherry Ck SC Lockbox 1 Day")</f>
      </c>
      <c r="L31" s="41"/>
      <c r="M31" s="42"/>
    </row>
    <row r="32" customHeight="true" ht="18.0">
      <c r="A32" s="35" t="s">
        <v>72</v>
      </c>
      <c r="B32" s="50" t="s">
        <v>73</v>
      </c>
      <c r="C32" s="51" t="s">
        <v>74</v>
      </c>
      <c r="D32" s="52">
        <f>ds("Taubman Company LP Avail")</f>
      </c>
      <c r="E32" s="52">
        <f>ds("Taubman Company LP Lockbox")</f>
      </c>
      <c r="F32" s="53">
        <f>ds("Taubman Company LP Cont Disb")</f>
      </c>
      <c r="G32" s="52">
        <f>ds("Taubman Company LP Incoming ACH &amp; Wire")</f>
      </c>
      <c r="H32" s="52">
        <f>ds("Taubman Company LP Outgoing ACH &amp; Wire")</f>
      </c>
      <c r="I32" s="38">
        <f>+D32+E32-F32+G32-H32</f>
      </c>
      <c r="J32" s="54"/>
      <c r="K32" s="40">
        <f>ds("Taubman Company LP Lockbox 1 Day")</f>
      </c>
      <c r="L32" s="41"/>
      <c r="M32" s="42"/>
    </row>
    <row r="33" customHeight="true" ht="18.0">
      <c r="A33" s="35" t="s">
        <v>75</v>
      </c>
      <c r="B33" s="36"/>
      <c r="C33" s="37" t="s">
        <v>76</v>
      </c>
      <c r="D33" s="38">
        <f>ds("Taubman Clearing / Fidelity Avail")</f>
      </c>
      <c r="E33" s="38"/>
      <c r="F33" s="38"/>
      <c r="G33" s="38">
        <f>ds("Taubman Clearing Incoming ACH &amp; Wire")</f>
      </c>
      <c r="H33" s="38">
        <f>ds("Taubman Clearing Outgoing ACH &amp; Wire")</f>
      </c>
      <c r="I33" s="38">
        <f>+D33+E33-F33+G33-H33</f>
      </c>
      <c r="J33" s="39"/>
      <c r="K33" s="40"/>
      <c r="L33" s="41"/>
      <c r="M33" s="42"/>
    </row>
    <row r="34" customHeight="true" ht="18.0">
      <c r="A34" s="35" t="s">
        <v>77</v>
      </c>
      <c r="B34" s="50" t="n">
        <v>48.0</v>
      </c>
      <c r="C34" s="51" t="s">
        <v>78</v>
      </c>
      <c r="D34" s="52">
        <f>ds("Macarthur Avail")</f>
      </c>
      <c r="E34" s="52">
        <f>ds("Macarthur Lockbox")</f>
      </c>
      <c r="F34" s="53">
        <f>ds("Macarthur Cont Disb")</f>
      </c>
      <c r="G34" s="52">
        <f>ds("Macarthur Incoming Ach &amp; Wire")</f>
      </c>
      <c r="H34" s="52">
        <f>ds("Macarthur Outgoing ACH &amp; Wire")</f>
      </c>
      <c r="I34" s="38">
        <f>+D34+E34-F34+G34-H34</f>
      </c>
      <c r="J34" s="54"/>
      <c r="K34" s="40">
        <f>ds("Macarthur Lockbox 1 Day")</f>
      </c>
      <c r="L34" s="41"/>
      <c r="M34" s="42"/>
    </row>
    <row r="35" customHeight="true" ht="18.0">
      <c r="A35" s="35" t="s">
        <v>79</v>
      </c>
      <c r="B35" s="36" t="n">
        <v>20.0</v>
      </c>
      <c r="C35" s="37" t="s">
        <v>80</v>
      </c>
      <c r="D35" s="38">
        <f>ds("Atlantic Pier Signage Avail")</f>
      </c>
      <c r="E35" s="38"/>
      <c r="F35" s="38"/>
      <c r="G35" s="38"/>
      <c r="H35" s="38"/>
      <c r="I35" s="38">
        <f>+D35+E35-F35+G35-H35</f>
      </c>
      <c r="J35" s="39"/>
      <c r="K35" s="40"/>
      <c r="L35" s="41"/>
      <c r="M35" s="42"/>
    </row>
    <row r="36" customHeight="true" ht="18.0">
      <c r="A36" s="35" t="s">
        <v>81</v>
      </c>
      <c r="B36" s="50" t="n">
        <v>75.0</v>
      </c>
      <c r="C36" s="51" t="s">
        <v>82</v>
      </c>
      <c r="D36" s="52">
        <f>ds("Taubman Realty Avail")</f>
      </c>
      <c r="E36" s="52">
        <f>ds("Taubman Realty Lockbox")</f>
      </c>
      <c r="F36" s="53">
        <f>ds("Taubman Realty Cont Disb")</f>
      </c>
      <c r="G36" s="52">
        <f>ds("Taubman Realty Incoming ACH &amp; Wire")</f>
      </c>
      <c r="H36" s="52">
        <f>ds("Taubman Realty Outgoing ACH &amp; Wire")</f>
      </c>
      <c r="I36" s="38">
        <f>+D36+E36-F36+G36-H36</f>
      </c>
      <c r="J36" s="54"/>
      <c r="K36" s="40">
        <f>ds("Taubman Realty Lockbox 1Day")</f>
      </c>
      <c r="L36" s="41"/>
      <c r="M36" s="42"/>
    </row>
    <row r="37" customHeight="true" ht="18.0">
      <c r="A37" s="35" t="s">
        <v>83</v>
      </c>
      <c r="B37" s="36"/>
      <c r="C37" s="37" t="s">
        <v>84</v>
      </c>
      <c r="D37" s="38">
        <f>ds("Prestige Outlets Avail")</f>
      </c>
      <c r="E37" s="38">
        <f>ds("Prestige Outlets Lockbox")</f>
      </c>
      <c r="F37" s="43">
        <f>ds("Prestige Outlets Cont Disb")</f>
      </c>
      <c r="G37" s="38">
        <f>ds("Prestige Outlets Incoming ACH &amp; Wire")</f>
      </c>
      <c r="H37" s="38">
        <f>ds("Prestige Outlets Outgoing ACH &amp; Wire")</f>
      </c>
      <c r="I37" s="38">
        <f>+D37+E37-F37+G37-H37</f>
      </c>
      <c r="J37" s="39"/>
      <c r="K37" s="40">
        <f>ds("Prestige Outlets Lockbox 1 Day")</f>
      </c>
      <c r="L37" s="41"/>
      <c r="M37" s="42"/>
    </row>
    <row r="38" customHeight="true" ht="18.0">
      <c r="A38" s="35" t="s">
        <v>85</v>
      </c>
      <c r="B38" s="50"/>
      <c r="C38" s="51" t="s">
        <v>86</v>
      </c>
      <c r="D38" s="52">
        <f>ds("Plaza Internacional Avail")</f>
      </c>
      <c r="E38" s="52"/>
      <c r="F38" s="53">
        <f>ds("Plaza Internacional DEV CD")</f>
      </c>
      <c r="G38" s="52">
        <f>ds("Plaza Internacional DEV Incoming")</f>
      </c>
      <c r="H38" s="52">
        <f>ds("Plaza Internacional DEV Outgoing")</f>
      </c>
      <c r="I38" s="38">
        <f>+D38+E38-F38+G38-H38</f>
      </c>
      <c r="J38" s="54"/>
      <c r="K38" s="40"/>
      <c r="L38" s="41"/>
      <c r="M38" s="42"/>
    </row>
    <row r="39" customHeight="true" ht="18.0">
      <c r="A39" s="35" t="s">
        <v>87</v>
      </c>
      <c r="B39" s="36" t="n">
        <v>93.0</v>
      </c>
      <c r="C39" s="37" t="s">
        <v>88</v>
      </c>
      <c r="D39" s="38">
        <f>ds("T J Palm Beach Avail")</f>
      </c>
      <c r="E39" s="38">
        <f>ds("T J Palm Beach Lockbox")</f>
      </c>
      <c r="F39" s="43">
        <f>ds("T J Palm Beach Cont Disb")</f>
      </c>
      <c r="G39" s="38">
        <f>ds("T J Palm Beach Incoming ACH &amp; Wire")</f>
      </c>
      <c r="H39" s="38">
        <f>ds("T J Palm Beach Outgoing ACH &amp; Wire")</f>
      </c>
      <c r="I39" s="38">
        <f>+D39+E39-F39+G39-H39</f>
      </c>
      <c r="J39" s="39"/>
      <c r="K39" s="40">
        <f>ds("T J Palm Beach Lockbox 1 Day")</f>
      </c>
      <c r="L39" s="41"/>
      <c r="M39" s="42"/>
    </row>
    <row r="40" customHeight="true" ht="18.0">
      <c r="A40" s="35" t="s">
        <v>89</v>
      </c>
      <c r="B40" s="36"/>
      <c r="C40" s="37" t="s">
        <v>90</v>
      </c>
      <c r="D40" s="38">
        <f>ds("TRG IMPAvail")</f>
      </c>
      <c r="E40" s="38">
        <f>ds("TRG IMP  Lockbox")</f>
      </c>
      <c r="F40" s="43">
        <f>ds("TRG IMP ContDisb")</f>
      </c>
      <c r="G40" s="38">
        <f>ds("TRG IMP Incoming ACH&amp; Wire")</f>
      </c>
      <c r="H40" s="38">
        <f>ds("TRG IMP Outgoing ACH &amp; Wire")</f>
      </c>
      <c r="I40" s="38">
        <f>+D40+E40-F40+G40-H40</f>
      </c>
      <c r="J40" s="39"/>
      <c r="K40" s="40">
        <f>ds("TRG IMP  Lockbox 1 Day")</f>
      </c>
      <c r="L40" s="41"/>
      <c r="M40" s="42"/>
    </row>
    <row r="41" customHeight="true" ht="18.0">
      <c r="A41" s="35" t="s">
        <v>91</v>
      </c>
      <c r="B41" s="36"/>
      <c r="C41" s="37" t="s">
        <v>92</v>
      </c>
      <c r="D41" s="38">
        <f>ds("TTC Payroll Avail")</f>
      </c>
      <c r="E41" s="38"/>
      <c r="F41" s="43"/>
      <c r="G41" s="38">
        <f>ds("TTC Payroll Incoming ACH &amp; Wire")</f>
      </c>
      <c r="H41" s="38">
        <f>ds("TTC Payroll Outgoing ACH &amp; Wire")</f>
      </c>
      <c r="I41" s="38">
        <f>+D41+E41-F41+G41-H41</f>
      </c>
      <c r="J41" s="39"/>
      <c r="K41" s="40"/>
      <c r="L41" s="41"/>
      <c r="M41" s="42"/>
    </row>
    <row r="42" customHeight="true" ht="18.0">
      <c r="A42" s="35" t="s">
        <v>93</v>
      </c>
      <c r="B42" s="36" t="s">
        <v>94</v>
      </c>
      <c r="C42" s="37" t="s">
        <v>95</v>
      </c>
      <c r="D42" s="38">
        <f>ds("TTC Health &amp; Dental Avail")</f>
      </c>
      <c r="E42" s="38">
        <f>ds("TTC Health &amp; Dental Lockbox")</f>
      </c>
      <c r="F42" s="38"/>
      <c r="G42" s="38">
        <f>ds("TTC Health &amp; Dental Incoming ACH &amp; Wire")</f>
      </c>
      <c r="H42" s="38">
        <f>ds("TTC Health &amp; Dental Outgoing ACH &amp; Wire")</f>
      </c>
      <c r="I42" s="38">
        <f>+D42+E42-F42+G42-H42</f>
      </c>
      <c r="J42" s="39"/>
      <c r="K42" s="40">
        <f>ds("TTC Health &amp; Dental Lockbox 1 Day")</f>
      </c>
      <c r="L42" s="41"/>
      <c r="M42" s="42"/>
    </row>
    <row r="43" customHeight="true" ht="18.0">
      <c r="A43" s="35" t="s">
        <v>96</v>
      </c>
      <c r="B43" s="36" t="n">
        <v>30.0</v>
      </c>
      <c r="C43" s="37" t="s">
        <v>97</v>
      </c>
      <c r="D43" s="38">
        <f>ds("Taubman Cherry Ck LP Avail")</f>
      </c>
      <c r="E43" s="38">
        <f>ds("Taubman Cherry Ck LP Lockbox")</f>
      </c>
      <c r="F43" s="38"/>
      <c r="G43" s="38">
        <f>ds("Taubman Cherry Ck LP Incoming ACH &amp; Wire")</f>
      </c>
      <c r="H43" s="38">
        <f>ds("Taubman Cherry Ck LP Outgoing ACH &amp; Wire")</f>
      </c>
      <c r="I43" s="38">
        <f>+D43+E43-F43+G43-H43</f>
      </c>
      <c r="J43" s="39"/>
      <c r="K43" s="40">
        <f>ds("Taubman Cherry Ck LP Lockbox 1 Day")</f>
      </c>
      <c r="L43" s="41"/>
      <c r="M43" s="42"/>
    </row>
    <row r="44" customHeight="true" ht="18.0">
      <c r="A44" s="35" t="s">
        <v>98</v>
      </c>
      <c r="B44" s="36"/>
      <c r="C44" s="37" t="s">
        <v>99</v>
      </c>
      <c r="D44" s="38">
        <f>ds("TRG Development Avail")</f>
      </c>
      <c r="E44" s="38"/>
      <c r="F44" s="38">
        <f>ds("TRG Development Cont Disb")</f>
      </c>
      <c r="G44" s="38">
        <f>ds("TRG Development Incoming ACH &amp; Wire")</f>
      </c>
      <c r="H44" s="38">
        <f>ds("TRG Development Outgoing ACH &amp; Wire")</f>
      </c>
      <c r="I44" s="38">
        <f>+D44+E44-F44+G44-H44</f>
      </c>
      <c r="J44" s="39"/>
      <c r="K44" s="40"/>
      <c r="L44" s="41"/>
      <c r="M44" s="42"/>
    </row>
    <row r="45" customHeight="true" ht="18.0">
      <c r="A45" s="35" t="s">
        <v>100</v>
      </c>
      <c r="B45" s="36" t="n">
        <v>13.0</v>
      </c>
      <c r="C45" s="37" t="s">
        <v>101</v>
      </c>
      <c r="D45" s="38">
        <f>ds("Twelve Oaks Avail")</f>
      </c>
      <c r="E45" s="38">
        <f>ds("Twelve Oaks Lockbox")</f>
      </c>
      <c r="F45" s="43">
        <f>ds("Twelve Oaks Cont Disb")</f>
      </c>
      <c r="G45" s="38">
        <f>ds("Twelve Oaks Incoming ACH &amp;Wire")</f>
      </c>
      <c r="H45" s="38">
        <f>ds("Twelve Oaks Outgoing ACH &amp;Wire")</f>
      </c>
      <c r="I45" s="38">
        <f>+D45+E45-F45+G45-H45</f>
      </c>
      <c r="J45" s="39"/>
      <c r="K45" s="40">
        <f>ds("Twelve Oaks Lockbox 1 Day")</f>
      </c>
      <c r="L45" s="41"/>
      <c r="M45" s="42"/>
    </row>
    <row r="46" customHeight="true" ht="18.0">
      <c r="A46" s="35" t="s">
        <v>102</v>
      </c>
      <c r="B46" s="36" t="n">
        <v>41.0</v>
      </c>
      <c r="C46" s="37" t="s">
        <v>103</v>
      </c>
      <c r="D46" s="38">
        <f>ds("Westfarms Avail")</f>
      </c>
      <c r="E46" s="38">
        <f>ds("Westfarms Lockbox")</f>
      </c>
      <c r="F46" s="43">
        <f>ds("Westfarms Cont Disb")</f>
      </c>
      <c r="G46" s="38">
        <f>ds("Westfarms Incoming ACH &amp; Wire")</f>
      </c>
      <c r="H46" s="38">
        <f>ds("Westfarms Outgoing ACH &amp; Wire")</f>
      </c>
      <c r="I46" s="38">
        <f>+D46+E46-F46+G46-H46</f>
      </c>
      <c r="J46" s="39"/>
      <c r="K46" s="40">
        <f>ds("Westfarms Lockbox 1 Day")</f>
      </c>
      <c r="L46" s="41"/>
      <c r="M46" s="42"/>
    </row>
    <row r="47" customHeight="true" ht="18.0">
      <c r="A47" s="35" t="s">
        <v>104</v>
      </c>
      <c r="B47" s="36" t="n">
        <v>94.0</v>
      </c>
      <c r="C47" s="37" t="s">
        <v>105</v>
      </c>
      <c r="D47" s="38">
        <f>ds("Willow Bend Avail")</f>
      </c>
      <c r="E47" s="38">
        <f>ds("Willow Bend Lockbox")</f>
      </c>
      <c r="F47" s="43">
        <f>ds("Willow Bend Cont Disb")</f>
      </c>
      <c r="G47" s="38">
        <f>ds("Willow Bend Incoming ACH &amp; Wire")</f>
      </c>
      <c r="H47" s="38">
        <f>ds("Willow Bend Outgoing ACH &amp; Wire")</f>
      </c>
      <c r="I47" s="38">
        <f>+D47+E47-F47+G47-H47</f>
      </c>
      <c r="J47" s="39"/>
      <c r="K47" s="40">
        <f>ds("Willow Bend Lockbox 1 Day")</f>
      </c>
      <c r="L47" s="41"/>
      <c r="M47" s="42"/>
    </row>
    <row r="48" customHeight="true" ht="18.0">
      <c r="A48" s="35" t="s">
        <v>106</v>
      </c>
      <c r="B48" s="36" t="n">
        <v>24.0</v>
      </c>
      <c r="C48" s="37" t="s">
        <v>107</v>
      </c>
      <c r="D48" s="38">
        <f>ds("TB Mall at UTC Avail")</f>
      </c>
      <c r="E48" s="38">
        <f>ds("TB Mall at UTC Lockbox")</f>
      </c>
      <c r="F48" s="38">
        <f>ds("TB Mall at UTC Cont Disb")</f>
      </c>
      <c r="G48" s="38">
        <f>ds("TB Mall at UTC Incoming ACH &amp; Wire")</f>
      </c>
      <c r="H48" s="38">
        <f>ds("TB Mall at UTC Outgoing ACH &amp; Wire")</f>
      </c>
      <c r="I48" s="38">
        <f>+D48+E48-F48+G48-H48</f>
      </c>
      <c r="J48" s="57"/>
      <c r="K48" s="40">
        <f>ds("TB Mall at UTC Lockbox 1 Day")</f>
      </c>
      <c r="L48" s="41"/>
      <c r="M48" s="42"/>
    </row>
    <row r="49" customHeight="true" ht="18.0">
      <c r="A49" s="35" t="s">
        <v>108</v>
      </c>
      <c r="B49" s="36" t="n">
        <v>15.0</v>
      </c>
      <c r="C49" s="37" t="s">
        <v>109</v>
      </c>
      <c r="D49" s="38">
        <f>ds("Woodland Avail")</f>
      </c>
      <c r="E49" s="38">
        <f>ds("Woodland Lockbox")</f>
      </c>
      <c r="F49" s="43"/>
      <c r="G49" s="38">
        <f>ds("Woodland Incoming ACH &amp;Wire")</f>
      </c>
      <c r="H49" s="38">
        <f>ds("Woodland Outging ACH &amp;Wire")</f>
      </c>
      <c r="I49" s="38">
        <f>+D49+E49-F49+G49-H49</f>
      </c>
      <c r="J49" s="39"/>
      <c r="K49" s="40">
        <f>ds("Woodland Lockbox 1 Day")</f>
      </c>
      <c r="L49" s="41"/>
      <c r="M49" s="42"/>
    </row>
    <row r="50" customHeight="true" ht="18.0">
      <c r="A50" s="58" t="s">
        <v>110</v>
      </c>
      <c r="B50" s="59" t="n">
        <v>39.0</v>
      </c>
      <c r="C50" s="60" t="s">
        <v>111</v>
      </c>
      <c r="D50" s="61">
        <f>ds("Woodland Inv Avail")</f>
      </c>
      <c r="E50" s="61"/>
      <c r="F50" s="61"/>
      <c r="G50" s="61"/>
      <c r="H50" s="61"/>
      <c r="I50" s="38">
        <f>+D50+E50-F50+G50-H50</f>
      </c>
      <c r="J50" s="39"/>
      <c r="K50" s="40"/>
      <c r="L50" s="41"/>
      <c r="M50" s="42"/>
    </row>
    <row r="51" customHeight="true" ht="18.0">
      <c r="A51" s="35" t="s">
        <v>112</v>
      </c>
      <c r="B51" s="36"/>
      <c r="C51" s="37" t="s">
        <v>113</v>
      </c>
      <c r="D51" s="38">
        <f>ds("Gardens on El Paseo Avail")</f>
      </c>
      <c r="E51" s="38"/>
      <c r="F51" s="38">
        <f>ds("Gardens on El Paseo Cont Disb")</f>
      </c>
      <c r="G51" s="38">
        <f>ds("Gardens on El Paseo Incoming ACH &amp; Wire")</f>
      </c>
      <c r="H51" s="38">
        <f>ds("Gardens on El Paseo Outgoing ACH &amp; Wire")</f>
      </c>
      <c r="I51" s="38">
        <f>+D51+E51-F51+G51-H51</f>
      </c>
      <c r="J51" s="39"/>
      <c r="K51" s="40"/>
      <c r="L51" s="41"/>
      <c r="M51" s="42"/>
    </row>
    <row r="52" customHeight="true" ht="18.0">
      <c r="A52" s="35" t="s">
        <v>114</v>
      </c>
      <c r="B52" s="36"/>
      <c r="C52" s="37" t="s">
        <v>115</v>
      </c>
      <c r="D52" s="38">
        <f>ds("Green Hills Mall Avail")</f>
      </c>
      <c r="E52" s="38">
        <f>ds("Green Hills Mall Lockbbox")</f>
      </c>
      <c r="F52" s="38">
        <f>ds("Green Hills Mall Cont Disb")</f>
      </c>
      <c r="G52" s="45">
        <f>ds("Green Hills Mall Incoming ACH &amp; Wire")</f>
      </c>
      <c r="H52" s="38">
        <f>ds("Green Hills Mall Outgoing ACH &amp; Wire")</f>
      </c>
      <c r="I52" s="38">
        <f>+D52+E52-F52+G52-H52</f>
      </c>
      <c r="J52" s="39"/>
      <c r="K52" s="40">
        <f>ds("Green Hills Mall Lockbbox 1 Day")</f>
      </c>
      <c r="L52" s="41"/>
      <c r="M52" s="42"/>
    </row>
    <row r="53" customHeight="true" ht="18.0">
      <c r="A53" s="28"/>
      <c r="B53" s="48"/>
      <c r="C53" s="29"/>
      <c r="D53" s="49"/>
      <c r="E53" s="49"/>
      <c r="F53" s="41"/>
      <c r="G53" s="62"/>
      <c r="H53" s="49"/>
      <c r="I53" s="49"/>
      <c r="J53" s="49"/>
      <c r="K53" s="49"/>
      <c r="L53" s="41"/>
      <c r="M53" s="57"/>
    </row>
    <row r="54" customHeight="true" ht="18.0">
      <c r="A54" s="35" t="s">
        <v>116</v>
      </c>
      <c r="B54" s="63"/>
      <c r="C54" s="37" t="s">
        <v>117</v>
      </c>
      <c r="D54" s="38">
        <f>ds("City Creek Center Avail")</f>
      </c>
      <c r="E54" s="38">
        <f>ds("City Creek Center Lockbox")</f>
      </c>
      <c r="F54" s="38">
        <f>ds("City Creek Center Cont Disb")</f>
      </c>
      <c r="G54" s="43">
        <f>ds("City Creek Center Incoming ACH &amp; Wire")</f>
      </c>
      <c r="H54" s="38">
        <f>ds("City Creek Center Outgoing ACH &amp; Wire")</f>
      </c>
      <c r="I54" s="38">
        <f>+D54+E54-F54+G54-H54</f>
      </c>
      <c r="J54" s="39"/>
      <c r="K54" s="40">
        <f>ds("City Creek Center Lockbox 1 Day")</f>
      </c>
      <c r="L54" s="41"/>
      <c r="M54" s="42"/>
      <c r="O54" s="5"/>
    </row>
    <row r="55" customHeight="true" ht="18.0">
      <c r="A55" s="64" t="s">
        <v>118</v>
      </c>
      <c r="B55" s="48"/>
      <c r="C55" s="65" t="s">
        <v>119</v>
      </c>
      <c r="D55" s="45">
        <f>ds("Lakeside Novi Avail")</f>
      </c>
      <c r="E55" s="45"/>
      <c r="F55" s="45"/>
      <c r="G55" s="45">
        <f>ds("Lakeside Novi LandIncoming ACH &amp; Wire")</f>
      </c>
      <c r="H55" s="45">
        <f>ds("Lakeside Novi Land Outgoing ACH &amp; Wire")</f>
      </c>
      <c r="I55" s="45">
        <f>+D55+E55-F55+G55-H55</f>
      </c>
      <c r="J55" s="46"/>
      <c r="K55" s="47"/>
      <c r="L55" s="41"/>
      <c r="M55" s="66"/>
    </row>
    <row r="56" customHeight="true" ht="18.0">
      <c r="A56" s="67" t="s">
        <v>120</v>
      </c>
      <c r="B56" s="44"/>
      <c r="C56" s="68" t="s">
        <v>121</v>
      </c>
      <c r="D56" s="49">
        <f>ds("Taubman Office AV")</f>
      </c>
      <c r="E56" s="49"/>
      <c r="F56" s="49">
        <f>ds("Taubman Office CD")</f>
      </c>
      <c r="G56" s="49">
        <f>ds("Taubman Office Incoming")</f>
      </c>
      <c r="H56" s="49">
        <f>ds("Taubman Office Outgoing")</f>
      </c>
      <c r="I56" s="49">
        <f>+D56+E56-F56+G56-H56</f>
      </c>
      <c r="J56" s="49"/>
      <c r="K56" s="49"/>
      <c r="L56" s="41"/>
      <c r="M56" s="46"/>
      <c r="N56" s="5"/>
    </row>
    <row r="57" customHeight="true" ht="18.0">
      <c r="A57" s="35" t="s">
        <v>122</v>
      </c>
      <c r="B57" s="63"/>
      <c r="C57" s="37" t="s">
        <v>123</v>
      </c>
      <c r="D57" s="43">
        <f>ds("Taubman Puerto Rico AV")</f>
      </c>
      <c r="E57" s="43"/>
      <c r="F57" s="43"/>
      <c r="G57" s="43"/>
      <c r="H57" s="43">
        <f>ds("Taubman Puerto Rico OUT")</f>
      </c>
      <c r="I57" s="43">
        <f>+D57+E57-F57+G57-H57</f>
      </c>
      <c r="J57" s="46"/>
      <c r="K57" s="40"/>
      <c r="L57" s="41"/>
      <c r="M57" s="69"/>
      <c r="Q57" s="5"/>
    </row>
    <row r="58" customHeight="true" ht="15.0">
      <c r="A58" s="34"/>
      <c r="B58" s="5"/>
      <c r="C58" s="5"/>
      <c r="D58" s="5"/>
      <c r="E58" s="5"/>
      <c r="F58" s="5"/>
      <c r="G58" s="5"/>
      <c r="H58" s="5"/>
      <c r="I58" s="5"/>
      <c r="J58" s="5"/>
      <c r="K58" s="33"/>
      <c r="L58" s="34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</row>
    <row r="59" customHeight="true" ht="15.0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</row>
    <row r="60" customHeight="true" ht="15.0">
      <c r="A60" s="70"/>
      <c r="B60" s="71"/>
      <c r="C60" s="32"/>
      <c r="D60" s="57"/>
      <c r="E60" s="57"/>
      <c r="F60" s="57"/>
      <c r="G60" s="57"/>
      <c r="H60" s="57"/>
      <c r="I60" s="57"/>
      <c r="J60" s="57"/>
      <c r="K60" s="57"/>
      <c r="L60" s="72"/>
      <c r="M60" s="57"/>
    </row>
    <row r="61" customHeight="true" ht="15.0">
      <c r="A61" s="70"/>
      <c r="B61" s="71"/>
      <c r="C61" s="32"/>
      <c r="D61" s="57"/>
      <c r="E61" s="57"/>
      <c r="F61" s="57"/>
      <c r="G61" s="57"/>
      <c r="H61" s="57"/>
      <c r="I61" s="57"/>
      <c r="J61" s="57"/>
      <c r="K61" s="57"/>
      <c r="L61" s="72"/>
      <c r="M61" s="57"/>
    </row>
    <row r="62" customHeight="true" ht="18.0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</row>
    <row r="63" customHeight="true" ht="18.0">
      <c r="A63" s="5"/>
      <c r="B63" s="73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ht="12.75">
      <c r="A64" s="5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ht="12.75">
      <c r="A65" s="5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ht="12.75">
      <c r="A66" s="5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ht="12.75">
      <c r="A67" s="5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ht="12.75">
      <c r="A68" s="5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ht="12.75">
      <c r="A69" s="5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ht="12.75">
      <c r="A70" s="5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ht="12.75">
      <c r="A71" s="5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ht="12.75">
      <c r="A72" s="5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ht="12.75">
      <c r="A73" s="5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ht="12.75">
      <c r="A74" s="5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ht="12.75">
      <c r="A75" s="5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ht="12.75">
      <c r="A76" s="5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ht="12.75">
      <c r="A77" s="5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ht="12.75">
      <c r="A78" s="5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ht="12.75">
      <c r="A79" s="5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ht="12.75">
      <c r="A80" s="5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ht="12.75">
      <c r="A81" s="5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ht="12.75">
      <c r="A82" s="5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ht="12.75">
      <c r="A83" s="5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ht="12.75">
      <c r="A84" s="5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ht="12.75">
      <c r="A85" s="5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ht="12.75">
      <c r="A86" s="5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ht="12.75">
      <c r="A87" s="5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ht="12.75">
      <c r="A88" s="5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ht="12.75">
      <c r="A89" s="5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ht="12.75">
      <c r="D90" s="2"/>
      <c r="E90" s="2"/>
      <c r="F90" s="2"/>
      <c r="G90" s="2"/>
      <c r="H90" s="2"/>
      <c r="I90" s="2"/>
      <c r="J90" s="2"/>
      <c r="K90" s="2"/>
      <c r="L90" s="2"/>
      <c r="M90" s="2"/>
    </row>
    <row r="91" ht="12.75">
      <c r="D91" s="2"/>
      <c r="E91" s="2"/>
      <c r="F91" s="2"/>
      <c r="G91" s="2"/>
      <c r="H91" s="2"/>
      <c r="I91" s="2"/>
      <c r="J91" s="2"/>
      <c r="K91" s="2"/>
      <c r="L91" s="2"/>
      <c r="M91" s="2"/>
    </row>
    <row r="92" ht="12.75">
      <c r="D92" s="2"/>
      <c r="E92" s="2"/>
      <c r="F92" s="2"/>
      <c r="G92" s="2"/>
      <c r="H92" s="2"/>
      <c r="I92" s="2"/>
      <c r="J92" s="2"/>
      <c r="K92" s="2"/>
      <c r="L92" s="2"/>
      <c r="M92" s="2"/>
    </row>
    <row r="93" ht="12.75">
      <c r="D93" s="2"/>
      <c r="E93" s="2"/>
      <c r="F93" s="2"/>
      <c r="G93" s="2"/>
      <c r="H93" s="2"/>
      <c r="I93" s="2"/>
      <c r="J93" s="2"/>
      <c r="K93" s="2"/>
      <c r="L93" s="2"/>
      <c r="M93" s="2"/>
    </row>
    <row r="94" ht="12.75">
      <c r="D94" s="2"/>
      <c r="E94" s="2"/>
      <c r="F94" s="2"/>
      <c r="G94" s="2"/>
      <c r="H94" s="2"/>
      <c r="I94" s="2"/>
      <c r="J94" s="2"/>
      <c r="K94" s="2"/>
      <c r="L94" s="2"/>
      <c r="M94" s="2"/>
    </row>
    <row r="95" ht="12.75">
      <c r="D95" s="2"/>
      <c r="E95" s="2"/>
      <c r="F95" s="2"/>
      <c r="G95" s="2"/>
      <c r="H95" s="2"/>
      <c r="I95" s="2"/>
      <c r="J95" s="2"/>
      <c r="K95" s="2"/>
      <c r="L95" s="2"/>
      <c r="M95" s="2"/>
    </row>
    <row r="96" ht="12.75">
      <c r="A96" s="74" t="s">
        <v>124</v>
      </c>
      <c r="B96" s="75"/>
      <c r="C96" s="76"/>
      <c r="D96" s="77">
        <f>SUM(D9:D95)</f>
      </c>
      <c r="E96" s="77">
        <f>SUM(E9:E95)</f>
      </c>
      <c r="F96" s="77">
        <f>SUM(F9:F95)</f>
      </c>
      <c r="G96" s="77">
        <f>SUM(G9:G95)</f>
      </c>
      <c r="H96" s="77">
        <f>SUM(H9:H95)</f>
      </c>
      <c r="I96" s="77">
        <f>SUM(I9:I95)</f>
      </c>
      <c r="J96" s="77"/>
      <c r="K96" s="77">
        <f>SUM(K9:K95)</f>
      </c>
      <c r="L96" s="78"/>
      <c r="M96" s="78"/>
    </row>
    <row r="97" ht="12.75">
      <c r="D97" s="2"/>
      <c r="E97" s="2"/>
      <c r="F97" s="2"/>
      <c r="G97" s="2"/>
      <c r="H97" s="2"/>
      <c r="I97" s="2"/>
      <c r="J97" s="2"/>
      <c r="K97" s="2"/>
      <c r="L97" s="2"/>
      <c r="M97" s="2"/>
    </row>
    <row r="98" ht="12.75">
      <c r="D98" s="2"/>
      <c r="E98" s="2"/>
      <c r="F98" s="2"/>
      <c r="G98" s="2"/>
      <c r="H98" s="2"/>
      <c r="I98" s="2"/>
      <c r="J98" s="2"/>
      <c r="K98" s="2"/>
      <c r="L98" s="2"/>
      <c r="M98" s="2"/>
    </row>
    <row r="99" ht="12.75"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ht="12.75"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ht="12.75"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ht="12.75"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ht="12.75"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ht="12.75"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ht="12.75"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ht="12.75"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ht="12.75"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ht="12.75"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ht="12.75">
      <c r="A109" s="5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ht="12.75"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ht="12.75"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ht="12.75"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ht="12.75"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ht="12.75"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ht="12.75"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ht="12.75"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ht="12.75"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ht="12.75"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ht="12.75"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ht="12.75"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ht="12.75"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ht="12.75"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ht="12.75"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ht="12.75"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ht="12.75"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ht="12.75"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ht="12.75"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ht="12.75"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ht="12.75">
      <c r="A129" s="5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ht="12.75"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ht="12.75"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ht="12.75"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ht="12.75"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ht="12.75"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ht="12.75"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ht="12.75"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ht="12.75"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ht="12.75"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ht="12.75"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ht="12.75"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ht="12.75"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ht="12.75"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ht="12.75"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ht="12.75"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ht="12.75"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ht="12.75"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ht="12.75"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ht="12.75"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ht="12.75"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ht="12.75"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ht="12.75"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ht="12.75"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ht="12.75"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ht="12.75"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ht="12.75"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ht="12.75"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ht="12.75"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ht="12.75"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ht="12.75"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ht="12.75">
      <c r="A160" s="5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ht="12.75"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ht="12.75">
      <c r="A162" s="5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ht="12.75"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ht="12.75"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ht="12.75"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ht="12.75"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ht="12.75"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ht="12.75"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ht="12.75"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ht="12.75"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ht="12.75"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ht="12.75"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ht="12.75"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ht="12.75"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ht="12.75"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ht="12.75"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ht="12.75"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ht="12.75"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ht="12.75"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ht="12.75"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ht="12.75"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ht="12.75"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ht="12.75"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ht="12.75"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ht="12.75"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ht="12.75"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ht="12.75"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ht="12.75"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ht="12.75"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ht="12.75"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ht="12.75"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ht="12.75"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ht="12.75"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ht="12.75"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ht="12.75"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ht="12.75"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ht="12.75"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ht="12.75"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ht="12.75"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ht="12.75"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ht="12.75"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ht="12.75"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ht="12.75"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ht="12.75"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ht="12.75"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ht="12.75"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ht="12.75"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ht="12.75"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ht="12.75"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ht="12.75"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ht="12.75"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ht="12.75"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ht="12.75"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ht="12.75"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ht="12.75"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ht="12.75"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ht="12.75"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ht="12.75"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ht="12.75"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ht="12.75"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ht="12.75"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ht="12.75"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ht="12.75"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ht="12.75"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ht="12.75"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ht="12.75"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ht="12.75"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ht="12.75"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ht="12.75"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ht="12.75"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ht="12.75"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ht="12.75"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ht="12.75"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ht="12.75"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ht="12.75"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ht="12.75"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ht="12.75"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ht="12.75"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ht="12.75"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ht="12.75"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ht="12.75"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ht="12.75"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ht="12.75"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ht="12.75"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ht="12.75"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ht="12.75"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ht="12.75"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ht="12.75"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ht="12.75"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ht="12.75"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ht="12.75"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ht="12.75"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ht="12.75"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ht="12.75"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ht="12.75"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ht="12.75"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ht="12.75"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ht="12.75">
      <c r="D258" s="2"/>
      <c r="E258" s="2"/>
      <c r="F258" s="2"/>
      <c r="G258" s="2"/>
      <c r="H258" s="2"/>
      <c r="I258" s="2"/>
      <c r="J258" s="2"/>
      <c r="K258" s="2"/>
      <c r="L258" s="2"/>
      <c r="M258" s="2"/>
    </row>
  </sheetData>
  <printOptions horizontalCentered="false" verticalCentered="false" gridLines="false" headings="false"/>
  <pageMargins bottom="0.25" footer="0.5" header="0.5" left="0.25" right="0.25" top="0.75"/>
  <pageSetup errors="displayed" fitToHeight="0" fitToWidth="0" orientation="portrait" useFirstPageNumber="false" firstPageNumber="0" paperSize="1" cellComments="none" scale="60"/>
  <headerFooter alignWithMargins="false" scaleWithDoc="true" differentOddEven="false" differentFirst="false"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2015-10-14T11:20:23Z</dcterms:created>
  <dc:creator>Apache POI</dc:creator>
</coreProperties>
</file>