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ily Cash Position" r:id="rId3" sheetId="1" state="visible"/>
    <sheet name="Summary of Accounts Template" r:id="rId4" sheetId="2" state="visible"/>
    <sheet name="Avfuel" r:id="rId5" sheetId="3" state="visible"/>
    <sheet name="Avsurance" r:id="rId6" sheetId="4" state="visible"/>
    <sheet name="Avflight" r:id="rId7" sheetId="5" state="visible"/>
    <sheet name="Avlease" r:id="rId8" sheetId="6" state="visible"/>
    <sheet name="Royal Bank Canada - US" r:id="rId9" sheetId="7" state="visible"/>
    <sheet name="Royal Bank Canada - CAD" r:id="rId10" sheetId="8" state="visible"/>
    <sheet name="Avfuel LTD Euro" r:id="rId11" sheetId="9" state="visible"/>
    <sheet name="Avfuel USD Account" r:id="rId12" sheetId="10" state="visible"/>
    <sheet name="Avflight UK LTD" r:id="rId13" sheetId="11" state="visible"/>
    <sheet name="Avfuel LTD" r:id="rId14" sheetId="12" state="visible"/>
  </sheets>
</workbook>
</file>

<file path=xl/sharedStrings.xml><?xml version="1.0" encoding="utf-8"?>
<sst xmlns="http://schemas.openxmlformats.org/spreadsheetml/2006/main" count="468" uniqueCount="59">
  <si>
    <t/>
  </si>
  <si>
    <t>Daily Cash Position</t>
  </si>
  <si>
    <t>Summary of Accounts</t>
  </si>
  <si>
    <t>Avfuel</t>
  </si>
  <si>
    <t>Avsurance</t>
  </si>
  <si>
    <t>Avflight</t>
  </si>
  <si>
    <t>Avlease</t>
  </si>
  <si>
    <t>Royal Bank of Canada - US</t>
  </si>
  <si>
    <t>Royal Bank of Canada - CAD</t>
  </si>
  <si>
    <t>Avfuel LTD Euro</t>
  </si>
  <si>
    <t>Avfuel USD Account</t>
  </si>
  <si>
    <t>Avflgiht UK LTD</t>
  </si>
  <si>
    <t>Avfuel LTD</t>
  </si>
  <si>
    <t>Opening Available</t>
  </si>
  <si>
    <t>Receipts</t>
  </si>
  <si>
    <t>Lockbox Deposits</t>
  </si>
  <si>
    <t>Incoming Wires</t>
  </si>
  <si>
    <t>Incoming ACH</t>
  </si>
  <si>
    <t>Incoming Book Transfers</t>
  </si>
  <si>
    <t>Total Receipts</t>
  </si>
  <si>
    <t>Cash Available</t>
  </si>
  <si>
    <t>Disbursements</t>
  </si>
  <si>
    <t>Outgoing Wires</t>
  </si>
  <si>
    <t>Outgoing ACH Positive Pay</t>
  </si>
  <si>
    <t>Outgoing ACH Non Positive Pay</t>
  </si>
  <si>
    <t>Outgoing ACH Other</t>
  </si>
  <si>
    <t>Outgoing ACH TMCW</t>
  </si>
  <si>
    <t xml:space="preserve">    Outgoing ACH Credits Cards</t>
  </si>
  <si>
    <t xml:space="preserve">    Outgoing ACH Contract Fuel Payback</t>
  </si>
  <si>
    <t xml:space="preserve">    Outgoing ACH Fuel Supplier</t>
  </si>
  <si>
    <t xml:space="preserve">    Outgoing ACH Tax</t>
  </si>
  <si>
    <t xml:space="preserve">    Outgoing ACH Other</t>
  </si>
  <si>
    <t>Outgoing Book Transfer</t>
  </si>
  <si>
    <t>Total Disbursements</t>
  </si>
  <si>
    <t>Interim Position</t>
  </si>
  <si>
    <t>Target Balance</t>
  </si>
  <si>
    <t>Pending Transactions</t>
  </si>
  <si>
    <t>Ending Balance</t>
  </si>
  <si>
    <t>Monthly Cash Position</t>
  </si>
  <si>
    <t>DATE</t>
  </si>
  <si>
    <t>Opening Ledger</t>
  </si>
  <si>
    <t>Lockbox</t>
  </si>
  <si>
    <t>Commercial Deposit</t>
  </si>
  <si>
    <t>Loan Activity</t>
  </si>
  <si>
    <t>Outgoing ACH - Contract Fuel</t>
  </si>
  <si>
    <t>Outgoing ACH - Credit Cards</t>
  </si>
  <si>
    <t>Outgoing ACH - Freight</t>
  </si>
  <si>
    <t>Outgoing ACH - Tax</t>
  </si>
  <si>
    <t>Outgoing ACH - Fuel Supplier</t>
  </si>
  <si>
    <t>Outgoing ACH - Other</t>
  </si>
  <si>
    <t>Checks Paid</t>
  </si>
  <si>
    <t>Misc</t>
  </si>
  <si>
    <t>BALANCE</t>
  </si>
  <si>
    <t>Monthly Total Credits &amp; Debits</t>
  </si>
  <si>
    <t>MTD</t>
  </si>
  <si>
    <t>Monthly Total Credits and Debits</t>
  </si>
  <si>
    <t>Credits</t>
  </si>
  <si>
    <t>Debits</t>
  </si>
  <si>
    <t>Outgoing ACH</t>
  </si>
</sst>
</file>

<file path=xl/styles.xml><?xml version="1.0" encoding="utf-8"?>
<styleSheet xmlns="http://schemas.openxmlformats.org/spreadsheetml/2006/main">
  <numFmts count="4">
    <numFmt numFmtId="165" formatCode="&quot;$&quot;#,##0.00"/>
    <numFmt numFmtId="166" formatCode="mm/dd/yy;@"/>
    <numFmt numFmtId="167" formatCode="\$#,##0.00_);[Red]\(\$#,##0.00\)"/>
    <numFmt numFmtId="168" formatCode="\$#,##0.00_);\(\$#,##0.00\)"/>
  </numFmts>
  <fonts count="12">
    <font>
      <name val="Arial MT"/>
      <sz val="10.0"/>
      <color rgb="FF000000"/>
      <u val="none"/>
    </font>
    <font>
      <name val="Calibri"/>
      <sz val="11.0"/>
      <b val="true"/>
      <color rgb="FF000000"/>
      <u val="none"/>
    </font>
    <font>
      <name val="Calibri"/>
      <sz val="10.0"/>
      <color rgb="FF000000"/>
      <u val="none"/>
    </font>
    <font>
      <name val="Calibri"/>
      <sz val="10.0"/>
      <b val="true"/>
      <color rgb="FF000000"/>
      <u val="none"/>
    </font>
    <font>
      <name val="Calibri"/>
      <sz val="10.0"/>
      <i val="true"/>
      <color rgb="FF000000"/>
      <u val="none"/>
    </font>
    <font>
      <name val="Calibri"/>
      <sz val="10.0"/>
      <i val="true"/>
      <color rgb="FF595959"/>
      <u val="none"/>
    </font>
    <font>
      <name val="Calibri"/>
      <sz val="9.0"/>
      <b val="true"/>
      <color rgb="FF000000"/>
      <u val="none"/>
    </font>
    <font>
      <name val="Calibri"/>
      <sz val="10.0"/>
      <b val="true"/>
      <i val="true"/>
      <color rgb="FF000000"/>
      <u val="none"/>
    </font>
    <font>
      <name val="Calibri"/>
      <sz val="9.0"/>
      <b val="true"/>
      <i val="true"/>
      <color rgb="FF000000"/>
      <u val="none"/>
    </font>
    <font>
      <name val="Calibri"/>
      <sz val="9.0"/>
      <color rgb="FF000000"/>
      <u val="none"/>
    </font>
    <font>
      <name val="Calibri"/>
      <sz val="9.0"/>
      <i val="true"/>
      <color rgb="FF595959"/>
      <u val="none"/>
    </font>
    <font>
      <name val="Calibri"/>
      <sz val="9.0"/>
      <b val="true"/>
      <i val="true"/>
      <color rgb="FF595959"/>
      <u val="none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numFmtId="39" fontId="0" fillId="2" borderId="0"/>
  </cellStyleXfs>
  <cellXfs count="79">
    <xf numFmtId="39" fontId="0" fillId="2" borderId="0" xfId="0" applyFill="true" applyNumberFormat="true"/>
    <xf numFmtId="39" fontId="1" fillId="0" borderId="0" xfId="0" applyAlignment="true" applyNumberFormat="true" applyFont="true">
      <alignment horizontal="center" wrapText="true"/>
    </xf>
    <xf numFmtId="14" fontId="2" fillId="0" borderId="0" xfId="0" applyAlignment="true" applyNumberFormat="true" applyFont="true">
      <alignment horizontal="center" wrapText="true"/>
    </xf>
    <xf numFmtId="39" fontId="2" fillId="2" borderId="0" xfId="0" applyFill="true" applyAlignment="true" applyNumberFormat="true" applyFont="true">
      <alignment vertical="center"/>
    </xf>
    <xf numFmtId="39" fontId="2" fillId="0" borderId="0" xfId="0" applyAlignment="true" applyNumberFormat="true" applyFont="true">
      <alignment vertical="center" wrapText="true"/>
    </xf>
    <xf numFmtId="39" fontId="2" fillId="0" borderId="0" xfId="0" applyAlignment="true" applyNumberFormat="true" applyFont="true">
      <alignment vertical="center"/>
    </xf>
    <xf numFmtId="165" fontId="3" fillId="3" borderId="0" xfId="0" applyFill="true" applyAlignment="true" applyNumberFormat="true" applyFont="true">
      <alignment horizontal="center" vertical="center"/>
    </xf>
    <xf numFmtId="39" fontId="3" fillId="2" borderId="0" xfId="0" applyFill="true" applyAlignment="true" applyNumberFormat="true" applyFont="true">
      <alignment vertical="center"/>
    </xf>
    <xf numFmtId="39" fontId="3" fillId="3" borderId="0" xfId="0" applyFill="true" applyAlignment="true" applyNumberFormat="true" applyFont="true">
      <alignment horizontal="center" vertical="center"/>
    </xf>
    <xf numFmtId="39" fontId="3" fillId="3" borderId="0" xfId="0" applyFill="true" applyAlignment="true" applyNumberFormat="true" applyFont="true">
      <alignment horizontal="center" vertical="center" wrapText="true"/>
    </xf>
    <xf numFmtId="39" fontId="3" fillId="0" borderId="0" xfId="0" applyAlignment="true" applyNumberFormat="true" applyFont="true">
      <alignment wrapText="true"/>
    </xf>
    <xf numFmtId="39" fontId="2" fillId="0" borderId="0" xfId="0" applyNumberFormat="true" applyFont="true"/>
    <xf numFmtId="7" fontId="3" fillId="0" borderId="0" xfId="0" applyNumberFormat="true" applyFont="true"/>
    <xf numFmtId="7" fontId="3" fillId="0" borderId="0" xfId="0" applyNumberFormat="true" applyFont="true"/>
    <xf numFmtId="39" fontId="2" fillId="0" borderId="0" xfId="0" applyAlignment="true" applyNumberFormat="true" applyFont="true">
      <alignment wrapText="true"/>
    </xf>
    <xf numFmtId="7" fontId="2" fillId="0" borderId="0" xfId="0" applyNumberFormat="true" applyFont="true"/>
    <xf numFmtId="7" fontId="2" fillId="0" borderId="0" xfId="0" applyNumberFormat="true" applyFont="true"/>
    <xf numFmtId="7" fontId="2" fillId="2" borderId="0" xfId="0" applyFill="true" applyNumberFormat="true" applyFont="true"/>
    <xf numFmtId="7" fontId="2" fillId="0" borderId="1" xfId="0" applyBorder="true" applyNumberFormat="true" applyFont="true"/>
    <xf numFmtId="39" fontId="4" fillId="0" borderId="0" xfId="0" applyAlignment="true" applyNumberFormat="true" applyFont="true">
      <alignment horizontal="left" wrapText="true"/>
    </xf>
    <xf numFmtId="7" fontId="5" fillId="0" borderId="0" xfId="0" applyNumberFormat="true" applyFont="true"/>
    <xf numFmtId="7" fontId="3" fillId="0" borderId="2" xfId="0" applyBorder="true" applyNumberFormat="true" applyFont="true"/>
    <xf numFmtId="7" fontId="2" fillId="2" borderId="0" xfId="0" applyFill="true" applyNumberFormat="true" applyFont="true"/>
    <xf numFmtId="39" fontId="2" fillId="2" borderId="0" xfId="0" applyFill="true" applyAlignment="true" applyNumberFormat="true" applyFont="true">
      <alignment wrapText="true"/>
    </xf>
    <xf numFmtId="39" fontId="2" fillId="2" borderId="0" xfId="0" applyFill="true" applyNumberFormat="true" applyFont="true"/>
    <xf numFmtId="39" fontId="6" fillId="0" borderId="0" xfId="0" applyAlignment="true" applyNumberFormat="true" applyFont="true">
      <alignment horizontal="center"/>
    </xf>
    <xf numFmtId="166" fontId="6" fillId="0" borderId="0" xfId="0" applyAlignment="true" applyNumberFormat="true" applyFont="true">
      <alignment horizontal="center"/>
    </xf>
    <xf numFmtId="39" fontId="7" fillId="0" borderId="0" xfId="0" applyAlignment="true" applyNumberFormat="true" applyFont="true">
      <alignment horizontal="center" vertical="center" wrapText="true"/>
    </xf>
    <xf numFmtId="39" fontId="8" fillId="4" borderId="0" xfId="0" applyFill="true" applyAlignment="true" applyNumberFormat="true" applyFont="true">
      <alignment horizontal="center" vertical="center" wrapText="true"/>
    </xf>
    <xf numFmtId="39" fontId="8" fillId="4" borderId="0" xfId="0" applyFill="true" applyAlignment="true" applyNumberFormat="true" applyFont="true">
      <alignment horizontal="center" vertical="center" wrapText="true"/>
    </xf>
    <xf numFmtId="39" fontId="8" fillId="5" borderId="0" xfId="0" applyFill="true" applyAlignment="true" applyNumberFormat="true" applyFont="true">
      <alignment horizontal="center" vertical="center" wrapText="true"/>
    </xf>
    <xf numFmtId="39" fontId="7" fillId="4" borderId="0" xfId="0" applyFill="true" applyAlignment="true" applyNumberFormat="true" applyFont="true">
      <alignment horizontal="center" vertical="center" wrapText="true"/>
    </xf>
    <xf numFmtId="39" fontId="9" fillId="0" borderId="0" xfId="0" applyNumberFormat="true" applyFont="true"/>
    <xf numFmtId="14" fontId="9" fillId="0" borderId="0" xfId="0" applyAlignment="true" applyNumberFormat="true" applyFont="true">
      <alignment horizontal="left"/>
    </xf>
    <xf numFmtId="4" fontId="9" fillId="0" borderId="0" xfId="0" applyNumberFormat="true" applyFont="true"/>
    <xf numFmtId="4" fontId="9" fillId="0" borderId="0" xfId="0" applyNumberFormat="true" applyFont="true"/>
    <xf numFmtId="4" fontId="9" fillId="0" borderId="0" xfId="0" applyNumberFormat="true" applyFont="true"/>
    <xf numFmtId="4" fontId="9" fillId="0" borderId="0" xfId="0" applyAlignment="true" applyNumberFormat="true" applyFont="true">
      <alignment horizontal="center"/>
    </xf>
    <xf numFmtId="39" fontId="9" fillId="0" borderId="0" xfId="0" applyNumberFormat="true" applyFont="true"/>
    <xf numFmtId="39" fontId="9" fillId="0" borderId="0" xfId="0" applyNumberFormat="true" applyFont="true"/>
    <xf numFmtId="39" fontId="9" fillId="0" borderId="0" xfId="0" applyNumberFormat="true" applyFont="true"/>
    <xf numFmtId="14" fontId="9" fillId="0" borderId="0" xfId="0" applyNumberFormat="true" applyFont="true"/>
    <xf numFmtId="39" fontId="9" fillId="0" borderId="0" xfId="0" applyAlignment="true" applyNumberFormat="true" applyFont="true">
      <alignment horizontal="left"/>
    </xf>
    <xf numFmtId="167" fontId="9" fillId="0" borderId="0" xfId="0" applyNumberFormat="true" applyFont="true"/>
    <xf numFmtId="167" fontId="10" fillId="0" borderId="0" xfId="0" applyNumberFormat="true" applyFont="true"/>
    <xf numFmtId="168" fontId="9" fillId="0" borderId="0" xfId="0" applyNumberFormat="true" applyFont="true"/>
    <xf numFmtId="39" fontId="2" fillId="0" borderId="0" xfId="0" applyNumberFormat="true" applyFont="true"/>
    <xf numFmtId="14" fontId="9" fillId="0" borderId="0" xfId="0" applyNumberFormat="true" applyFont="true"/>
    <xf numFmtId="14" fontId="9" fillId="0" borderId="0" xfId="0" applyNumberFormat="true" applyFont="true"/>
    <xf numFmtId="39" fontId="9" fillId="0" borderId="0" xfId="0" applyAlignment="true" applyNumberFormat="true" applyFont="true">
      <alignment horizontal="left"/>
    </xf>
    <xf numFmtId="39" fontId="9" fillId="0" borderId="0" xfId="0" applyAlignment="true" applyNumberFormat="true" applyFont="true">
      <alignment horizontal="left"/>
    </xf>
    <xf numFmtId="4" fontId="10" fillId="0" borderId="0" xfId="0" applyNumberFormat="true" applyFont="true"/>
    <xf numFmtId="14" fontId="6" fillId="0" borderId="0" xfId="0" applyAlignment="true" applyNumberFormat="true" applyFont="true">
      <alignment horizontal="left"/>
    </xf>
    <xf numFmtId="39" fontId="6" fillId="0" borderId="0" xfId="0" applyAlignment="true" applyNumberFormat="true" applyFont="true">
      <alignment horizontal="left"/>
    </xf>
    <xf numFmtId="167" fontId="6" fillId="0" borderId="0" xfId="0" applyNumberFormat="true" applyFont="true"/>
    <xf numFmtId="167" fontId="11" fillId="0" borderId="0" xfId="0" applyNumberFormat="true" applyFont="true"/>
    <xf numFmtId="39" fontId="2" fillId="0" borderId="0" xfId="0" applyAlignment="true" applyNumberFormat="true" applyFont="true">
      <alignment horizontal="left"/>
    </xf>
    <xf numFmtId="4" fontId="2" fillId="0" borderId="0" xfId="0" applyNumberFormat="true" applyFont="true"/>
    <xf numFmtId="4" fontId="2" fillId="0" borderId="0" xfId="0" applyNumberFormat="true" applyFont="true"/>
    <xf numFmtId="4" fontId="2" fillId="0" borderId="0" xfId="0" applyNumberFormat="true" applyFont="true"/>
    <xf numFmtId="40" fontId="2" fillId="0" borderId="0" xfId="0" applyNumberFormat="true" applyFont="true"/>
    <xf numFmtId="40" fontId="2" fillId="0" borderId="0" xfId="0" applyNumberFormat="true" applyFont="true"/>
    <xf numFmtId="39" fontId="2" fillId="0" borderId="0" xfId="0" applyNumberFormat="true" applyFont="true"/>
    <xf numFmtId="39" fontId="2" fillId="0" borderId="0" xfId="0" applyAlignment="true" applyNumberFormat="true" applyFont="true">
      <alignment horizontal="left"/>
    </xf>
    <xf numFmtId="4" fontId="2" fillId="0" borderId="0" xfId="0" applyNumberFormat="true" applyFont="true"/>
    <xf numFmtId="40" fontId="2" fillId="0" borderId="0" xfId="0" applyNumberFormat="true" applyFont="true"/>
    <xf numFmtId="39" fontId="2" fillId="0" borderId="0" xfId="0" applyNumberFormat="true" applyFont="true"/>
    <xf numFmtId="14" fontId="9" fillId="0" borderId="0" xfId="0" applyAlignment="true" applyNumberFormat="true" applyFont="true">
      <alignment horizontal="left"/>
    </xf>
    <xf numFmtId="4" fontId="9" fillId="0" borderId="0" xfId="0" applyAlignment="true" applyNumberFormat="true" applyFont="true">
      <alignment horizontal="center"/>
    </xf>
    <xf numFmtId="39" fontId="9" fillId="0" borderId="0" xfId="0" applyNumberFormat="true" applyFont="true"/>
    <xf numFmtId="39" fontId="9" fillId="0" borderId="0" xfId="0" applyNumberFormat="true" applyFont="true"/>
    <xf numFmtId="39" fontId="9" fillId="0" borderId="0" xfId="0" applyAlignment="true" applyNumberFormat="true" applyFont="true">
      <alignment horizontal="left"/>
    </xf>
    <xf numFmtId="168" fontId="9" fillId="0" borderId="0" xfId="0" applyNumberFormat="true" applyFont="true"/>
    <xf numFmtId="14" fontId="9" fillId="0" borderId="0" xfId="0" applyNumberFormat="true" applyFont="true"/>
    <xf numFmtId="14" fontId="6" fillId="0" borderId="0" xfId="0" applyAlignment="true" applyNumberFormat="true" applyFont="true">
      <alignment horizontal="left"/>
    </xf>
    <xf numFmtId="39" fontId="6" fillId="0" borderId="0" xfId="0" applyAlignment="true" applyNumberFormat="true" applyFont="true">
      <alignment horizontal="left"/>
    </xf>
    <xf numFmtId="39" fontId="2" fillId="0" borderId="0" xfId="0" applyAlignment="true" applyNumberFormat="true" applyFont="true">
      <alignment horizontal="left"/>
    </xf>
    <xf numFmtId="40" fontId="2" fillId="0" borderId="0" xfId="0" applyNumberFormat="true" applyFont="true"/>
    <xf numFmtId="166" fontId="6" fillId="6" borderId="0" xfId="0" applyFill="true" applyAlignment="true" applyNumberFormat="true" applyFont="true">
      <alignment horizontal="center"/>
    </xf>
  </cellXfs>
  <cellStyles count="1">
    <cellStyle name="Normal" xfId="0" customBuiltin="true" builtinId="0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 topLeftCell="A1" showGridLines="false">
      <pane xSplit="1.0" state="frozen" topLeftCell="B1" activePane="topRight"/>
      <selection pane="topRight"/>
    </sheetView>
  </sheetViews>
  <sheetFormatPr defaultRowHeight="12.75" customHeight="true" baseColWidth="18"/>
  <cols>
    <col min="1" max="1" style="23" customWidth="true" width="32.71484375" hidden="false"/>
    <col min="2" max="2" style="24" customWidth="true" width="5.28515625" hidden="false"/>
    <col min="3" max="3" style="24" customWidth="false" width="19.5703125" hidden="false"/>
    <col min="4" max="4" style="24" customWidth="true" width="8.5703125" hidden="false"/>
    <col min="5" max="16384" style="24" customWidth="false" width="19.5703125" hidden="false"/>
  </cols>
  <sheetData>
    <row r="1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2.75">
      <c r="A2" s="2" t="n">
        <f>NOW()</f>
        <v>42279.994881412036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5.5" s="3" customFormat="true">
      <c r="A3" s="4"/>
      <c r="B3" s="5"/>
      <c r="C3" s="6" t="s">
        <v>2</v>
      </c>
      <c r="D3" s="7"/>
      <c r="E3" s="8" t="s">
        <v>3</v>
      </c>
      <c r="F3" s="8" t="s">
        <v>4</v>
      </c>
      <c r="G3" s="8" t="s">
        <v>5</v>
      </c>
      <c r="H3" s="8" t="s">
        <v>6</v>
      </c>
      <c r="I3" s="9" t="s">
        <v>7</v>
      </c>
      <c r="J3" s="9" t="s">
        <v>8</v>
      </c>
      <c r="K3" s="8" t="s">
        <v>9</v>
      </c>
      <c r="L3" s="8" t="s">
        <v>10</v>
      </c>
      <c r="M3" s="8" t="s">
        <v>11</v>
      </c>
      <c r="N3" s="8" t="s">
        <v>12</v>
      </c>
    </row>
    <row r="4" ht="12.75">
      <c r="A4" s="10" t="s">
        <v>13</v>
      </c>
      <c r="B4" s="11"/>
      <c r="C4" s="12" t="e">
        <f>ds("Open Avail")</f>
        <v>#N/A</v>
      </c>
      <c r="D4" s="13"/>
      <c r="E4" s="12" t="e">
        <f>ds("Avfuel Open Avail")</f>
        <v>#N/A</v>
      </c>
      <c r="F4" s="12" t="e">
        <f>ds("Avsurance Open Avail")</f>
        <v>#N/A</v>
      </c>
      <c r="G4" s="12" t="e">
        <f>ds("Avflight Open Avail")</f>
        <v>#N/A</v>
      </c>
      <c r="H4" s="12" t="e">
        <f>ds("Avlease Open Avail")</f>
        <v>#N/A</v>
      </c>
      <c r="I4" s="12" t="e">
        <f>ds("RBC Open Avail")</f>
        <v>#N/A</v>
      </c>
      <c r="J4" s="12" t="e">
        <f>ds("RBC CAD Open Avail")</f>
        <v>#N/A</v>
      </c>
      <c r="K4" s="12" t="e">
        <f>ds("Avfuel LTD Euro Open Avail")</f>
        <v>#N/A</v>
      </c>
      <c r="L4" s="12" t="e">
        <f>ds("Avfuel USD Open Avail")</f>
        <v>#N/A</v>
      </c>
      <c r="M4" s="12" t="e">
        <f>ds("Avflight UK LTD Open Avail")</f>
        <v>#N/A</v>
      </c>
      <c r="N4" s="12" t="e">
        <f>ds("Avfuel LTD Open Avail")</f>
        <v>#N/A</v>
      </c>
    </row>
    <row r="5" ht="12.75">
      <c r="A5" s="14"/>
      <c r="B5" s="11"/>
      <c r="C5" s="15"/>
      <c r="D5" s="16"/>
      <c r="E5" s="15"/>
      <c r="F5" s="15"/>
      <c r="G5" s="15"/>
      <c r="H5" s="15"/>
      <c r="I5" s="17"/>
      <c r="J5" s="17"/>
      <c r="K5" s="17"/>
    </row>
    <row r="6" ht="12.75">
      <c r="A6" s="10" t="s">
        <v>14</v>
      </c>
      <c r="B6" s="11"/>
      <c r="C6" s="15"/>
      <c r="D6" s="16"/>
      <c r="E6" s="15"/>
      <c r="F6" s="15"/>
      <c r="G6" s="15"/>
      <c r="H6" s="15"/>
      <c r="I6" s="17"/>
      <c r="J6" s="17"/>
      <c r="K6" s="17"/>
    </row>
    <row r="7" ht="12.75">
      <c r="A7" s="14" t="s">
        <v>15</v>
      </c>
      <c r="B7" s="11"/>
      <c r="C7" s="15" t="e">
        <f>ds("Lockbox")</f>
        <v>#N/A</v>
      </c>
      <c r="D7" s="16"/>
      <c r="E7" s="15" t="e">
        <f>ds("Avfuel CD Lockbox")</f>
        <v>#N/A</v>
      </c>
      <c r="F7" s="15"/>
      <c r="G7" s="15"/>
      <c r="H7" s="15"/>
      <c r="I7" s="17"/>
      <c r="J7" s="17"/>
      <c r="K7" s="17"/>
    </row>
    <row r="8" ht="12.75">
      <c r="A8" s="14" t="s">
        <v>16</v>
      </c>
      <c r="B8" s="11"/>
      <c r="C8" s="15" t="e">
        <f>ds("Incoming Wires")</f>
        <v>#N/A</v>
      </c>
      <c r="D8" s="16"/>
      <c r="E8" s="15" t="e">
        <f>ds("Avfuel CD Incoming Wires")</f>
        <v>#N/A</v>
      </c>
      <c r="F8" s="15" t="e">
        <f>ds("Avsurance CD Incoming Wires")</f>
        <v>#N/A</v>
      </c>
      <c r="G8" s="15" t="e">
        <f>ds("Avflight CD Incoming Wire")</f>
        <v>#N/A</v>
      </c>
      <c r="H8" s="15" t="e">
        <f>ds("Avlease CD Incoming Wire")</f>
        <v>#N/A</v>
      </c>
      <c r="I8" s="17"/>
      <c r="J8" s="17"/>
      <c r="K8" s="17"/>
    </row>
    <row r="9" ht="12.75">
      <c r="A9" s="14" t="s">
        <v>17</v>
      </c>
      <c r="B9" s="11"/>
      <c r="C9" s="16" t="e">
        <f>ds("Incoming ACH")</f>
        <v>#N/A</v>
      </c>
      <c r="D9" s="16"/>
      <c r="E9" s="16" t="e">
        <f>ds("Avfuel CD Incoming ACH")</f>
        <v>#N/A</v>
      </c>
      <c r="F9" s="16" t="e">
        <f>ds("Avsurance CD Incoming ACH")</f>
        <v>#N/A</v>
      </c>
      <c r="G9" s="16" t="e">
        <f>ds("Avflight CD Incoming ACH")</f>
        <v>#N/A</v>
      </c>
      <c r="H9" s="16" t="e">
        <f>ds("Avlease CD Incoming ACH")</f>
        <v>#N/A</v>
      </c>
      <c r="I9" s="17"/>
      <c r="J9" s="17"/>
      <c r="K9" s="17"/>
    </row>
    <row r="10" ht="12.75">
      <c r="A10" s="14" t="s">
        <v>18</v>
      </c>
      <c r="B10" s="11"/>
      <c r="C10" s="18" t="e">
        <f>ds("Book Transfer Credit")</f>
        <v>#N/A</v>
      </c>
      <c r="D10" s="16"/>
      <c r="E10" s="18" t="e">
        <f>ds("Avfuel Book Transfer Credit")</f>
        <v>#N/A</v>
      </c>
      <c r="F10" s="18" t="e">
        <f>ds("Avsurance Book Transfer Credit")</f>
        <v>#N/A</v>
      </c>
      <c r="G10" s="18" t="e">
        <f>ds("Avflight Book Transfer Credit")</f>
        <v>#N/A</v>
      </c>
      <c r="H10" s="18" t="e">
        <f>ds("Avlease Book Transfer Credit")</f>
        <v>#N/A</v>
      </c>
      <c r="I10" s="17"/>
      <c r="J10" s="17"/>
      <c r="K10" s="17"/>
    </row>
    <row r="11" ht="12.75">
      <c r="A11" s="14"/>
      <c r="B11" s="11"/>
      <c r="C11" s="15"/>
      <c r="D11" s="16"/>
      <c r="E11" s="15"/>
      <c r="F11" s="15"/>
      <c r="G11" s="15"/>
      <c r="H11" s="15"/>
      <c r="I11" s="17"/>
      <c r="J11" s="17"/>
      <c r="K11" s="17"/>
    </row>
    <row r="12" ht="12.75">
      <c r="A12" s="10" t="s">
        <v>19</v>
      </c>
      <c r="B12" s="11"/>
      <c r="C12" s="12" t="e">
        <f>SUM(C7:C10)</f>
        <v>#N/A</v>
      </c>
      <c r="D12" s="13"/>
      <c r="E12" s="12" t="e">
        <f>SUM(E7:E10)</f>
        <v>#N/A</v>
      </c>
      <c r="F12" s="12" t="e">
        <f>SUM(F7:F10)</f>
        <v>#N/A</v>
      </c>
      <c r="G12" s="12" t="e">
        <f>SUM(G7:G10)</f>
        <v>#N/A</v>
      </c>
      <c r="H12" s="12" t="e">
        <f>SUM(H7:H10)</f>
        <v>#N/A</v>
      </c>
      <c r="I12" s="17"/>
      <c r="J12" s="17"/>
      <c r="K12" s="17"/>
    </row>
    <row r="13" ht="12.75">
      <c r="A13" s="14"/>
      <c r="B13" s="11"/>
      <c r="C13" s="15"/>
      <c r="D13" s="16"/>
      <c r="E13" s="15"/>
      <c r="F13" s="15"/>
      <c r="G13" s="15"/>
      <c r="H13" s="15"/>
      <c r="I13" s="17"/>
      <c r="J13" s="17"/>
      <c r="K13" s="17"/>
    </row>
    <row r="14" ht="12.75">
      <c r="A14" s="10" t="s">
        <v>20</v>
      </c>
      <c r="B14" s="11"/>
      <c r="C14" s="12" t="e">
        <f>C4+C12</f>
        <v>#N/A</v>
      </c>
      <c r="D14" s="13"/>
      <c r="E14" s="12" t="e">
        <f>E4+E12</f>
        <v>#N/A</v>
      </c>
      <c r="F14" s="12" t="e">
        <f>F4+F12</f>
        <v>#N/A</v>
      </c>
      <c r="G14" s="12" t="e">
        <f>G4+G12</f>
        <v>#N/A</v>
      </c>
      <c r="H14" s="12" t="e">
        <f>H4+H12</f>
        <v>#N/A</v>
      </c>
      <c r="I14" s="17"/>
      <c r="J14" s="17"/>
      <c r="K14" s="17"/>
    </row>
    <row r="15" ht="12.75">
      <c r="A15" s="14"/>
      <c r="B15" s="11"/>
      <c r="C15" s="15"/>
      <c r="D15" s="16"/>
      <c r="E15" s="15"/>
      <c r="F15" s="15"/>
      <c r="G15" s="15"/>
      <c r="H15" s="15"/>
      <c r="I15" s="17"/>
      <c r="J15" s="17"/>
      <c r="K15" s="17"/>
    </row>
    <row r="16" ht="12.75">
      <c r="A16" s="10" t="s">
        <v>21</v>
      </c>
      <c r="B16" s="11"/>
      <c r="C16" s="15"/>
      <c r="D16" s="16"/>
      <c r="E16" s="15"/>
      <c r="F16" s="15"/>
      <c r="G16" s="15"/>
      <c r="H16" s="15"/>
      <c r="I16" s="17"/>
      <c r="J16" s="17"/>
      <c r="K16" s="17"/>
    </row>
    <row r="17" ht="12.75">
      <c r="A17" s="14" t="s">
        <v>22</v>
      </c>
      <c r="B17" s="11"/>
      <c r="C17" s="15" t="e">
        <f>ds("Outgoing Wires")</f>
        <v>#N/A</v>
      </c>
      <c r="D17" s="16"/>
      <c r="E17" s="15" t="e">
        <f>ds("Avfuel CD Outgoing Wires")</f>
        <v>#N/A</v>
      </c>
      <c r="F17" s="15" t="e">
        <f>ds("Avsurance CD Outgoing Wires")</f>
        <v>#N/A</v>
      </c>
      <c r="G17" s="15" t="e">
        <f>ds("Avflight CD Outgoing Wire")</f>
        <v>#N/A</v>
      </c>
      <c r="H17" s="15" t="e">
        <f>ds("Avlease CD Outgoing Wire")</f>
        <v>#N/A</v>
      </c>
      <c r="I17" s="17"/>
      <c r="J17" s="17"/>
      <c r="K17" s="17"/>
    </row>
    <row r="18" ht="12.75">
      <c r="A18" s="14" t="s">
        <v>23</v>
      </c>
      <c r="B18" s="11"/>
      <c r="C18" s="16" t="e">
        <f>ds("outgoing ACH PP item")</f>
        <v>#N/A</v>
      </c>
      <c r="D18" s="16"/>
      <c r="E18" s="16" t="e">
        <f>ds("Avfuel ACH PP item")</f>
        <v>#N/A</v>
      </c>
      <c r="F18" s="16" t="e">
        <f>ds("Avsurance ACH PP item")</f>
        <v>#N/A</v>
      </c>
      <c r="G18" s="16" t="e">
        <f>ds("Avflight ACH PP item")</f>
        <v>#N/A</v>
      </c>
      <c r="H18" s="16" t="e">
        <f>ds("Avlease ACH PP item")</f>
        <v>#N/A</v>
      </c>
      <c r="I18" s="17"/>
      <c r="J18" s="17"/>
      <c r="K18" s="17"/>
    </row>
    <row r="19" ht="12.75">
      <c r="A19" s="14" t="s">
        <v>24</v>
      </c>
      <c r="B19" s="11"/>
      <c r="C19" s="16" t="e">
        <f>ds("Outgoing ACH Non PP Items")</f>
        <v>#N/A</v>
      </c>
      <c r="D19" s="16"/>
      <c r="E19" s="16" t="e">
        <f>ds("Avfuel ACH Non PP Item")</f>
        <v>#N/A</v>
      </c>
      <c r="F19" s="16" t="e">
        <f>ds("Avsurance ACH Non PP Item")</f>
        <v>#N/A</v>
      </c>
      <c r="G19" s="16" t="e">
        <f>ds("Avflight ACH Non PP Item")</f>
        <v>#N/A</v>
      </c>
      <c r="H19" s="16" t="e">
        <f>ds("Avlease ACH Non PP Item")</f>
        <v>#N/A</v>
      </c>
      <c r="I19" s="17"/>
      <c r="J19" s="17"/>
      <c r="K19" s="17"/>
    </row>
    <row r="20" ht="12.75">
      <c r="A20" s="14"/>
      <c r="B20" s="11"/>
      <c r="C20" s="16"/>
      <c r="D20" s="16"/>
      <c r="E20" s="16"/>
      <c r="F20" s="16"/>
      <c r="G20" s="16"/>
      <c r="H20" s="16"/>
      <c r="I20" s="17"/>
      <c r="J20" s="17"/>
      <c r="K20" s="17"/>
    </row>
    <row r="21" ht="12.75">
      <c r="A21" s="14" t="s">
        <v>25</v>
      </c>
      <c r="B21" s="11"/>
      <c r="C21" s="16" t="e">
        <f>ds("All Outgoing ACH Other")</f>
        <v>#N/A</v>
      </c>
      <c r="D21" s="16"/>
      <c r="E21" s="16" t="e">
        <f>ds("Avfuel CD Out ACH Other")</f>
        <v>#N/A</v>
      </c>
      <c r="F21" s="16" t="e">
        <f>ds("Avsurance CD Out ACH Other")</f>
        <v>#N/A</v>
      </c>
      <c r="G21" s="16" t="e">
        <f>ds("Avflight CD Out ACH Other")</f>
        <v>#N/A</v>
      </c>
      <c r="H21" s="16" t="e">
        <f>ds("Avlease CD Out ACH Other")</f>
        <v>#N/A</v>
      </c>
      <c r="I21" s="17"/>
      <c r="J21" s="17"/>
      <c r="K21" s="17"/>
    </row>
    <row r="22" ht="12.75">
      <c r="A22" s="14" t="s">
        <v>26</v>
      </c>
      <c r="B22" s="11"/>
      <c r="C22" s="16" t="e">
        <f>ds("All Outgoing ACH TMCW")</f>
        <v>#N/A</v>
      </c>
      <c r="D22" s="16"/>
      <c r="E22" s="16" t="e">
        <f>ds("Avfuel Out ACH TMCW")</f>
        <v>#N/A</v>
      </c>
      <c r="F22" s="16" t="e">
        <f>ds("Avsurance Out ACH TMCW")</f>
        <v>#N/A</v>
      </c>
      <c r="G22" s="16" t="e">
        <f>ds("Avflight Out ACH TMCW")</f>
        <v>#N/A</v>
      </c>
      <c r="H22" s="16" t="e">
        <f>ds("Avlease Out ACH TMCW")</f>
        <v>#N/A</v>
      </c>
      <c r="I22" s="17"/>
      <c r="J22" s="17"/>
      <c r="K22" s="17"/>
    </row>
    <row r="23" ht="12.75">
      <c r="A23" s="19" t="s">
        <v>27</v>
      </c>
      <c r="B23" s="11"/>
      <c r="C23" s="20" t="e">
        <f>ds("All Scheduled Credit Cards")</f>
        <v>#N/A</v>
      </c>
      <c r="D23" s="20"/>
      <c r="E23" s="20" t="e">
        <f>ds("Avfuel Scheduled Credit Cards")</f>
        <v>#N/A</v>
      </c>
      <c r="F23" s="20" t="e">
        <f>ds("Avsurance Scheduled Credit Cards")</f>
        <v>#N/A</v>
      </c>
      <c r="G23" s="20" t="e">
        <f>ds("Avflight Scheduled Credit Cards")</f>
        <v>#N/A</v>
      </c>
      <c r="H23" s="20" t="e">
        <f>ds("Avlease Scheduled Credit Cards")</f>
        <v>#N/A</v>
      </c>
      <c r="I23" s="17"/>
      <c r="J23" s="17"/>
      <c r="K23" s="17"/>
    </row>
    <row r="24" ht="12.75">
      <c r="A24" s="19" t="s">
        <v>28</v>
      </c>
      <c r="B24" s="11"/>
      <c r="C24" s="20" t="e">
        <f>ds("All Scheduled Contract Fuel")</f>
        <v>#N/A</v>
      </c>
      <c r="D24" s="20"/>
      <c r="E24" s="20" t="e">
        <f>ds("Avfuel Scheduled Contract Fuel")</f>
        <v>#N/A</v>
      </c>
      <c r="F24" s="20" t="e">
        <f>ds("Avsurance Scheduled Contract Fuel")</f>
        <v>#N/A</v>
      </c>
      <c r="G24" s="20" t="e">
        <f>ds("Avflight Scheduled Contract Fuel")</f>
        <v>#N/A</v>
      </c>
      <c r="H24" s="20" t="e">
        <f>ds("Avlease Scheduled Contract Fuel")</f>
        <v>#N/A</v>
      </c>
      <c r="I24" s="17"/>
      <c r="J24" s="17"/>
      <c r="K24" s="17"/>
    </row>
    <row r="25" ht="12.75">
      <c r="A25" s="19" t="s">
        <v>29</v>
      </c>
      <c r="B25" s="11"/>
      <c r="C25" s="20" t="e">
        <f>ds("All Scheduled Fuel Supplier")</f>
        <v>#N/A</v>
      </c>
      <c r="D25" s="20"/>
      <c r="E25" s="20" t="e">
        <f>ds("Avfuel Scheduled Fuel Supplier")</f>
        <v>#N/A</v>
      </c>
      <c r="F25" s="20" t="e">
        <f>ds("Avsurance Scheduled Fuel Supplier")</f>
        <v>#N/A</v>
      </c>
      <c r="G25" s="20" t="e">
        <f>ds("Avflight Scheduled Fuel Supplier")</f>
        <v>#N/A</v>
      </c>
      <c r="H25" s="20" t="e">
        <f>ds("Avlease Scheduled Fuel Supplier")</f>
        <v>#N/A</v>
      </c>
      <c r="I25" s="17"/>
      <c r="J25" s="17"/>
      <c r="K25" s="17"/>
    </row>
    <row r="26" ht="12.75">
      <c r="A26" s="19" t="s">
        <v>30</v>
      </c>
      <c r="B26" s="11"/>
      <c r="C26" s="20" t="e">
        <f>ds("All Scheduled Tax")</f>
        <v>#N/A</v>
      </c>
      <c r="D26" s="20"/>
      <c r="E26" s="20" t="e">
        <f>ds("Avfuel Scheduled Tax")</f>
        <v>#N/A</v>
      </c>
      <c r="F26" s="20" t="e">
        <f>ds("Avsurance Scheduled Tax")</f>
        <v>#N/A</v>
      </c>
      <c r="G26" s="20" t="e">
        <f>ds("Avflight Scheduled Tax")</f>
        <v>#N/A</v>
      </c>
      <c r="H26" s="20" t="e">
        <f>ds("Avlease Scheduled Tax")</f>
        <v>#N/A</v>
      </c>
      <c r="I26" s="17"/>
      <c r="J26" s="17"/>
      <c r="K26" s="17"/>
    </row>
    <row r="27" ht="12.75">
      <c r="A27" s="19" t="s">
        <v>31</v>
      </c>
      <c r="B27" s="11"/>
      <c r="C27" s="20" t="e">
        <f>ds("All Scheduled Other")</f>
        <v>#N/A</v>
      </c>
      <c r="D27" s="20"/>
      <c r="E27" s="20" t="e">
        <f>ds("Avfuel Scheduled Other")</f>
        <v>#N/A</v>
      </c>
      <c r="F27" s="20" t="e">
        <f>ds("Avsurance Scheduled Other")</f>
        <v>#N/A</v>
      </c>
      <c r="G27" s="20" t="e">
        <f>ds("Avflight Scheduled Other")</f>
        <v>#N/A</v>
      </c>
      <c r="H27" s="20" t="e">
        <f>ds("Avlease Scheduled Other")</f>
        <v>#N/A</v>
      </c>
      <c r="I27" s="17"/>
      <c r="J27" s="17"/>
      <c r="K27" s="17"/>
    </row>
    <row r="28" ht="12.75">
      <c r="A28" s="14" t="s">
        <v>32</v>
      </c>
      <c r="B28" s="11"/>
      <c r="C28" s="18" t="e">
        <f>ds("Book Transfer Debit")</f>
        <v>#N/A</v>
      </c>
      <c r="D28" s="16"/>
      <c r="E28" s="18" t="e">
        <f>ds("Avfuel Book Transfer Debit")</f>
        <v>#N/A</v>
      </c>
      <c r="F28" s="18" t="e">
        <f>ds("Avsurance Book Transfer Debit")</f>
        <v>#N/A</v>
      </c>
      <c r="G28" s="18" t="e">
        <f>ds("Avflight Book Transfer Debit")</f>
        <v>#N/A</v>
      </c>
      <c r="H28" s="18" t="e">
        <f>ds("Avlease Book Transfer Debit")</f>
        <v>#N/A</v>
      </c>
      <c r="I28" s="17"/>
      <c r="J28" s="17"/>
      <c r="K28" s="17"/>
    </row>
    <row r="29" ht="12.75">
      <c r="A29" s="14"/>
      <c r="B29" s="11"/>
      <c r="C29" s="15"/>
      <c r="D29" s="16"/>
      <c r="E29" s="15"/>
      <c r="F29" s="15"/>
      <c r="G29" s="15"/>
      <c r="H29" s="15"/>
      <c r="I29" s="17"/>
      <c r="J29" s="17"/>
      <c r="K29" s="17"/>
    </row>
    <row r="30" ht="12.75">
      <c r="A30" s="10" t="s">
        <v>33</v>
      </c>
      <c r="B30" s="11"/>
      <c r="C30" s="12" t="e">
        <f>SUM(C17:C19,C28)</f>
        <v>#N/A</v>
      </c>
      <c r="D30" s="12"/>
      <c r="E30" s="12" t="e">
        <f>SUM(E17:E19,E28)</f>
        <v>#N/A</v>
      </c>
      <c r="F30" s="12" t="e">
        <f>SUM(F17:F19,F28)</f>
        <v>#N/A</v>
      </c>
      <c r="G30" s="12" t="e">
        <f>SUM(G17:G19,G28)</f>
        <v>#N/A</v>
      </c>
      <c r="H30" s="12" t="e">
        <f>SUM(H17:H19,H28)</f>
        <v>#N/A</v>
      </c>
      <c r="I30" s="17"/>
      <c r="J30" s="17"/>
      <c r="K30" s="17"/>
    </row>
    <row r="31" ht="12.75">
      <c r="A31" s="10"/>
      <c r="B31" s="11"/>
      <c r="C31" s="12"/>
      <c r="D31" s="13"/>
      <c r="E31" s="12"/>
      <c r="F31" s="12"/>
      <c r="G31" s="12"/>
      <c r="H31" s="12"/>
      <c r="I31" s="17"/>
      <c r="J31" s="17"/>
      <c r="K31" s="17"/>
    </row>
    <row r="32" ht="12.75">
      <c r="A32" s="10" t="s">
        <v>34</v>
      </c>
      <c r="B32" s="11"/>
      <c r="C32" s="12" t="e">
        <f>C14-C30</f>
        <v>#N/A</v>
      </c>
      <c r="D32" s="13"/>
      <c r="E32" s="12" t="e">
        <f>E14-E30</f>
        <v>#N/A</v>
      </c>
      <c r="F32" s="12" t="e">
        <f>F14-F30</f>
        <v>#N/A</v>
      </c>
      <c r="G32" s="12" t="e">
        <f>G14-G30</f>
        <v>#N/A</v>
      </c>
      <c r="H32" s="12" t="e">
        <f>H14-H30</f>
        <v>#N/A</v>
      </c>
      <c r="I32" s="17"/>
      <c r="J32" s="17"/>
      <c r="K32" s="17"/>
    </row>
    <row r="33" ht="12.75">
      <c r="A33" s="10"/>
      <c r="B33" s="11"/>
      <c r="C33" s="12"/>
      <c r="D33" s="13"/>
      <c r="E33" s="12"/>
      <c r="F33" s="12"/>
      <c r="G33" s="12"/>
      <c r="H33" s="12"/>
      <c r="I33" s="17"/>
      <c r="J33" s="17"/>
      <c r="K33" s="17"/>
    </row>
    <row r="34" ht="12.75">
      <c r="A34" s="14" t="s">
        <v>35</v>
      </c>
      <c r="B34" s="11"/>
      <c r="C34" s="12"/>
      <c r="D34" s="13"/>
      <c r="E34" s="12"/>
      <c r="F34" s="12"/>
      <c r="G34" s="12"/>
      <c r="H34" s="12"/>
      <c r="I34" s="17"/>
      <c r="J34" s="17"/>
      <c r="K34" s="17"/>
    </row>
    <row r="35" ht="12.75">
      <c r="A35" s="14" t="s">
        <v>36</v>
      </c>
      <c r="B35" s="11"/>
      <c r="C35" s="18" t="e">
        <f>ds("Pending Transactions")</f>
        <v>#N/A</v>
      </c>
      <c r="D35" s="16"/>
      <c r="E35" s="18" t="e">
        <f>ds("Avfuel Pending Transactions")</f>
        <v>#N/A</v>
      </c>
      <c r="F35" s="18" t="e">
        <f>ds("Avsurance Pending Transactions")</f>
        <v>#N/A</v>
      </c>
      <c r="G35" s="18" t="e">
        <f>ds("Avflight Pending Transactions")</f>
        <v>#N/A</v>
      </c>
      <c r="H35" s="18" t="e">
        <f>ds("Avlease Pending Transactions")</f>
        <v>#N/A</v>
      </c>
      <c r="I35" s="17"/>
      <c r="J35" s="17"/>
      <c r="K35" s="17"/>
    </row>
    <row r="36" ht="12.75">
      <c r="A36" s="14"/>
      <c r="B36" s="11"/>
      <c r="C36" s="15"/>
      <c r="D36" s="16"/>
      <c r="E36" s="15"/>
      <c r="F36" s="15"/>
      <c r="G36" s="15"/>
      <c r="H36" s="15"/>
      <c r="I36" s="17"/>
      <c r="J36" s="17"/>
      <c r="K36" s="17"/>
    </row>
    <row r="37" ht="13.5">
      <c r="A37" s="10" t="s">
        <v>37</v>
      </c>
      <c r="B37" s="11"/>
      <c r="C37" s="21" t="e">
        <f>C32-C34-C35</f>
        <v>#N/A</v>
      </c>
      <c r="D37" s="13"/>
      <c r="E37" s="21" t="e">
        <f>E32-E34-E35</f>
        <v>#N/A</v>
      </c>
      <c r="F37" s="21" t="e">
        <f>F32-F34-F35</f>
        <v>#N/A</v>
      </c>
      <c r="G37" s="21" t="e">
        <f>G32-G34-G35</f>
        <v>#N/A</v>
      </c>
      <c r="H37" s="21" t="e">
        <f>H32-H34-H35</f>
        <v>#N/A</v>
      </c>
      <c r="I37" s="17"/>
      <c r="J37" s="17"/>
      <c r="K37" s="17"/>
    </row>
    <row r="38" ht="12.75">
      <c r="A38" s="14"/>
      <c r="B38" s="11"/>
      <c r="C38" s="15"/>
      <c r="D38" s="22"/>
      <c r="E38" s="17"/>
      <c r="F38" s="17"/>
      <c r="G38" s="17"/>
      <c r="H38" s="17"/>
      <c r="I38" s="17"/>
      <c r="J38" s="17"/>
      <c r="K38" s="17"/>
    </row>
    <row r="39" ht="12.75">
      <c r="A39" s="14"/>
      <c r="B39" s="11"/>
      <c r="C39" s="15"/>
      <c r="D39" s="17"/>
      <c r="E39" s="17"/>
      <c r="F39" s="17"/>
      <c r="G39" s="17"/>
      <c r="H39" s="17"/>
      <c r="I39" s="17"/>
      <c r="J39" s="17"/>
      <c r="K39" s="17"/>
    </row>
    <row r="40" ht="12.75">
      <c r="C40" s="17"/>
      <c r="D40" s="17"/>
      <c r="E40" s="17"/>
      <c r="F40" s="17"/>
      <c r="G40" s="17"/>
      <c r="H40" s="17"/>
      <c r="I40" s="17"/>
      <c r="J40" s="17"/>
      <c r="K40" s="17"/>
    </row>
    <row r="41" ht="12.75">
      <c r="C41" s="17"/>
      <c r="D41" s="17"/>
      <c r="E41" s="17"/>
      <c r="F41" s="17"/>
      <c r="G41" s="17"/>
      <c r="H41" s="17"/>
      <c r="I41" s="17"/>
      <c r="J41" s="17"/>
      <c r="K41" s="17"/>
    </row>
  </sheetData>
  <mergeCells>
    <mergeCell ref="A1:K1"/>
    <mergeCell ref="A2:K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10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0" hidden="false"/>
    <col min="2" max="2" style="63" customWidth="true" width="2.5703125" hidden="false"/>
    <col min="3" max="3" style="62" customWidth="true" width="15.85546875" hidden="false"/>
    <col min="4" max="4" style="62" customWidth="true" width="15.85546875" hidden="false"/>
    <col min="5" max="5" style="62" customWidth="true" width="12.71484375" hidden="false"/>
    <col min="6" max="6" style="62" customWidth="true" width="12.28515625" hidden="false"/>
    <col min="7" max="7" style="62" customWidth="true" width="14.71484375" hidden="false"/>
    <col min="8" max="8" style="62" customWidth="true" width="14.71484375" hidden="false"/>
    <col min="9" max="9" style="64" customWidth="true" width="13.71484375" hidden="false"/>
    <col min="10" max="10" style="62" customWidth="true" width="13.5703125" hidden="false"/>
    <col min="11" max="11" style="62" customWidth="true" width="13.0" hidden="false"/>
    <col min="12" max="12" style="62" customWidth="true" width="13.4296875" hidden="false"/>
    <col min="13" max="13" style="62" customWidth="true" width="15.14453125" hidden="false"/>
    <col min="14" max="14" style="62" customWidth="false" width="9.14453125" hidden="false"/>
    <col min="15" max="15" style="62" customWidth="true" width="13.71484375" hidden="false"/>
    <col min="16" max="16" style="62" customWidth="false" width="9.14453125" hidden="false"/>
    <col min="17" max="17" style="62" customWidth="false" width="9.14453125" hidden="false"/>
    <col min="18" max="18" style="62" customWidth="false" width="9.14453125" hidden="false"/>
    <col min="19" max="25" style="62" customWidth="false" width="9.14453125" hidden="false"/>
    <col min="26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Height="true" ht="12.75">
      <c r="A2" s="26" t="n">
        <f>NOW()</f>
        <v>42279.995107256946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customHeight="true" ht="12.75">
      <c r="A3" s="26"/>
      <c r="B3" s="26"/>
      <c r="C3" s="26"/>
      <c r="D3" s="26"/>
      <c r="E3" s="78"/>
      <c r="F3" s="78"/>
      <c r="G3" s="26"/>
      <c r="H3" s="26"/>
      <c r="I3" s="26"/>
      <c r="J3" s="26"/>
      <c r="K3" s="26"/>
      <c r="L3" s="26"/>
      <c r="M3" s="78"/>
    </row>
    <row r="4" customHeight="true" ht="35.25" s="27" customFormat="true">
      <c r="A4" s="28" t="s">
        <v>39</v>
      </c>
      <c r="B4" s="29"/>
      <c r="C4" s="29" t="s">
        <v>40</v>
      </c>
      <c r="D4" s="29" t="s">
        <v>56</v>
      </c>
      <c r="E4" s="29" t="s">
        <v>17</v>
      </c>
      <c r="F4" s="29" t="s">
        <v>16</v>
      </c>
      <c r="G4" s="29" t="s">
        <v>42</v>
      </c>
      <c r="H4" s="29" t="s">
        <v>57</v>
      </c>
      <c r="I4" s="29" t="s">
        <v>58</v>
      </c>
      <c r="J4" s="29" t="s">
        <v>22</v>
      </c>
      <c r="K4" s="29" t="s">
        <v>50</v>
      </c>
      <c r="L4" s="29" t="s">
        <v>51</v>
      </c>
      <c r="M4" s="29" t="s">
        <v>52</v>
      </c>
      <c r="O4" s="31" t="s">
        <v>55</v>
      </c>
    </row>
    <row r="5" customHeight="true" ht="12.75" s="32" customFormat="true">
      <c r="A5" s="67"/>
      <c r="B5" s="67"/>
      <c r="C5" s="36"/>
      <c r="D5" s="36"/>
      <c r="E5" s="36"/>
      <c r="F5" s="36"/>
      <c r="G5" s="36"/>
      <c r="H5" s="36"/>
      <c r="I5" s="36"/>
      <c r="J5" s="68"/>
      <c r="K5" s="69"/>
      <c r="L5" s="69"/>
      <c r="M5" s="69"/>
    </row>
    <row r="6" ht="12.0" s="70" customFormat="true">
      <c r="A6" s="41" t="n">
        <f>DATEVALUE(MONTH(TODAY())&amp;"/1/"&amp;YEAR(TODAY()))</f>
        <v>42278.0</v>
      </c>
      <c r="B6" s="71"/>
      <c r="C6" s="43" t="e">
        <f>dsd("Avfuel USD Monthly Opening Ledger",1)</f>
        <v>#NAME?</v>
      </c>
      <c r="D6" s="43" t="e">
        <f>dsd("Avfuel USD Credits",1)</f>
        <v>#NAME?</v>
      </c>
      <c r="E6" s="43" t="e">
        <f>dsd("Avfuel USD Incoming ACH",1)</f>
        <v>#NAME?</v>
      </c>
      <c r="F6" s="43" t="e">
        <f>dsd("Avfuel USD Incoming Wire",1)</f>
        <v>#NAME?</v>
      </c>
      <c r="G6" s="43" t="e">
        <f>dsd("Avfuel USD Commercial Deposit",1)</f>
        <v>#NAME?</v>
      </c>
      <c r="H6" s="43" t="e">
        <f>dsd("Avfuel USD Debits",1)</f>
        <v>#NAME?</v>
      </c>
      <c r="I6" s="43" t="e">
        <f>dsd("Avfuel USD Outgoing ACH",1)</f>
        <v>#NAME?</v>
      </c>
      <c r="J6" s="43" t="e">
        <f>dsd("Avfuel USD Monthly Outgoing wires",1)</f>
        <v>#NAME?</v>
      </c>
      <c r="K6" s="43" t="e">
        <f>dsd("Avfuel USD Check Paid",1)</f>
        <v>#NAME?</v>
      </c>
      <c r="L6" s="43" t="e">
        <f>dsd("Avfuel USD Monthly Other",1)</f>
        <v>#NAME?</v>
      </c>
      <c r="M6" s="72" t="e">
        <f>SUM(C6:I6,J6:L6)</f>
        <v>#NULL!</v>
      </c>
      <c r="O6" s="43" t="e">
        <f>dsd("Avfuel USD Monthly Debits and Credits",1)</f>
        <v>#NAME?</v>
      </c>
    </row>
    <row r="7" ht="12.0" s="70" customFormat="true">
      <c r="A7" s="41" t="n">
        <f>IF(A6&lt;&gt;"",IF(MONTH(A6)=MONTH(A6+1),A6+1,""),"")</f>
        <v>42279.0</v>
      </c>
      <c r="B7" s="71"/>
      <c r="C7" s="43" t="e">
        <f>dsd("Avfuel USD Monthly Opening Ledger",2)</f>
        <v>#NAME?</v>
      </c>
      <c r="D7" s="43" t="e">
        <f>dsd("Avfuel USD Credits",2)</f>
        <v>#NAME?</v>
      </c>
      <c r="E7" s="43" t="e">
        <f>dsd("Avfuel USD Incoming ACH",2)</f>
        <v>#NAME?</v>
      </c>
      <c r="F7" s="43" t="e">
        <f>dsd("Avfuel USD Incoming Wire",2)</f>
        <v>#NAME?</v>
      </c>
      <c r="G7" s="43" t="e">
        <f>dsd("Avfuel USD Commercial Deposit",2)</f>
        <v>#NAME?</v>
      </c>
      <c r="H7" s="43" t="e">
        <f>dsd("Avfuel USD Debits",2)</f>
        <v>#NAME?</v>
      </c>
      <c r="I7" s="43" t="e">
        <f>dsd("Avfuel USD Outgoing ACH",2)</f>
        <v>#NAME?</v>
      </c>
      <c r="J7" s="43" t="e">
        <f>dsd("Avfuel USD Monthly Outgoing wires",2)</f>
        <v>#NAME?</v>
      </c>
      <c r="K7" s="43" t="e">
        <f>dsd("Avfuel USD Check Paid",2)</f>
        <v>#NAME?</v>
      </c>
      <c r="L7" s="43" t="e">
        <f>dsd("Avfuel USD Monthly Other",2)</f>
        <v>#NAME?</v>
      </c>
      <c r="M7" s="72" t="e">
        <f>SUM(C7:I7,J7:L7)</f>
        <v>#NULL!</v>
      </c>
      <c r="O7" s="43" t="e">
        <f>dsd("Avfuel USD Monthly Debits and Credits",2)</f>
        <v>#NAME?</v>
      </c>
    </row>
    <row r="8" ht="12.75" s="66" customFormat="true">
      <c r="A8" s="41" t="n">
        <f>IF(A7&lt;&gt;"",IF(MONTH(A7)=MONTH(A7+1),A7+1,""),"")</f>
        <v>42280.0</v>
      </c>
      <c r="B8" s="71"/>
      <c r="C8" s="43" t="e">
        <f>dsd("Avfuel USD Monthly Opening Ledger",3)</f>
        <v>#NAME?</v>
      </c>
      <c r="D8" s="43" t="e">
        <f>dsd("Avfuel USD Credits",3)</f>
        <v>#NAME?</v>
      </c>
      <c r="E8" s="43" t="e">
        <f>dsd("Avfuel USD Incoming ACH",3)</f>
        <v>#NAME?</v>
      </c>
      <c r="F8" s="43" t="e">
        <f>dsd("Avfuel USD Incoming Wire",3)</f>
        <v>#NAME?</v>
      </c>
      <c r="G8" s="43" t="e">
        <f>dsd("Avfuel USD Commercial Deposit",3)</f>
        <v>#NAME?</v>
      </c>
      <c r="H8" s="43" t="e">
        <f>dsd("Avfuel USD Debits",3)</f>
        <v>#NAME?</v>
      </c>
      <c r="I8" s="43" t="e">
        <f>dsd("Avfuel USD Outgoing ACH",3)</f>
        <v>#NAME?</v>
      </c>
      <c r="J8" s="43" t="e">
        <f>dsd("Avfuel USD Monthly Outgoing wires",3)</f>
        <v>#NAME?</v>
      </c>
      <c r="K8" s="43" t="e">
        <f>dsd("Avfuel USD Check Paid",3)</f>
        <v>#NAME?</v>
      </c>
      <c r="L8" s="43" t="e">
        <f>dsd("Avfuel USD Monthly Other",3)</f>
        <v>#NAME?</v>
      </c>
      <c r="M8" s="72" t="e">
        <f>SUM(C8:I8,J8:L8)</f>
        <v>#NULL!</v>
      </c>
      <c r="O8" s="43" t="e">
        <f>dsd("Avfuel USD Monthly Debits and Credits",3)</f>
        <v>#NAME?</v>
      </c>
    </row>
    <row r="9" ht="12.75" s="66" customFormat="true">
      <c r="A9" s="41" t="n">
        <f>IF(A8&lt;&gt;"",IF(MONTH(A8)=MONTH(A8+1),A8+1,""),"")</f>
        <v>42281.0</v>
      </c>
      <c r="B9" s="71"/>
      <c r="C9" s="43" t="e">
        <f>dsd("Avfuel USD Monthly Opening Ledger",4)</f>
        <v>#NAME?</v>
      </c>
      <c r="D9" s="43" t="e">
        <f>dsd("Avfuel USD Credits",4)</f>
        <v>#NAME?</v>
      </c>
      <c r="E9" s="43" t="e">
        <f>dsd("Avfuel USD Incoming ACH",4)</f>
        <v>#NAME?</v>
      </c>
      <c r="F9" s="43" t="e">
        <f>dsd("Avfuel USD Incoming Wire",4)</f>
        <v>#NAME?</v>
      </c>
      <c r="G9" s="43" t="e">
        <f>dsd("Avfuel USD Commercial Deposit",4)</f>
        <v>#NAME?</v>
      </c>
      <c r="H9" s="43" t="e">
        <f>dsd("Avfuel USD Debits",4)</f>
        <v>#NAME?</v>
      </c>
      <c r="I9" s="43" t="e">
        <f>dsd("Avfuel USD Outgoing ACH",4)</f>
        <v>#NAME?</v>
      </c>
      <c r="J9" s="43" t="e">
        <f>dsd("Avfuel USD Monthly Outgoing wires",4)</f>
        <v>#NAME?</v>
      </c>
      <c r="K9" s="43" t="e">
        <f>dsd("Avfuel USD Check Paid",4)</f>
        <v>#NAME?</v>
      </c>
      <c r="L9" s="43" t="e">
        <f>dsd("Avfuel USD Monthly Other",4)</f>
        <v>#NAME?</v>
      </c>
      <c r="M9" s="72" t="e">
        <f>SUM(C9:I9,J9:L9)</f>
        <v>#NULL!</v>
      </c>
      <c r="O9" s="43" t="e">
        <f>dsd("Avfuel USD Monthly Debits and Credits",4)</f>
        <v>#NAME?</v>
      </c>
    </row>
    <row r="10" ht="12.75" s="66" customFormat="true">
      <c r="A10" s="41" t="n">
        <f>IF(A9&lt;&gt;"",IF(MONTH(A9)=MONTH(A9+1),A9+1,""),"")</f>
        <v>42282.0</v>
      </c>
      <c r="B10" s="71"/>
      <c r="C10" s="43" t="e">
        <f>dsd("Avfuel USD Monthly Opening Ledger",5)</f>
        <v>#NAME?</v>
      </c>
      <c r="D10" s="43" t="e">
        <f>dsd("Avfuel USD Credits",5)</f>
        <v>#NAME?</v>
      </c>
      <c r="E10" s="43" t="e">
        <f>dsd("Avfuel USD Incoming ACH",5)</f>
        <v>#NAME?</v>
      </c>
      <c r="F10" s="43" t="e">
        <f>dsd("Avfuel USD Incoming Wire",5)</f>
        <v>#NAME?</v>
      </c>
      <c r="G10" s="43" t="e">
        <f>dsd("Avfuel USD Commercial Deposit",5)</f>
        <v>#NAME?</v>
      </c>
      <c r="H10" s="43" t="e">
        <f>dsd("Avfuel USD Debits",5)</f>
        <v>#NAME?</v>
      </c>
      <c r="I10" s="43" t="e">
        <f>dsd("Avfuel USD Outgoing ACH",5)</f>
        <v>#NAME?</v>
      </c>
      <c r="J10" s="43" t="e">
        <f>dsd("Avfuel USD Monthly Outgoing wires",5)</f>
        <v>#NAME?</v>
      </c>
      <c r="K10" s="43" t="e">
        <f>dsd("Avfuel USD Check Paid",5)</f>
        <v>#NAME?</v>
      </c>
      <c r="L10" s="43" t="e">
        <f>dsd("Avfuel USD Monthly Other",5)</f>
        <v>#NAME?</v>
      </c>
      <c r="M10" s="72" t="e">
        <f>SUM(C10:I10,J10:L10)</f>
        <v>#NULL!</v>
      </c>
      <c r="O10" s="43" t="e">
        <f>dsd("Avfuel USD Monthly Debits and Credits",5)</f>
        <v>#NAME?</v>
      </c>
    </row>
    <row r="11" ht="12.75" s="66" customFormat="true">
      <c r="A11" s="41" t="n">
        <f>IF(A10&lt;&gt;"",IF(MONTH(A10)=MONTH(A10+1),A10+1,""),"")</f>
        <v>42283.0</v>
      </c>
      <c r="B11" s="71"/>
      <c r="C11" s="43" t="e">
        <f>dsd("Avfuel USD Monthly Opening Ledger",6)</f>
        <v>#NAME?</v>
      </c>
      <c r="D11" s="43" t="e">
        <f>dsd("Avfuel USD Credits",6)</f>
        <v>#NAME?</v>
      </c>
      <c r="E11" s="43" t="e">
        <f>dsd("Avfuel USD Incoming ACH",6)</f>
        <v>#NAME?</v>
      </c>
      <c r="F11" s="43" t="e">
        <f>dsd("Avfuel USD Incoming Wire",6)</f>
        <v>#NAME?</v>
      </c>
      <c r="G11" s="43" t="e">
        <f>dsd("Avfuel USD Commercial Deposit",6)</f>
        <v>#NAME?</v>
      </c>
      <c r="H11" s="43" t="e">
        <f>dsd("Avfuel USD Debits",6)</f>
        <v>#NAME?</v>
      </c>
      <c r="I11" s="43" t="e">
        <f>dsd("Avfuel USD Outgoing ACH",6)</f>
        <v>#NAME?</v>
      </c>
      <c r="J11" s="43" t="e">
        <f>dsd("Avfuel USD Monthly Outgoing wires",6)</f>
        <v>#NAME?</v>
      </c>
      <c r="K11" s="43" t="e">
        <f>dsd("Avfuel USD Check Paid",6)</f>
        <v>#NAME?</v>
      </c>
      <c r="L11" s="43" t="e">
        <f>dsd("Avfuel USD Monthly Other",6)</f>
        <v>#NAME?</v>
      </c>
      <c r="M11" s="72" t="e">
        <f>SUM(C11:I11,J11:L11)</f>
        <v>#NULL!</v>
      </c>
      <c r="O11" s="43" t="e">
        <f>dsd("Avfuel USD Monthly Debits and Credits",6)</f>
        <v>#NAME?</v>
      </c>
    </row>
    <row r="12" ht="12.75" s="66" customFormat="true">
      <c r="A12" s="41" t="n">
        <f>IF(A11&lt;&gt;"",IF(MONTH(A11)=MONTH(A11+1),A11+1,""),"")</f>
        <v>42284.0</v>
      </c>
      <c r="B12" s="71"/>
      <c r="C12" s="43" t="e">
        <f>dsd("Avfuel USD Monthly Opening Ledger",7)</f>
        <v>#NAME?</v>
      </c>
      <c r="D12" s="43" t="e">
        <f>dsd("Avfuel USD Credits",7)</f>
        <v>#NAME?</v>
      </c>
      <c r="E12" s="43" t="e">
        <f>dsd("Avfuel USD Incoming ACH",7)</f>
        <v>#NAME?</v>
      </c>
      <c r="F12" s="43" t="e">
        <f>dsd("Avfuel USD Incoming Wire",7)</f>
        <v>#NAME?</v>
      </c>
      <c r="G12" s="43" t="e">
        <f>dsd("Avfuel USD Commercial Deposit",7)</f>
        <v>#NAME?</v>
      </c>
      <c r="H12" s="43" t="e">
        <f>dsd("Avfuel USD Debits",7)</f>
        <v>#NAME?</v>
      </c>
      <c r="I12" s="43" t="e">
        <f>dsd("Avfuel USD Outgoing ACH",7)</f>
        <v>#NAME?</v>
      </c>
      <c r="J12" s="43" t="e">
        <f>dsd("Avfuel USD Monthly Outgoing wires",7)</f>
        <v>#NAME?</v>
      </c>
      <c r="K12" s="43" t="e">
        <f>dsd("Avfuel USD Check Paid",7)</f>
        <v>#NAME?</v>
      </c>
      <c r="L12" s="43" t="e">
        <f>dsd("Avfuel USD Monthly Other",7)</f>
        <v>#NAME?</v>
      </c>
      <c r="M12" s="72" t="e">
        <f>SUM(C12:I12,J12:L12)</f>
        <v>#NULL!</v>
      </c>
      <c r="O12" s="43" t="e">
        <f>dsd("Avfuel USD Monthly Debits and Credits",7)</f>
        <v>#NAME?</v>
      </c>
    </row>
    <row r="13" ht="12.75" s="66" customFormat="true">
      <c r="A13" s="41" t="n">
        <f>IF(A12&lt;&gt;"",IF(MONTH(A12)=MONTH(A12+1),A12+1,""),"")</f>
        <v>42285.0</v>
      </c>
      <c r="B13" s="71"/>
      <c r="C13" s="43" t="e">
        <f>dsd("Avfuel USD Monthly Opening Ledger",8)</f>
        <v>#NAME?</v>
      </c>
      <c r="D13" s="43" t="e">
        <f>dsd("Avfuel USD Credits",8)</f>
        <v>#NAME?</v>
      </c>
      <c r="E13" s="43" t="e">
        <f>dsd("Avfuel USD Incoming ACH",8)</f>
        <v>#NAME?</v>
      </c>
      <c r="F13" s="43" t="e">
        <f>dsd("Avfuel USD Incoming Wire",8)</f>
        <v>#NAME?</v>
      </c>
      <c r="G13" s="43" t="e">
        <f>dsd("Avfuel USD Commercial Deposit",8)</f>
        <v>#NAME?</v>
      </c>
      <c r="H13" s="43" t="e">
        <f>dsd("Avfuel USD Debits",8)</f>
        <v>#NAME?</v>
      </c>
      <c r="I13" s="43" t="e">
        <f>dsd("Avfuel USD Outgoing ACH",8)</f>
        <v>#NAME?</v>
      </c>
      <c r="J13" s="43" t="e">
        <f>dsd("Avfuel USD Monthly Outgoing wires",8)</f>
        <v>#NAME?</v>
      </c>
      <c r="K13" s="43" t="e">
        <f>dsd("Avfuel USD Check Paid",8)</f>
        <v>#NAME?</v>
      </c>
      <c r="L13" s="43" t="e">
        <f>dsd("Avfuel USD Monthly Other",8)</f>
        <v>#NAME?</v>
      </c>
      <c r="M13" s="72" t="e">
        <f>SUM(C13:I13,J13:L13)</f>
        <v>#NULL!</v>
      </c>
      <c r="O13" s="43" t="e">
        <f>dsd("Avfuel USD Monthly Debits and Credits",8)</f>
        <v>#NAME?</v>
      </c>
    </row>
    <row r="14" ht="12.75" s="66" customFormat="true">
      <c r="A14" s="41" t="n">
        <f>IF(A13&lt;&gt;"",IF(MONTH(A13)=MONTH(A13+1),A13+1,""),"")</f>
        <v>42286.0</v>
      </c>
      <c r="B14" s="71"/>
      <c r="C14" s="43" t="e">
        <f>dsd("Avfuel USD Monthly Opening Ledger",9)</f>
        <v>#NAME?</v>
      </c>
      <c r="D14" s="43" t="e">
        <f>dsd("Avfuel USD Credits",9)</f>
        <v>#NAME?</v>
      </c>
      <c r="E14" s="43" t="e">
        <f>dsd("Avfuel USD Incoming ACH",9)</f>
        <v>#NAME?</v>
      </c>
      <c r="F14" s="43" t="e">
        <f>dsd("Avfuel USD Incoming Wire",9)</f>
        <v>#NAME?</v>
      </c>
      <c r="G14" s="43" t="e">
        <f>dsd("Avfuel USD Commercial Deposit",9)</f>
        <v>#NAME?</v>
      </c>
      <c r="H14" s="43" t="e">
        <f>dsd("Avfuel USD Debits",9)</f>
        <v>#NAME?</v>
      </c>
      <c r="I14" s="43" t="e">
        <f>dsd("Avfuel USD Outgoing ACH",9)</f>
        <v>#NAME?</v>
      </c>
      <c r="J14" s="43" t="e">
        <f>dsd("Avfuel USD Monthly Outgoing wires",9)</f>
        <v>#NAME?</v>
      </c>
      <c r="K14" s="43" t="e">
        <f>dsd("Avfuel USD Check Paid",9)</f>
        <v>#NAME?</v>
      </c>
      <c r="L14" s="43" t="e">
        <f>dsd("Avfuel USD Monthly Other",9)</f>
        <v>#NAME?</v>
      </c>
      <c r="M14" s="72" t="e">
        <f>SUM(C14:I14,J14:L14)</f>
        <v>#NULL!</v>
      </c>
      <c r="O14" s="43" t="e">
        <f>dsd("Avfuel USD Monthly Debits and Credits",9)</f>
        <v>#NAME?</v>
      </c>
    </row>
    <row r="15" ht="12.75" s="66" customFormat="true">
      <c r="A15" s="41" t="n">
        <f>IF(A14&lt;&gt;"",IF(MONTH(A14)=MONTH(A14+1),A14+1,""),"")</f>
        <v>42287.0</v>
      </c>
      <c r="B15" s="71"/>
      <c r="C15" s="43" t="e">
        <f>dsd("Avfuel USD Monthly Opening Ledger",10)</f>
        <v>#NAME?</v>
      </c>
      <c r="D15" s="43" t="e">
        <f>dsd("Avfuel USD Credits",10)</f>
        <v>#NAME?</v>
      </c>
      <c r="E15" s="43" t="e">
        <f>dsd("Avfuel USD Incoming ACH",10)</f>
        <v>#NAME?</v>
      </c>
      <c r="F15" s="43" t="e">
        <f>dsd("Avfuel USD Incoming Wire",10)</f>
        <v>#NAME?</v>
      </c>
      <c r="G15" s="43" t="e">
        <f>dsd("Avfuel USD Commercial Deposit",10)</f>
        <v>#NAME?</v>
      </c>
      <c r="H15" s="43" t="e">
        <f>dsd("Avfuel USD Debits",10)</f>
        <v>#NAME?</v>
      </c>
      <c r="I15" s="43" t="e">
        <f>dsd("Avfuel USD Outgoing ACH",10)</f>
        <v>#NAME?</v>
      </c>
      <c r="J15" s="43" t="e">
        <f>dsd("Avfuel USD Monthly Outgoing wires",10)</f>
        <v>#NAME?</v>
      </c>
      <c r="K15" s="43" t="e">
        <f>dsd("Avfuel USD Check Paid",10)</f>
        <v>#NAME?</v>
      </c>
      <c r="L15" s="43" t="e">
        <f>dsd("Avfuel USD Monthly Other",10)</f>
        <v>#NAME?</v>
      </c>
      <c r="M15" s="72" t="e">
        <f>SUM(C15:I15,J15:L15)</f>
        <v>#NULL!</v>
      </c>
      <c r="O15" s="43" t="e">
        <f>dsd("Avfuel USD Monthly Debits and Credits",10)</f>
        <v>#NAME?</v>
      </c>
    </row>
    <row r="16" ht="12.75" s="66" customFormat="true">
      <c r="A16" s="41" t="n">
        <f>IF(A15&lt;&gt;"",IF(MONTH(A15)=MONTH(A15+1),A15+1,""),"")</f>
        <v>42288.0</v>
      </c>
      <c r="B16" s="71"/>
      <c r="C16" s="43" t="e">
        <f>dsd("Avfuel USD Monthly Opening Ledger",11)</f>
        <v>#NAME?</v>
      </c>
      <c r="D16" s="43" t="e">
        <f>dsd("Avfuel USD Credits",11)</f>
        <v>#NAME?</v>
      </c>
      <c r="E16" s="43" t="e">
        <f>dsd("Avfuel USD Incoming ACH",11)</f>
        <v>#NAME?</v>
      </c>
      <c r="F16" s="43" t="e">
        <f>dsd("Avfuel USD Incoming Wire",11)</f>
        <v>#NAME?</v>
      </c>
      <c r="G16" s="43" t="e">
        <f>dsd("Avfuel USD Commercial Deposit",11)</f>
        <v>#NAME?</v>
      </c>
      <c r="H16" s="43" t="e">
        <f>dsd("Avfuel USD Debits",11)</f>
        <v>#NAME?</v>
      </c>
      <c r="I16" s="43" t="e">
        <f>dsd("Avfuel USD Outgoing ACH",11)</f>
        <v>#NAME?</v>
      </c>
      <c r="J16" s="43" t="e">
        <f>dsd("Avfuel USD Monthly Outgoing wires",11)</f>
        <v>#NAME?</v>
      </c>
      <c r="K16" s="43" t="e">
        <f>dsd("Avfuel USD Check Paid",11)</f>
        <v>#NAME?</v>
      </c>
      <c r="L16" s="43" t="e">
        <f>dsd("Avfuel USD Monthly Other",11)</f>
        <v>#NAME?</v>
      </c>
      <c r="M16" s="72" t="e">
        <f>SUM(C16:I16,J16:L16)</f>
        <v>#NULL!</v>
      </c>
      <c r="O16" s="43" t="e">
        <f>dsd("Avfuel USD Monthly Debits and Credits",11)</f>
        <v>#NAME?</v>
      </c>
    </row>
    <row r="17" ht="12.75" s="66" customFormat="true">
      <c r="A17" s="41" t="n">
        <f>IF(A16&lt;&gt;"",IF(MONTH(A16)=MONTH(A16+1),A16+1,""),"")</f>
        <v>42289.0</v>
      </c>
      <c r="B17" s="71"/>
      <c r="C17" s="43" t="e">
        <f>dsd("Avfuel USD Monthly Opening Ledger",12)</f>
        <v>#NAME?</v>
      </c>
      <c r="D17" s="43" t="e">
        <f>dsd("Avfuel USD Credits",12)</f>
        <v>#NAME?</v>
      </c>
      <c r="E17" s="43" t="e">
        <f>dsd("Avfuel USD Incoming ACH",12)</f>
        <v>#NAME?</v>
      </c>
      <c r="F17" s="43" t="e">
        <f>dsd("Avfuel USD Incoming Wire",12)</f>
        <v>#NAME?</v>
      </c>
      <c r="G17" s="43" t="e">
        <f>dsd("Avfuel USD Commercial Deposit",12)</f>
        <v>#NAME?</v>
      </c>
      <c r="H17" s="43" t="e">
        <f>dsd("Avfuel USD Debits",12)</f>
        <v>#NAME?</v>
      </c>
      <c r="I17" s="43" t="e">
        <f>dsd("Avfuel USD Outgoing ACH",12)</f>
        <v>#NAME?</v>
      </c>
      <c r="J17" s="43" t="e">
        <f>dsd("Avfuel USD Monthly Outgoing wires",12)</f>
        <v>#NAME?</v>
      </c>
      <c r="K17" s="43" t="e">
        <f>dsd("Avfuel USD Check Paid",12)</f>
        <v>#NAME?</v>
      </c>
      <c r="L17" s="43" t="e">
        <f>dsd("Avfuel USD Monthly Other",12)</f>
        <v>#NAME?</v>
      </c>
      <c r="M17" s="72" t="e">
        <f>SUM(C17:I17,J17:L17)</f>
        <v>#NULL!</v>
      </c>
      <c r="O17" s="43" t="e">
        <f>dsd("Avfuel USD Monthly Debits and Credits",12)</f>
        <v>#NAME?</v>
      </c>
    </row>
    <row r="18" ht="12.75" s="66" customFormat="true">
      <c r="A18" s="41" t="n">
        <f>IF(A17&lt;&gt;"",IF(MONTH(A17)=MONTH(A17+1),A17+1,""),"")</f>
        <v>42290.0</v>
      </c>
      <c r="B18" s="71"/>
      <c r="C18" s="43" t="e">
        <f>dsd("Avfuel USD Monthly Opening Ledger",13)</f>
        <v>#NAME?</v>
      </c>
      <c r="D18" s="43" t="e">
        <f>dsd("Avfuel USD Credits",13)</f>
        <v>#NAME?</v>
      </c>
      <c r="E18" s="43" t="e">
        <f>dsd("Avfuel USD Incoming ACH",13)</f>
        <v>#NAME?</v>
      </c>
      <c r="F18" s="43" t="e">
        <f>dsd("Avfuel USD Incoming Wire",13)</f>
        <v>#NAME?</v>
      </c>
      <c r="G18" s="43" t="e">
        <f>dsd("Avfuel USD Commercial Deposit",13)</f>
        <v>#NAME?</v>
      </c>
      <c r="H18" s="43" t="e">
        <f>dsd("Avfuel USD Debits",13)</f>
        <v>#NAME?</v>
      </c>
      <c r="I18" s="43" t="e">
        <f>dsd("Avfuel USD Outgoing ACH",13)</f>
        <v>#NAME?</v>
      </c>
      <c r="J18" s="43" t="e">
        <f>dsd("Avfuel USD Monthly Outgoing wires",13)</f>
        <v>#NAME?</v>
      </c>
      <c r="K18" s="43" t="e">
        <f>dsd("Avfuel USD Check Paid",13)</f>
        <v>#NAME?</v>
      </c>
      <c r="L18" s="43" t="e">
        <f>dsd("Avfuel USD Monthly Other",13)</f>
        <v>#NAME?</v>
      </c>
      <c r="M18" s="72" t="e">
        <f>SUM(C18:I18,J18:L18)</f>
        <v>#NULL!</v>
      </c>
      <c r="O18" s="43" t="e">
        <f>dsd("Avfuel USD Monthly Debits and Credits",13)</f>
        <v>#NAME?</v>
      </c>
    </row>
    <row r="19" ht="12.75" s="66" customFormat="true">
      <c r="A19" s="41" t="n">
        <f>IF(A18&lt;&gt;"",IF(MONTH(A18)=MONTH(A18+1),A18+1,""),"")</f>
        <v>42291.0</v>
      </c>
      <c r="B19" s="71"/>
      <c r="C19" s="43" t="e">
        <f>dsd("Avfuel USD Monthly Opening Ledger",14)</f>
        <v>#NAME?</v>
      </c>
      <c r="D19" s="43" t="e">
        <f>dsd("Avfuel USD Credits",14)</f>
        <v>#NAME?</v>
      </c>
      <c r="E19" s="43" t="e">
        <f>dsd("Avfuel USD Incoming ACH",14)</f>
        <v>#NAME?</v>
      </c>
      <c r="F19" s="43" t="e">
        <f>dsd("Avfuel USD Incoming Wire",14)</f>
        <v>#NAME?</v>
      </c>
      <c r="G19" s="43" t="e">
        <f>dsd("Avfuel USD Commercial Deposit",14)</f>
        <v>#NAME?</v>
      </c>
      <c r="H19" s="43" t="e">
        <f>dsd("Avfuel USD Debits",14)</f>
        <v>#NAME?</v>
      </c>
      <c r="I19" s="43" t="e">
        <f>dsd("Avfuel USD Outgoing ACH",14)</f>
        <v>#NAME?</v>
      </c>
      <c r="J19" s="43" t="e">
        <f>dsd("Avfuel USD Monthly Outgoing wires",14)</f>
        <v>#NAME?</v>
      </c>
      <c r="K19" s="43" t="e">
        <f>dsd("Avfuel USD Check Paid",14)</f>
        <v>#NAME?</v>
      </c>
      <c r="L19" s="43" t="e">
        <f>dsd("Avfuel USD Monthly Other",14)</f>
        <v>#NAME?</v>
      </c>
      <c r="M19" s="72" t="e">
        <f>SUM(C19:I19,J19:L19)</f>
        <v>#NULL!</v>
      </c>
      <c r="O19" s="43" t="e">
        <f>dsd("Avfuel USD Monthly Debits and Credits",14)</f>
        <v>#NAME?</v>
      </c>
    </row>
    <row r="20" ht="12.75" s="66" customFormat="true">
      <c r="A20" s="41" t="n">
        <f>IF(A19&lt;&gt;"",IF(MONTH(A19)=MONTH(A19+1),A19+1,""),"")</f>
        <v>42292.0</v>
      </c>
      <c r="B20" s="71"/>
      <c r="C20" s="43" t="e">
        <f>dsd("Avfuel USD Monthly Opening Ledger",15)</f>
        <v>#NAME?</v>
      </c>
      <c r="D20" s="43" t="e">
        <f>dsd("Avfuel USD Credits",15)</f>
        <v>#NAME?</v>
      </c>
      <c r="E20" s="43" t="e">
        <f>dsd("Avfuel USD Incoming ACH",15)</f>
        <v>#NAME?</v>
      </c>
      <c r="F20" s="43" t="e">
        <f>dsd("Avfuel USD Incoming Wire",15)</f>
        <v>#NAME?</v>
      </c>
      <c r="G20" s="43" t="e">
        <f>dsd("Avfuel USD Commercial Deposit",15)</f>
        <v>#NAME?</v>
      </c>
      <c r="H20" s="43" t="e">
        <f>dsd("Avfuel USD Debits",15)</f>
        <v>#NAME?</v>
      </c>
      <c r="I20" s="43" t="e">
        <f>dsd("Avfuel USD Outgoing ACH",15)</f>
        <v>#NAME?</v>
      </c>
      <c r="J20" s="43" t="e">
        <f>dsd("Avfuel USD Monthly Outgoing wires",15)</f>
        <v>#NAME?</v>
      </c>
      <c r="K20" s="43" t="e">
        <f>dsd("Avfuel USD Check Paid",15)</f>
        <v>#NAME?</v>
      </c>
      <c r="L20" s="43" t="e">
        <f>dsd("Avfuel USD Monthly Other",15)</f>
        <v>#NAME?</v>
      </c>
      <c r="M20" s="72" t="e">
        <f>SUM(C20:I20,J20:L20)</f>
        <v>#NULL!</v>
      </c>
      <c r="O20" s="43" t="e">
        <f>dsd("Avfuel USD Monthly Debits and Credits",15)</f>
        <v>#NAME?</v>
      </c>
    </row>
    <row r="21" ht="12.75" s="66" customFormat="true">
      <c r="A21" s="41" t="n">
        <f>IF(A20&lt;&gt;"",IF(MONTH(A20)=MONTH(A20+1),A20+1,""),"")</f>
        <v>42293.0</v>
      </c>
      <c r="B21" s="71"/>
      <c r="C21" s="43" t="e">
        <f>dsd("Avfuel USD Monthly Opening Ledger",16)</f>
        <v>#NAME?</v>
      </c>
      <c r="D21" s="43" t="e">
        <f>dsd("Avfuel USD Credits",16)</f>
        <v>#NAME?</v>
      </c>
      <c r="E21" s="43" t="e">
        <f>dsd("Avfuel USD Incoming ACH",16)</f>
        <v>#NAME?</v>
      </c>
      <c r="F21" s="43" t="e">
        <f>dsd("Avfuel USD Incoming Wire",16)</f>
        <v>#NAME?</v>
      </c>
      <c r="G21" s="43" t="e">
        <f>dsd("Avfuel USD Commercial Deposit",16)</f>
        <v>#NAME?</v>
      </c>
      <c r="H21" s="43" t="e">
        <f>dsd("Avfuel USD Debits",16)</f>
        <v>#NAME?</v>
      </c>
      <c r="I21" s="43" t="e">
        <f>dsd("Avfuel USD Outgoing ACH",16)</f>
        <v>#NAME?</v>
      </c>
      <c r="J21" s="43" t="e">
        <f>dsd("Avfuel USD Monthly Outgoing wires",16)</f>
        <v>#NAME?</v>
      </c>
      <c r="K21" s="43" t="e">
        <f>dsd("Avfuel USD Check Paid",16)</f>
        <v>#NAME?</v>
      </c>
      <c r="L21" s="43" t="e">
        <f>dsd("Avfuel USD Monthly Other",16)</f>
        <v>#NAME?</v>
      </c>
      <c r="M21" s="72" t="e">
        <f>SUM(C21:I21,J21:L21)</f>
        <v>#NULL!</v>
      </c>
      <c r="O21" s="43" t="e">
        <f>dsd("Avfuel USD Monthly Debits and Credits",16)</f>
        <v>#NAME?</v>
      </c>
    </row>
    <row r="22" ht="12.75" s="66" customFormat="true">
      <c r="A22" s="41" t="n">
        <f>IF(A21&lt;&gt;"",IF(MONTH(A21)=MONTH(A21+1),A21+1,""),"")</f>
        <v>42294.0</v>
      </c>
      <c r="B22" s="71"/>
      <c r="C22" s="43" t="e">
        <f>dsd("Avfuel USD Monthly Opening Ledger",17)</f>
        <v>#NAME?</v>
      </c>
      <c r="D22" s="43" t="e">
        <f>dsd("Avfuel USD Credits",17)</f>
        <v>#NAME?</v>
      </c>
      <c r="E22" s="43" t="e">
        <f>dsd("Avfuel USD Incoming ACH",17)</f>
        <v>#NAME?</v>
      </c>
      <c r="F22" s="43" t="e">
        <f>dsd("Avfuel USD Incoming Wire",17)</f>
        <v>#NAME?</v>
      </c>
      <c r="G22" s="43" t="e">
        <f>dsd("Avfuel USD Commercial Deposit",17)</f>
        <v>#NAME?</v>
      </c>
      <c r="H22" s="43" t="e">
        <f>dsd("Avfuel USD Debits",17)</f>
        <v>#NAME?</v>
      </c>
      <c r="I22" s="43" t="e">
        <f>dsd("Avfuel USD Outgoing ACH",17)</f>
        <v>#NAME?</v>
      </c>
      <c r="J22" s="43" t="e">
        <f>dsd("Avfuel USD Monthly Outgoing wires",17)</f>
        <v>#NAME?</v>
      </c>
      <c r="K22" s="43" t="e">
        <f>dsd("Avfuel USD Check Paid",17)</f>
        <v>#NAME?</v>
      </c>
      <c r="L22" s="43" t="e">
        <f>dsd("Avfuel USD Monthly Other",17)</f>
        <v>#NAME?</v>
      </c>
      <c r="M22" s="72" t="e">
        <f>SUM(C22:I22,J22:L22)</f>
        <v>#NULL!</v>
      </c>
      <c r="O22" s="43" t="e">
        <f>dsd("Avfuel USD Monthly Debits and Credits",17)</f>
        <v>#NAME?</v>
      </c>
    </row>
    <row r="23" ht="12.75" s="66" customFormat="true">
      <c r="A23" s="41" t="n">
        <f>IF(A22&lt;&gt;"",IF(MONTH(A22)=MONTH(A22+1),A22+1,""),"")</f>
        <v>42295.0</v>
      </c>
      <c r="B23" s="71"/>
      <c r="C23" s="43" t="e">
        <f>dsd("Avfuel USD Monthly Opening Ledger",18)</f>
        <v>#NAME?</v>
      </c>
      <c r="D23" s="43" t="e">
        <f>dsd("Avfuel USD Credits",18)</f>
        <v>#NAME?</v>
      </c>
      <c r="E23" s="43" t="e">
        <f>dsd("Avfuel USD Incoming ACH",18)</f>
        <v>#NAME?</v>
      </c>
      <c r="F23" s="43" t="e">
        <f>dsd("Avfuel USD Incoming Wire",18)</f>
        <v>#NAME?</v>
      </c>
      <c r="G23" s="43" t="e">
        <f>dsd("Avfuel USD Commercial Deposit",18)</f>
        <v>#NAME?</v>
      </c>
      <c r="H23" s="43" t="e">
        <f>dsd("Avfuel USD Debits",18)</f>
        <v>#NAME?</v>
      </c>
      <c r="I23" s="43" t="e">
        <f>dsd("Avfuel USD Outgoing ACH",18)</f>
        <v>#NAME?</v>
      </c>
      <c r="J23" s="43" t="e">
        <f>dsd("Avfuel USD Monthly Outgoing wires",18)</f>
        <v>#NAME?</v>
      </c>
      <c r="K23" s="43" t="e">
        <f>dsd("Avfuel USD Check Paid",18)</f>
        <v>#NAME?</v>
      </c>
      <c r="L23" s="43" t="e">
        <f>dsd("Avfuel USD Monthly Other",18)</f>
        <v>#NAME?</v>
      </c>
      <c r="M23" s="72" t="e">
        <f>SUM(C23:I23,J23:L23)</f>
        <v>#NULL!</v>
      </c>
      <c r="O23" s="43" t="e">
        <f>dsd("Avfuel USD Monthly Debits and Credits",18)</f>
        <v>#NAME?</v>
      </c>
    </row>
    <row r="24" ht="12.75" s="66" customFormat="true">
      <c r="A24" s="41" t="n">
        <f>IF(A23&lt;&gt;"",IF(MONTH(A23)=MONTH(A23+1),A23+1,""),"")</f>
        <v>42296.0</v>
      </c>
      <c r="B24" s="71"/>
      <c r="C24" s="43" t="e">
        <f>dsd("Avfuel USD Monthly Opening Ledger",19)</f>
        <v>#NAME?</v>
      </c>
      <c r="D24" s="43" t="e">
        <f>dsd("Avfuel USD Credits",19)</f>
        <v>#NAME?</v>
      </c>
      <c r="E24" s="43" t="e">
        <f>dsd("Avfuel USD Incoming ACH",19)</f>
        <v>#NAME?</v>
      </c>
      <c r="F24" s="43" t="e">
        <f>dsd("Avfuel USD Incoming Wire",19)</f>
        <v>#NAME?</v>
      </c>
      <c r="G24" s="43" t="e">
        <f>dsd("Avfuel USD Commercial Deposit",19)</f>
        <v>#NAME?</v>
      </c>
      <c r="H24" s="43" t="e">
        <f>dsd("Avfuel USD Debits",19)</f>
        <v>#NAME?</v>
      </c>
      <c r="I24" s="43" t="e">
        <f>dsd("Avfuel USD Outgoing ACH",19)</f>
        <v>#NAME?</v>
      </c>
      <c r="J24" s="43" t="e">
        <f>dsd("Avfuel USD Monthly Outgoing wires",19)</f>
        <v>#NAME?</v>
      </c>
      <c r="K24" s="43" t="e">
        <f>dsd("Avfuel USD Check Paid",19)</f>
        <v>#NAME?</v>
      </c>
      <c r="L24" s="43" t="e">
        <f>dsd("Avfuel USD Monthly Other",19)</f>
        <v>#NAME?</v>
      </c>
      <c r="M24" s="72" t="e">
        <f>SUM(C24:I24,J24:L24)</f>
        <v>#NULL!</v>
      </c>
      <c r="O24" s="43" t="e">
        <f>dsd("Avfuel USD Monthly Debits and Credits",19)</f>
        <v>#NAME?</v>
      </c>
    </row>
    <row r="25" ht="12.75" s="66" customFormat="true">
      <c r="A25" s="41" t="n">
        <f>IF(A24&lt;&gt;"",IF(MONTH(A24)=MONTH(A24+1),A24+1,""),"")</f>
        <v>42297.0</v>
      </c>
      <c r="B25" s="71"/>
      <c r="C25" s="43" t="e">
        <f>dsd("Avfuel USD Monthly Opening Ledger",20)</f>
        <v>#NAME?</v>
      </c>
      <c r="D25" s="43" t="e">
        <f>dsd("Avfuel USD Credits",20)</f>
        <v>#NAME?</v>
      </c>
      <c r="E25" s="43" t="e">
        <f>dsd("Avfuel USD Incoming ACH",20)</f>
        <v>#NAME?</v>
      </c>
      <c r="F25" s="43" t="e">
        <f>dsd("Avfuel USD Incoming Wire",20)</f>
        <v>#NAME?</v>
      </c>
      <c r="G25" s="43" t="e">
        <f>dsd("Avfuel USD Commercial Deposit",20)</f>
        <v>#NAME?</v>
      </c>
      <c r="H25" s="43" t="e">
        <f>dsd("Avfuel USD Debits",20)</f>
        <v>#NAME?</v>
      </c>
      <c r="I25" s="43" t="e">
        <f>dsd("Avfuel USD Outgoing ACH",20)</f>
        <v>#NAME?</v>
      </c>
      <c r="J25" s="43" t="e">
        <f>dsd("Avfuel USD Monthly Outgoing wires",20)</f>
        <v>#NAME?</v>
      </c>
      <c r="K25" s="43" t="e">
        <f>dsd("Avfuel USD Check Paid",20)</f>
        <v>#NAME?</v>
      </c>
      <c r="L25" s="43" t="e">
        <f>dsd("Avfuel USD Monthly Other",20)</f>
        <v>#NAME?</v>
      </c>
      <c r="M25" s="72" t="e">
        <f>SUM(C25:I25,J25:L25)</f>
        <v>#NULL!</v>
      </c>
      <c r="O25" s="43" t="e">
        <f>dsd("Avfuel USD Monthly Debits and Credits",20)</f>
        <v>#NAME?</v>
      </c>
    </row>
    <row r="26" ht="12.75" s="66" customFormat="true">
      <c r="A26" s="41" t="n">
        <f>IF(A25&lt;&gt;"",IF(MONTH(A25)=MONTH(A25+1),A25+1,""),"")</f>
        <v>42298.0</v>
      </c>
      <c r="B26" s="71"/>
      <c r="C26" s="43" t="e">
        <f>dsd("Avfuel USD Monthly Opening Ledger",21)</f>
        <v>#NAME?</v>
      </c>
      <c r="D26" s="43" t="e">
        <f>dsd("Avfuel USD Credits",21)</f>
        <v>#NAME?</v>
      </c>
      <c r="E26" s="43" t="e">
        <f>dsd("Avfuel USD Incoming ACH",21)</f>
        <v>#NAME?</v>
      </c>
      <c r="F26" s="43" t="e">
        <f>dsd("Avfuel USD Incoming Wire",21)</f>
        <v>#NAME?</v>
      </c>
      <c r="G26" s="43" t="e">
        <f>dsd("Avfuel USD Commercial Deposit",21)</f>
        <v>#NAME?</v>
      </c>
      <c r="H26" s="43" t="e">
        <f>dsd("Avfuel USD Debits",21)</f>
        <v>#NAME?</v>
      </c>
      <c r="I26" s="43" t="e">
        <f>dsd("Avfuel USD Outgoing ACH",21)</f>
        <v>#NAME?</v>
      </c>
      <c r="J26" s="43" t="e">
        <f>dsd("Avfuel USD Monthly Outgoing wires",21)</f>
        <v>#NAME?</v>
      </c>
      <c r="K26" s="43" t="e">
        <f>dsd("Avfuel USD Check Paid",21)</f>
        <v>#NAME?</v>
      </c>
      <c r="L26" s="43" t="e">
        <f>dsd("Avfuel USD Monthly Other",21)</f>
        <v>#NAME?</v>
      </c>
      <c r="M26" s="72" t="e">
        <f>SUM(C26:I26,J26:L26)</f>
        <v>#NULL!</v>
      </c>
      <c r="O26" s="43" t="e">
        <f>dsd("Avfuel USD Monthly Debits and Credits",21)</f>
        <v>#NAME?</v>
      </c>
    </row>
    <row r="27" ht="12.75" s="66" customFormat="true">
      <c r="A27" s="41" t="n">
        <f>IF(A26&lt;&gt;"",IF(MONTH(A26)=MONTH(A26+1),A26+1,""),"")</f>
        <v>42299.0</v>
      </c>
      <c r="B27" s="71"/>
      <c r="C27" s="43" t="e">
        <f>dsd("Avfuel USD Monthly Opening Ledger",22)</f>
        <v>#NAME?</v>
      </c>
      <c r="D27" s="43" t="e">
        <f>dsd("Avfuel USD Credits",22)</f>
        <v>#NAME?</v>
      </c>
      <c r="E27" s="43" t="e">
        <f>dsd("Avfuel USD Incoming ACH",22)</f>
        <v>#NAME?</v>
      </c>
      <c r="F27" s="43" t="e">
        <f>dsd("Avfuel USD Incoming Wire",22)</f>
        <v>#NAME?</v>
      </c>
      <c r="G27" s="43" t="e">
        <f>dsd("Avfuel USD Commercial Deposit",22)</f>
        <v>#NAME?</v>
      </c>
      <c r="H27" s="43" t="e">
        <f>dsd("Avfuel USD Debits",22)</f>
        <v>#NAME?</v>
      </c>
      <c r="I27" s="43" t="e">
        <f>dsd("Avfuel USD Outgoing ACH",22)</f>
        <v>#NAME?</v>
      </c>
      <c r="J27" s="43" t="e">
        <f>dsd("Avfuel USD Monthly Outgoing wires",22)</f>
        <v>#NAME?</v>
      </c>
      <c r="K27" s="43" t="e">
        <f>dsd("Avfuel USD Check Paid",22)</f>
        <v>#NAME?</v>
      </c>
      <c r="L27" s="43" t="e">
        <f>dsd("Avfuel USD Monthly Other",22)</f>
        <v>#NAME?</v>
      </c>
      <c r="M27" s="72" t="e">
        <f>SUM(C27:I27,J27:L27)</f>
        <v>#NULL!</v>
      </c>
      <c r="O27" s="43" t="e">
        <f>dsd("Avfuel USD Monthly Debits and Credits",22)</f>
        <v>#NAME?</v>
      </c>
    </row>
    <row r="28" ht="12.75" s="66" customFormat="true">
      <c r="A28" s="41" t="n">
        <f>IF(A27&lt;&gt;"",IF(MONTH(A27)=MONTH(A27+1),A27+1,""),"")</f>
        <v>42300.0</v>
      </c>
      <c r="B28" s="71"/>
      <c r="C28" s="43" t="e">
        <f>dsd("Avfuel USD Monthly Opening Ledger",23)</f>
        <v>#NAME?</v>
      </c>
      <c r="D28" s="43" t="e">
        <f>dsd("Avfuel USD Credits",23)</f>
        <v>#NAME?</v>
      </c>
      <c r="E28" s="43" t="e">
        <f>dsd("Avfuel USD Incoming ACH",23)</f>
        <v>#NAME?</v>
      </c>
      <c r="F28" s="43" t="e">
        <f>dsd("Avfuel USD Incoming Wire",23)</f>
        <v>#NAME?</v>
      </c>
      <c r="G28" s="43" t="e">
        <f>dsd("Avfuel USD Commercial Deposit",23)</f>
        <v>#NAME?</v>
      </c>
      <c r="H28" s="43" t="e">
        <f>dsd("Avfuel USD Debits",23)</f>
        <v>#NAME?</v>
      </c>
      <c r="I28" s="43" t="e">
        <f>dsd("Avfuel USD Outgoing ACH",23)</f>
        <v>#NAME?</v>
      </c>
      <c r="J28" s="43" t="e">
        <f>dsd("Avfuel USD Monthly Outgoing wires",23)</f>
        <v>#NAME?</v>
      </c>
      <c r="K28" s="43" t="e">
        <f>dsd("Avfuel USD Check Paid",23)</f>
        <v>#NAME?</v>
      </c>
      <c r="L28" s="43" t="e">
        <f>dsd("Avfuel USD Monthly Other",23)</f>
        <v>#NAME?</v>
      </c>
      <c r="M28" s="72" t="e">
        <f>SUM(C28:I28,J28:L28)</f>
        <v>#NULL!</v>
      </c>
      <c r="O28" s="43" t="e">
        <f>dsd("Avfuel USD Monthly Debits and Credits",23)</f>
        <v>#NAME?</v>
      </c>
    </row>
    <row r="29" ht="12.75" s="66" customFormat="true">
      <c r="A29" s="41" t="n">
        <f>IF(A28&lt;&gt;"",IF(MONTH(A28)=MONTH(A28+1),A28+1,""),"")</f>
        <v>42301.0</v>
      </c>
      <c r="B29" s="71"/>
      <c r="C29" s="43" t="e">
        <f>dsd("Avfuel USD Monthly Opening Ledger",24)</f>
        <v>#NAME?</v>
      </c>
      <c r="D29" s="43" t="e">
        <f>dsd("Avfuel USD Credits",24)</f>
        <v>#NAME?</v>
      </c>
      <c r="E29" s="43" t="e">
        <f>dsd("Avfuel USD Incoming ACH",24)</f>
        <v>#NAME?</v>
      </c>
      <c r="F29" s="43" t="e">
        <f>dsd("Avfuel USD Incoming Wire",24)</f>
        <v>#NAME?</v>
      </c>
      <c r="G29" s="43" t="e">
        <f>dsd("Avfuel USD Commercial Deposit",24)</f>
        <v>#NAME?</v>
      </c>
      <c r="H29" s="43" t="e">
        <f>dsd("Avfuel USD Debits",24)</f>
        <v>#NAME?</v>
      </c>
      <c r="I29" s="43" t="e">
        <f>dsd("Avfuel USD Outgoing ACH",24)</f>
        <v>#NAME?</v>
      </c>
      <c r="J29" s="43" t="e">
        <f>dsd("Avfuel USD Monthly Outgoing wires",24)</f>
        <v>#NAME?</v>
      </c>
      <c r="K29" s="43" t="e">
        <f>dsd("Avfuel USD Check Paid",24)</f>
        <v>#NAME?</v>
      </c>
      <c r="L29" s="43" t="e">
        <f>dsd("Avfuel USD Monthly Other",24)</f>
        <v>#NAME?</v>
      </c>
      <c r="M29" s="72" t="e">
        <f>SUM(C29:I29,J29:L29)</f>
        <v>#NULL!</v>
      </c>
      <c r="O29" s="43" t="e">
        <f>dsd("Avfuel USD Monthly Debits and Credits",24)</f>
        <v>#NAME?</v>
      </c>
    </row>
    <row r="30" ht="12.75" s="66" customFormat="true">
      <c r="A30" s="41" t="n">
        <f>IF(A29&lt;&gt;"",IF(MONTH(A29)=MONTH(A29+1),A29+1,""),"")</f>
        <v>42302.0</v>
      </c>
      <c r="B30" s="71"/>
      <c r="C30" s="43" t="e">
        <f>dsd("Avfuel USD Monthly Opening Ledger",25)</f>
        <v>#NAME?</v>
      </c>
      <c r="D30" s="43" t="e">
        <f>dsd("Avfuel USD Credits",25)</f>
        <v>#NAME?</v>
      </c>
      <c r="E30" s="43" t="e">
        <f>dsd("Avfuel USD Incoming ACH",25)</f>
        <v>#NAME?</v>
      </c>
      <c r="F30" s="43" t="e">
        <f>dsd("Avfuel USD Incoming Wire",25)</f>
        <v>#NAME?</v>
      </c>
      <c r="G30" s="43" t="e">
        <f>dsd("Avfuel USD Commercial Deposit",25)</f>
        <v>#NAME?</v>
      </c>
      <c r="H30" s="43" t="e">
        <f>dsd("Avfuel USD Debits",25)</f>
        <v>#NAME?</v>
      </c>
      <c r="I30" s="43" t="e">
        <f>dsd("Avfuel USD Outgoing ACH",25)</f>
        <v>#NAME?</v>
      </c>
      <c r="J30" s="43" t="e">
        <f>dsd("Avfuel USD Monthly Outgoing wires",25)</f>
        <v>#NAME?</v>
      </c>
      <c r="K30" s="43" t="e">
        <f>dsd("Avfuel USD Check Paid",25)</f>
        <v>#NAME?</v>
      </c>
      <c r="L30" s="43" t="e">
        <f>dsd("Avfuel USD Monthly Other",25)</f>
        <v>#NAME?</v>
      </c>
      <c r="M30" s="72" t="e">
        <f>SUM(C30:I30,J30:L30)</f>
        <v>#NULL!</v>
      </c>
      <c r="O30" s="43" t="e">
        <f>dsd("Avfuel USD Monthly Debits and Credits",25)</f>
        <v>#NAME?</v>
      </c>
    </row>
    <row r="31" ht="12.75" s="66" customFormat="true">
      <c r="A31" s="41" t="n">
        <f>IF(A30&lt;&gt;"",IF(MONTH(A30)=MONTH(A30+1),A30+1,""),"")</f>
        <v>42303.0</v>
      </c>
      <c r="B31" s="71"/>
      <c r="C31" s="43" t="e">
        <f>dsd("Avfuel USD Monthly Opening Ledger",26)</f>
        <v>#NAME?</v>
      </c>
      <c r="D31" s="43" t="e">
        <f>dsd("Avfuel USD Credits",26)</f>
        <v>#NAME?</v>
      </c>
      <c r="E31" s="43" t="e">
        <f>dsd("Avfuel USD Incoming ACH",26)</f>
        <v>#NAME?</v>
      </c>
      <c r="F31" s="43" t="e">
        <f>dsd("Avfuel USD Incoming Wire",26)</f>
        <v>#NAME?</v>
      </c>
      <c r="G31" s="43" t="e">
        <f>dsd("Avfuel USD Commercial Deposit",26)</f>
        <v>#NAME?</v>
      </c>
      <c r="H31" s="43" t="e">
        <f>dsd("Avfuel USD Debits",26)</f>
        <v>#NAME?</v>
      </c>
      <c r="I31" s="43" t="e">
        <f>dsd("Avfuel USD Outgoing ACH",26)</f>
        <v>#NAME?</v>
      </c>
      <c r="J31" s="43" t="e">
        <f>dsd("Avfuel USD Monthly Outgoing wires",26)</f>
        <v>#NAME?</v>
      </c>
      <c r="K31" s="43" t="e">
        <f>dsd("Avfuel USD Check Paid",26)</f>
        <v>#NAME?</v>
      </c>
      <c r="L31" s="43" t="e">
        <f>dsd("Avfuel USD Monthly Other",26)</f>
        <v>#NAME?</v>
      </c>
      <c r="M31" s="72" t="e">
        <f>SUM(C31:I31,J31:L31)</f>
        <v>#NULL!</v>
      </c>
      <c r="O31" s="43" t="e">
        <f>dsd("Avfuel USD Monthly Debits and Credits",26)</f>
        <v>#NAME?</v>
      </c>
    </row>
    <row r="32" ht="12.75" s="66" customFormat="true">
      <c r="A32" s="41" t="n">
        <f>IF(A31&lt;&gt;"",IF(MONTH(A31)=MONTH(A31+1),A31+1,""),"")</f>
        <v>42304.0</v>
      </c>
      <c r="B32" s="71"/>
      <c r="C32" s="43" t="e">
        <f>dsd("Avfuel USD Monthly Opening Ledger",27)</f>
        <v>#NAME?</v>
      </c>
      <c r="D32" s="43" t="e">
        <f>dsd("Avfuel USD Credits",27)</f>
        <v>#NAME?</v>
      </c>
      <c r="E32" s="43" t="e">
        <f>dsd("Avfuel USD Incoming ACH",27)</f>
        <v>#NAME?</v>
      </c>
      <c r="F32" s="43" t="e">
        <f>dsd("Avfuel USD Incoming Wire",27)</f>
        <v>#NAME?</v>
      </c>
      <c r="G32" s="43" t="e">
        <f>dsd("Avfuel USD Commercial Deposit",27)</f>
        <v>#NAME?</v>
      </c>
      <c r="H32" s="43" t="e">
        <f>dsd("Avfuel USD Debits",27)</f>
        <v>#NAME?</v>
      </c>
      <c r="I32" s="43" t="e">
        <f>dsd("Avfuel USD Outgoing ACH",27)</f>
        <v>#NAME?</v>
      </c>
      <c r="J32" s="43" t="e">
        <f>dsd("Avfuel USD Monthly Outgoing wires",27)</f>
        <v>#NAME?</v>
      </c>
      <c r="K32" s="43" t="e">
        <f>dsd("Avfuel USD Check Paid",27)</f>
        <v>#NAME?</v>
      </c>
      <c r="L32" s="43" t="e">
        <f>dsd("Avfuel USD Monthly Other",27)</f>
        <v>#NAME?</v>
      </c>
      <c r="M32" s="72" t="e">
        <f>SUM(C32:I32,J32:L32)</f>
        <v>#NULL!</v>
      </c>
      <c r="O32" s="43" t="e">
        <f>dsd("Avfuel USD Monthly Debits and Credits",27)</f>
        <v>#NAME?</v>
      </c>
    </row>
    <row r="33" ht="12.75" s="66" customFormat="true">
      <c r="A33" s="41" t="n">
        <f>IF(A32&lt;&gt;"",IF(MONTH(A32)=MONTH(A32+1),A32+1,""),"")</f>
        <v>42305.0</v>
      </c>
      <c r="B33" s="71"/>
      <c r="C33" s="43" t="e">
        <f>dsd("Avfuel USD Monthly Opening Ledger",28)</f>
        <v>#NAME?</v>
      </c>
      <c r="D33" s="43" t="e">
        <f>dsd("Avfuel USD Credits",28)</f>
        <v>#NAME?</v>
      </c>
      <c r="E33" s="43" t="e">
        <f>dsd("Avfuel USD Incoming ACH",28)</f>
        <v>#NAME?</v>
      </c>
      <c r="F33" s="43" t="e">
        <f>dsd("Avfuel USD Incoming Wire",28)</f>
        <v>#NAME?</v>
      </c>
      <c r="G33" s="43" t="e">
        <f>dsd("Avfuel USD Commercial Deposit",28)</f>
        <v>#NAME?</v>
      </c>
      <c r="H33" s="43" t="e">
        <f>dsd("Avfuel USD Debits",28)</f>
        <v>#NAME?</v>
      </c>
      <c r="I33" s="43" t="e">
        <f>dsd("Avfuel USD Outgoing ACH",28)</f>
        <v>#NAME?</v>
      </c>
      <c r="J33" s="43" t="e">
        <f>dsd("Avfuel USD Monthly Outgoing wires",28)</f>
        <v>#NAME?</v>
      </c>
      <c r="K33" s="43" t="e">
        <f>dsd("Avfuel USD Check Paid",28)</f>
        <v>#NAME?</v>
      </c>
      <c r="L33" s="43" t="e">
        <f>dsd("Avfuel USD Monthly Other",28)</f>
        <v>#NAME?</v>
      </c>
      <c r="M33" s="72" t="e">
        <f>SUM(C33:I33,J33:L33)</f>
        <v>#NULL!</v>
      </c>
      <c r="O33" s="43" t="e">
        <f>dsd("Avfuel USD Monthly Debits and Credits",28)</f>
        <v>#NAME?</v>
      </c>
    </row>
    <row r="34" ht="12.75" s="66" customFormat="true">
      <c r="A34" s="41" t="n">
        <f>IF(A33&lt;&gt;"",IF(MONTH(A33)=MONTH(A33+1),A33+1,""),"")</f>
        <v>42306.0</v>
      </c>
      <c r="B34" s="71"/>
      <c r="C34" s="43" t="e">
        <f>dsd("Avfuel USD Monthly Opening Ledger",29)</f>
        <v>#NAME?</v>
      </c>
      <c r="D34" s="43" t="e">
        <f>dsd("Avfuel USD Credits",29)</f>
        <v>#NAME?</v>
      </c>
      <c r="E34" s="43" t="e">
        <f>dsd("Avfuel USD Incoming ACH",29)</f>
        <v>#NAME?</v>
      </c>
      <c r="F34" s="43" t="e">
        <f>dsd("Avfuel USD Incoming Wire",29)</f>
        <v>#NAME?</v>
      </c>
      <c r="G34" s="43" t="e">
        <f>dsd("Avfuel USD Commercial Deposit",29)</f>
        <v>#NAME?</v>
      </c>
      <c r="H34" s="43" t="e">
        <f>dsd("Avfuel USD Debits",29)</f>
        <v>#NAME?</v>
      </c>
      <c r="I34" s="43" t="e">
        <f>dsd("Avfuel USD Outgoing ACH",29)</f>
        <v>#NAME?</v>
      </c>
      <c r="J34" s="43" t="e">
        <f>dsd("Avfuel USD Monthly Outgoing wires",29)</f>
        <v>#NAME?</v>
      </c>
      <c r="K34" s="43" t="e">
        <f>dsd("Avfuel USD Check Paid",29)</f>
        <v>#NAME?</v>
      </c>
      <c r="L34" s="43" t="e">
        <f>dsd("Avfuel USD Monthly Other",29)</f>
        <v>#NAME?</v>
      </c>
      <c r="M34" s="72" t="e">
        <f>SUM(C34:I34,J34:L34)</f>
        <v>#NULL!</v>
      </c>
      <c r="O34" s="43" t="e">
        <f>dsd("Avfuel USD Monthly Debits and Credits",29)</f>
        <v>#NAME?</v>
      </c>
    </row>
    <row r="35" ht="12.75" s="66" customFormat="true">
      <c r="A35" s="73" t="n">
        <f>IF(A34&lt;&gt;"",IF(MONTH(A34)=MONTH(A34+1),A34+1,""),"")</f>
        <v>42307.0</v>
      </c>
      <c r="B35" s="71"/>
      <c r="C35" s="43" t="e">
        <f>dsd("Avfuel USD Monthly Opening Ledger",30)</f>
        <v>#NAME?</v>
      </c>
      <c r="D35" s="43" t="e">
        <f>dsd("Avfuel USD Credits",30)</f>
        <v>#NAME?</v>
      </c>
      <c r="E35" s="43" t="e">
        <f>dsd("Avfuel USD Incoming ACH",30)</f>
        <v>#NAME?</v>
      </c>
      <c r="F35" s="43" t="e">
        <f>dsd("Avfuel USD Incoming Wire",30)</f>
        <v>#NAME?</v>
      </c>
      <c r="G35" s="43" t="e">
        <f>dsd("Avfuel USD Commercial Deposit",30)</f>
        <v>#NAME?</v>
      </c>
      <c r="H35" s="43" t="e">
        <f>dsd("Avfuel USD Debits",30)</f>
        <v>#NAME?</v>
      </c>
      <c r="I35" s="43" t="e">
        <f>dsd("Avfuel USD Outgoing ACH",30)</f>
        <v>#NAME?</v>
      </c>
      <c r="J35" s="43" t="e">
        <f>dsd("Avfuel USD Monthly Outgoing wires",30)</f>
        <v>#NAME?</v>
      </c>
      <c r="K35" s="43" t="e">
        <f>dsd("Avfuel USD Check Paid",30)</f>
        <v>#NAME?</v>
      </c>
      <c r="L35" s="43" t="e">
        <f>dsd("Avfuel USD Monthly Other",30)</f>
        <v>#NAME?</v>
      </c>
      <c r="M35" s="72" t="e">
        <f>SUM(C35:I35,J35:L35)</f>
        <v>#NULL!</v>
      </c>
      <c r="O35" s="43" t="e">
        <f>dsd("Avfuel USD Monthly Debits and Credits",30)</f>
        <v>#NAME?</v>
      </c>
    </row>
    <row r="36" ht="12.75" s="66" customFormat="true">
      <c r="A36" s="73" t="n">
        <f>IF(A35&lt;&gt;"",IF(MONTH(A35)=MONTH(A35+1),A35+1,""),"")</f>
        <v>42308.0</v>
      </c>
      <c r="B36" s="71"/>
      <c r="C36" s="43" t="e">
        <f>dsd("Avfuel USD Monthly Opening Ledger",31)</f>
        <v>#NAME?</v>
      </c>
      <c r="D36" s="43" t="e">
        <f>dsd("Avfuel USD Credits",31)</f>
        <v>#NAME?</v>
      </c>
      <c r="E36" s="43" t="e">
        <f>dsd("Avfuel USD Incoming ACH",31)</f>
        <v>#NAME?</v>
      </c>
      <c r="F36" s="43" t="e">
        <f>dsd("Avfuel USD Incoming Wire",31)</f>
        <v>#NAME?</v>
      </c>
      <c r="G36" s="43" t="e">
        <f>dsd("Avfuel USD Commercial Deposit",31)</f>
        <v>#NAME?</v>
      </c>
      <c r="H36" s="43" t="e">
        <f>dsd("Avfuel USD Debits",31)</f>
        <v>#NAME?</v>
      </c>
      <c r="I36" s="43" t="e">
        <f>dsd("Avfuel USD Outgoing ACH",31)</f>
        <v>#NAME?</v>
      </c>
      <c r="J36" s="43" t="e">
        <f>dsd("Avfuel USD Monthly Outgoing wires",31)</f>
        <v>#NAME?</v>
      </c>
      <c r="K36" s="43" t="e">
        <f>dsd("Avfuel USD Check Paid",31)</f>
        <v>#NAME?</v>
      </c>
      <c r="L36" s="43" t="e">
        <f>dsd("Avfuel USD Monthly Other",31)</f>
        <v>#NAME?</v>
      </c>
      <c r="M36" s="72" t="e">
        <f>SUM(C36:I36,J36:L36)</f>
        <v>#NULL!</v>
      </c>
      <c r="O36" s="43" t="e">
        <f>dsd("Avfuel USD Monthly Debits and Credits",31)</f>
        <v>#NAME?</v>
      </c>
    </row>
    <row r="37" ht="12.75" s="66" customFormat="true">
      <c r="A37" s="71"/>
      <c r="B37" s="7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72"/>
      <c r="O37" s="36"/>
    </row>
    <row r="38" ht="12.75" s="66" customFormat="true">
      <c r="A38" s="74" t="s">
        <v>54</v>
      </c>
      <c r="B38" s="75"/>
      <c r="C38" s="54" t="e">
        <f>ds("Avfuel USD Monthly Opening Ledger")</f>
        <v>#NAME?</v>
      </c>
      <c r="D38" s="54" t="e">
        <f>ds("Avfuel USD Credits")</f>
        <v>#NAME?</v>
      </c>
      <c r="E38" s="54" t="e">
        <f>ds("Avfuel USD Incoming ACH")</f>
        <v>#NAME?</v>
      </c>
      <c r="F38" s="54" t="e">
        <f>ds("Avfuel USD Incoming Wire")</f>
        <v>#NAME?</v>
      </c>
      <c r="G38" s="54" t="e">
        <f>ds("Avfuel USD Commercial Deposit")</f>
        <v>#NAME?</v>
      </c>
      <c r="H38" s="54" t="e">
        <f>ds("Avfuel USD Debits")</f>
        <v>#NAME?</v>
      </c>
      <c r="I38" s="54" t="e">
        <f>ds("Avfuel USD Outgoing ACH")</f>
        <v>#NAME?</v>
      </c>
      <c r="J38" s="54" t="e">
        <f>ds("Avfuel USD Monthly Outgoing wires")</f>
        <v>#NAME?</v>
      </c>
      <c r="K38" s="54" t="e">
        <f>ds("Avfuel USD Check Paid")</f>
        <v>#NAME?</v>
      </c>
      <c r="L38" s="54" t="e">
        <f>ds("Avfuel USD Monthly Other")</f>
        <v>#NAME?</v>
      </c>
      <c r="M38" s="72" t="e">
        <f>SUM(C38:I38,J38:L38)</f>
        <v>#NAME?</v>
      </c>
      <c r="O38" s="54" t="e">
        <f>ds("Avfuel USD Monthly Debits and Credits")</f>
        <v>#NAME?</v>
      </c>
    </row>
    <row r="39" ht="12.75" s="66" customFormat="true">
      <c r="A39" s="76"/>
      <c r="B39" s="76"/>
      <c r="C39" s="59"/>
      <c r="D39" s="59"/>
      <c r="E39" s="59"/>
      <c r="F39" s="59"/>
      <c r="G39" s="59"/>
      <c r="H39" s="59"/>
      <c r="I39" s="59"/>
      <c r="J39" s="59"/>
      <c r="K39" s="77"/>
      <c r="L39" s="77"/>
      <c r="M39" s="77"/>
    </row>
    <row r="40" ht="12.75" s="66" customFormat="true">
      <c r="B40" s="76"/>
      <c r="J40" s="59"/>
      <c r="K40" s="77"/>
      <c r="L40" s="77"/>
      <c r="M40" s="77"/>
    </row>
  </sheetData>
  <mergeCells>
    <mergeCell ref="A1:M1"/>
    <mergeCell ref="A2:M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11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0" hidden="false"/>
    <col min="2" max="2" style="63" customWidth="true" width="2.5703125" hidden="false"/>
    <col min="3" max="3" style="62" customWidth="true" width="15.85546875" hidden="false"/>
    <col min="4" max="4" style="62" customWidth="true" width="15.85546875" hidden="false"/>
    <col min="5" max="5" style="62" customWidth="true" width="12.71484375" hidden="false"/>
    <col min="6" max="6" style="62" customWidth="true" width="12.28515625" hidden="false"/>
    <col min="7" max="7" style="62" customWidth="true" width="14.71484375" hidden="false"/>
    <col min="8" max="8" style="62" customWidth="true" width="14.71484375" hidden="false"/>
    <col min="9" max="9" style="64" customWidth="true" width="13.71484375" hidden="false"/>
    <col min="10" max="10" style="62" customWidth="true" width="13.5703125" hidden="false"/>
    <col min="11" max="11" style="62" customWidth="true" width="13.0" hidden="false"/>
    <col min="12" max="12" style="62" customWidth="true" width="13.4296875" hidden="false"/>
    <col min="13" max="13" style="62" customWidth="true" width="15.14453125" hidden="false"/>
    <col min="14" max="14" style="62" customWidth="false" width="9.14453125" hidden="false"/>
    <col min="15" max="15" style="62" customWidth="true" width="13.71484375" hidden="false"/>
    <col min="16" max="16" style="62" customWidth="false" width="9.14453125" hidden="false"/>
    <col min="17" max="17" style="62" customWidth="false" width="9.14453125" hidden="false"/>
    <col min="18" max="18" style="62" customWidth="false" width="9.14453125" hidden="false"/>
    <col min="19" max="25" style="62" customWidth="false" width="9.14453125" hidden="false"/>
    <col min="26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Height="true" ht="12.75">
      <c r="A2" s="26" t="n">
        <f>NOW()</f>
        <v>42279.99510798611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customHeight="true" ht="12.75">
      <c r="A3" s="26"/>
      <c r="B3" s="26"/>
      <c r="C3" s="26"/>
      <c r="D3" s="26"/>
      <c r="E3" s="78"/>
      <c r="F3" s="78"/>
      <c r="G3" s="26"/>
      <c r="H3" s="26"/>
      <c r="I3" s="26"/>
      <c r="J3" s="26"/>
      <c r="K3" s="26"/>
      <c r="L3" s="26"/>
      <c r="M3" s="78"/>
    </row>
    <row r="4" customHeight="true" ht="35.25" s="27" customFormat="true">
      <c r="A4" s="28" t="s">
        <v>39</v>
      </c>
      <c r="B4" s="29"/>
      <c r="C4" s="29" t="s">
        <v>40</v>
      </c>
      <c r="D4" s="29" t="s">
        <v>56</v>
      </c>
      <c r="E4" s="29" t="s">
        <v>17</v>
      </c>
      <c r="F4" s="29" t="s">
        <v>16</v>
      </c>
      <c r="G4" s="29" t="s">
        <v>42</v>
      </c>
      <c r="H4" s="29" t="s">
        <v>57</v>
      </c>
      <c r="I4" s="29" t="s">
        <v>58</v>
      </c>
      <c r="J4" s="29" t="s">
        <v>22</v>
      </c>
      <c r="K4" s="29" t="s">
        <v>50</v>
      </c>
      <c r="L4" s="29" t="s">
        <v>51</v>
      </c>
      <c r="M4" s="29" t="s">
        <v>52</v>
      </c>
      <c r="O4" s="31" t="s">
        <v>55</v>
      </c>
    </row>
    <row r="5" customHeight="true" ht="12.75" s="32" customFormat="true">
      <c r="A5" s="67"/>
      <c r="B5" s="67"/>
      <c r="C5" s="36"/>
      <c r="D5" s="36"/>
      <c r="E5" s="36"/>
      <c r="F5" s="36"/>
      <c r="G5" s="36"/>
      <c r="H5" s="36"/>
      <c r="I5" s="36"/>
      <c r="J5" s="68"/>
      <c r="K5" s="69"/>
      <c r="L5" s="69"/>
      <c r="M5" s="69"/>
    </row>
    <row r="6" ht="12.0" s="70" customFormat="true">
      <c r="A6" s="41" t="n">
        <f>DATEVALUE(MONTH(TODAY())&amp;"/1/"&amp;YEAR(TODAY()))</f>
        <v>42278.0</v>
      </c>
      <c r="B6" s="71"/>
      <c r="C6" s="43" t="e">
        <f>dsd("Avflight UK LTD Monthly Opening Ledger",1)</f>
        <v>#NAME?</v>
      </c>
      <c r="D6" s="43" t="e">
        <f>dsd("Avflight UK LTD Credits",1)</f>
        <v>#NAME?</v>
      </c>
      <c r="E6" s="43" t="e">
        <f>dsd("Avflight UK LTD Monthly Incoming ACH",1)</f>
        <v>#NAME?</v>
      </c>
      <c r="F6" s="43" t="e">
        <f>dsd("Avflight UK LTD Incoming Wire",1)</f>
        <v>#NAME?</v>
      </c>
      <c r="G6" s="43" t="e">
        <f>dsd("Avflight UK LTD Commercial Deposit",1)</f>
        <v>#NAME?</v>
      </c>
      <c r="H6" s="43" t="e">
        <f>dsd("Avflight UK LTD Debits",1)</f>
        <v>#NAME?</v>
      </c>
      <c r="I6" s="43" t="e">
        <f>dsd("Avflight UK LTD Outgoing ACH",1)</f>
        <v>#NAME?</v>
      </c>
      <c r="J6" s="43" t="e">
        <f>dsd("Avflight UK LTD Monthly Outgoing wires",1)</f>
        <v>#NAME?</v>
      </c>
      <c r="K6" s="43" t="e">
        <f>dsd("Avflight UK LTD Check Paid",1)</f>
        <v>#NAME?</v>
      </c>
      <c r="L6" s="43" t="e">
        <f>dsd("Avflight UK LTD Monthly Other",1)</f>
        <v>#NAME?</v>
      </c>
      <c r="M6" s="72" t="e">
        <f>SUM(C6:I6,J6:L6)</f>
        <v>#NULL!</v>
      </c>
      <c r="O6" s="43" t="e">
        <f>dsd("Avflight UK LTD Monthly Credits &amp; Debits",1)</f>
        <v>#NAME?</v>
      </c>
    </row>
    <row r="7" ht="12.0" s="70" customFormat="true">
      <c r="A7" s="41" t="n">
        <f>IF(A6&lt;&gt;"",IF(MONTH(A6)=MONTH(A6+1),A6+1,""),"")</f>
        <v>42279.0</v>
      </c>
      <c r="B7" s="71"/>
      <c r="C7" s="43" t="e">
        <f>dsd("Avflight UK LTD Monthly Opening Ledger",2)</f>
        <v>#NAME?</v>
      </c>
      <c r="D7" s="43" t="e">
        <f>dsd("Avflight UK LTD Credits",2)</f>
        <v>#NAME?</v>
      </c>
      <c r="E7" s="43" t="e">
        <f>dsd("Avflight UK LTD Monthly Incoming ACH",2)</f>
        <v>#NAME?</v>
      </c>
      <c r="F7" s="43" t="e">
        <f>dsd("Avflight UK LTD Incoming Wire",2)</f>
        <v>#NAME?</v>
      </c>
      <c r="G7" s="43" t="e">
        <f>dsd("Avflight UK LTD Commercial Deposit",2)</f>
        <v>#NAME?</v>
      </c>
      <c r="H7" s="43" t="e">
        <f>dsd("Avflight UK LTD Debits",2)</f>
        <v>#NAME?</v>
      </c>
      <c r="I7" s="43" t="e">
        <f>dsd("Avflight UK LTD Outgoing ACH",2)</f>
        <v>#NAME?</v>
      </c>
      <c r="J7" s="43" t="e">
        <f>dsd("Avflight UK LTD Monthly Outgoing wires",2)</f>
        <v>#NAME?</v>
      </c>
      <c r="K7" s="43" t="e">
        <f>dsd("Avflight UK LTD Check Paid",2)</f>
        <v>#NAME?</v>
      </c>
      <c r="L7" s="43" t="e">
        <f>dsd("Avflight UK LTD Monthly Other",2)</f>
        <v>#NAME?</v>
      </c>
      <c r="M7" s="72" t="e">
        <f>SUM(C7:I7,J7:L7)</f>
        <v>#NULL!</v>
      </c>
      <c r="O7" s="43" t="e">
        <f>dsd("Avflight UK LTD Monthly Credits &amp; Debits",2)</f>
        <v>#NAME?</v>
      </c>
    </row>
    <row r="8" ht="12.75" s="66" customFormat="true">
      <c r="A8" s="41" t="n">
        <f>IF(A7&lt;&gt;"",IF(MONTH(A7)=MONTH(A7+1),A7+1,""),"")</f>
        <v>42280.0</v>
      </c>
      <c r="B8" s="71"/>
      <c r="C8" s="43" t="e">
        <f>dsd("Avflight UK LTD Monthly Opening Ledger",3)</f>
        <v>#NAME?</v>
      </c>
      <c r="D8" s="43" t="e">
        <f>dsd("Avflight UK LTD Credits",3)</f>
        <v>#NAME?</v>
      </c>
      <c r="E8" s="43" t="e">
        <f>dsd("Avflight UK LTD Monthly Incoming ACH",3)</f>
        <v>#NAME?</v>
      </c>
      <c r="F8" s="43" t="e">
        <f>dsd("Avflight UK LTD Incoming Wire",3)</f>
        <v>#NAME?</v>
      </c>
      <c r="G8" s="43" t="e">
        <f>dsd("Avflight UK LTD Commercial Deposit",3)</f>
        <v>#NAME?</v>
      </c>
      <c r="H8" s="43" t="e">
        <f>dsd("Avflight UK LTD Debits",3)</f>
        <v>#NAME?</v>
      </c>
      <c r="I8" s="43" t="e">
        <f>dsd("Avflight UK LTD Outgoing ACH",3)</f>
        <v>#NAME?</v>
      </c>
      <c r="J8" s="43" t="e">
        <f>dsd("Avflight UK LTD Monthly Outgoing wires",3)</f>
        <v>#NAME?</v>
      </c>
      <c r="K8" s="43" t="e">
        <f>dsd("Avflight UK LTD Check Paid",3)</f>
        <v>#NAME?</v>
      </c>
      <c r="L8" s="43" t="e">
        <f>dsd("Avflight UK LTD Monthly Other",3)</f>
        <v>#NAME?</v>
      </c>
      <c r="M8" s="72" t="e">
        <f>SUM(C8:I8,J8:L8)</f>
        <v>#NULL!</v>
      </c>
      <c r="O8" s="43" t="e">
        <f>dsd("Avflight UK LTD Monthly Credits &amp; Debits",3)</f>
        <v>#NAME?</v>
      </c>
    </row>
    <row r="9" ht="12.75" s="66" customFormat="true">
      <c r="A9" s="41" t="n">
        <f>IF(A8&lt;&gt;"",IF(MONTH(A8)=MONTH(A8+1),A8+1,""),"")</f>
        <v>42281.0</v>
      </c>
      <c r="B9" s="71"/>
      <c r="C9" s="43" t="e">
        <f>dsd("Avflight UK LTD Monthly Opening Ledger",4)</f>
        <v>#NAME?</v>
      </c>
      <c r="D9" s="43" t="e">
        <f>dsd("Avflight UK LTD Credits",4)</f>
        <v>#NAME?</v>
      </c>
      <c r="E9" s="43" t="e">
        <f>dsd("Avflight UK LTD Monthly Incoming ACH",4)</f>
        <v>#NAME?</v>
      </c>
      <c r="F9" s="43" t="e">
        <f>dsd("Avflight UK LTD Incoming Wire",4)</f>
        <v>#NAME?</v>
      </c>
      <c r="G9" s="43" t="e">
        <f>dsd("Avflight UK LTD Commercial Deposit",4)</f>
        <v>#NAME?</v>
      </c>
      <c r="H9" s="43" t="e">
        <f>dsd("Avflight UK LTD Debits",4)</f>
        <v>#NAME?</v>
      </c>
      <c r="I9" s="43" t="e">
        <f>dsd("Avflight UK LTD Outgoing ACH",4)</f>
        <v>#NAME?</v>
      </c>
      <c r="J9" s="43" t="e">
        <f>dsd("Avflight UK LTD Monthly Outgoing wires",4)</f>
        <v>#NAME?</v>
      </c>
      <c r="K9" s="43" t="e">
        <f>dsd("Avflight UK LTD Check Paid",4)</f>
        <v>#NAME?</v>
      </c>
      <c r="L9" s="43" t="e">
        <f>dsd("Avflight UK LTD Monthly Other",4)</f>
        <v>#NAME?</v>
      </c>
      <c r="M9" s="72" t="e">
        <f>SUM(C9:I9,J9:L9)</f>
        <v>#NULL!</v>
      </c>
      <c r="O9" s="43" t="e">
        <f>dsd("Avflight UK LTD Monthly Credits &amp; Debits",4)</f>
        <v>#NAME?</v>
      </c>
    </row>
    <row r="10" ht="12.75" s="66" customFormat="true">
      <c r="A10" s="41" t="n">
        <f>IF(A9&lt;&gt;"",IF(MONTH(A9)=MONTH(A9+1),A9+1,""),"")</f>
        <v>42282.0</v>
      </c>
      <c r="B10" s="71"/>
      <c r="C10" s="43" t="e">
        <f>dsd("Avflight UK LTD Monthly Opening Ledger",5)</f>
        <v>#NAME?</v>
      </c>
      <c r="D10" s="43" t="e">
        <f>dsd("Avflight UK LTD Credits",5)</f>
        <v>#NAME?</v>
      </c>
      <c r="E10" s="43" t="e">
        <f>dsd("Avflight UK LTD Monthly Incoming ACH",5)</f>
        <v>#NAME?</v>
      </c>
      <c r="F10" s="43" t="e">
        <f>dsd("Avflight UK LTD Incoming Wire",5)</f>
        <v>#NAME?</v>
      </c>
      <c r="G10" s="43" t="e">
        <f>dsd("Avflight UK LTD Commercial Deposit",5)</f>
        <v>#NAME?</v>
      </c>
      <c r="H10" s="43" t="e">
        <f>dsd("Avflight UK LTD Debits",5)</f>
        <v>#NAME?</v>
      </c>
      <c r="I10" s="43" t="e">
        <f>dsd("Avflight UK LTD Outgoing ACH",5)</f>
        <v>#NAME?</v>
      </c>
      <c r="J10" s="43" t="e">
        <f>dsd("Avflight UK LTD Monthly Outgoing wires",5)</f>
        <v>#NAME?</v>
      </c>
      <c r="K10" s="43" t="e">
        <f>dsd("Avflight UK LTD Check Paid",5)</f>
        <v>#NAME?</v>
      </c>
      <c r="L10" s="43" t="e">
        <f>dsd("Avflight UK LTD Monthly Other",5)</f>
        <v>#NAME?</v>
      </c>
      <c r="M10" s="72" t="e">
        <f>SUM(C10:I10,J10:L10)</f>
        <v>#NULL!</v>
      </c>
      <c r="O10" s="43" t="e">
        <f>dsd("Avflight UK LTD Monthly Credits &amp; Debits",5)</f>
        <v>#NAME?</v>
      </c>
    </row>
    <row r="11" ht="12.75" s="66" customFormat="true">
      <c r="A11" s="41" t="n">
        <f>IF(A10&lt;&gt;"",IF(MONTH(A10)=MONTH(A10+1),A10+1,""),"")</f>
        <v>42283.0</v>
      </c>
      <c r="B11" s="71"/>
      <c r="C11" s="43" t="e">
        <f>dsd("Avflight UK LTD Monthly Opening Ledger",6)</f>
        <v>#NAME?</v>
      </c>
      <c r="D11" s="43" t="e">
        <f>dsd("Avflight UK LTD Credits",6)</f>
        <v>#NAME?</v>
      </c>
      <c r="E11" s="43" t="e">
        <f>dsd("Avflight UK LTD Monthly Incoming ACH",6)</f>
        <v>#NAME?</v>
      </c>
      <c r="F11" s="43" t="e">
        <f>dsd("Avflight UK LTD Incoming Wire",6)</f>
        <v>#NAME?</v>
      </c>
      <c r="G11" s="43" t="e">
        <f>dsd("Avflight UK LTD Commercial Deposit",6)</f>
        <v>#NAME?</v>
      </c>
      <c r="H11" s="43" t="e">
        <f>dsd("Avflight UK LTD Debits",6)</f>
        <v>#NAME?</v>
      </c>
      <c r="I11" s="43" t="e">
        <f>dsd("Avflight UK LTD Outgoing ACH",6)</f>
        <v>#NAME?</v>
      </c>
      <c r="J11" s="43" t="e">
        <f>dsd("Avflight UK LTD Monthly Outgoing wires",6)</f>
        <v>#NAME?</v>
      </c>
      <c r="K11" s="43" t="e">
        <f>dsd("Avflight UK LTD Check Paid",6)</f>
        <v>#NAME?</v>
      </c>
      <c r="L11" s="43" t="e">
        <f>dsd("Avflight UK LTD Monthly Other",6)</f>
        <v>#NAME?</v>
      </c>
      <c r="M11" s="72" t="e">
        <f>SUM(C11:I11,J11:L11)</f>
        <v>#NULL!</v>
      </c>
      <c r="O11" s="43" t="e">
        <f>dsd("Avflight UK LTD Monthly Credits &amp; Debits",6)</f>
        <v>#NAME?</v>
      </c>
    </row>
    <row r="12" ht="12.75" s="66" customFormat="true">
      <c r="A12" s="41" t="n">
        <f>IF(A11&lt;&gt;"",IF(MONTH(A11)=MONTH(A11+1),A11+1,""),"")</f>
        <v>42284.0</v>
      </c>
      <c r="B12" s="71"/>
      <c r="C12" s="43" t="e">
        <f>dsd("Avflight UK LTD Monthly Opening Ledger",7)</f>
        <v>#NAME?</v>
      </c>
      <c r="D12" s="43" t="e">
        <f>dsd("Avflight UK LTD Credits",7)</f>
        <v>#NAME?</v>
      </c>
      <c r="E12" s="43" t="e">
        <f>dsd("Avflight UK LTD Monthly Incoming ACH",7)</f>
        <v>#NAME?</v>
      </c>
      <c r="F12" s="43" t="e">
        <f>dsd("Avflight UK LTD Incoming Wire",7)</f>
        <v>#NAME?</v>
      </c>
      <c r="G12" s="43" t="e">
        <f>dsd("Avflight UK LTD Commercial Deposit",7)</f>
        <v>#NAME?</v>
      </c>
      <c r="H12" s="43" t="e">
        <f>dsd("Avflight UK LTD Debits",7)</f>
        <v>#NAME?</v>
      </c>
      <c r="I12" s="43" t="e">
        <f>dsd("Avflight UK LTD Outgoing ACH",7)</f>
        <v>#NAME?</v>
      </c>
      <c r="J12" s="43" t="e">
        <f>dsd("Avflight UK LTD Monthly Outgoing wires",7)</f>
        <v>#NAME?</v>
      </c>
      <c r="K12" s="43" t="e">
        <f>dsd("Avflight UK LTD Check Paid",7)</f>
        <v>#NAME?</v>
      </c>
      <c r="L12" s="43" t="e">
        <f>dsd("Avflight UK LTD Monthly Other",7)</f>
        <v>#NAME?</v>
      </c>
      <c r="M12" s="72" t="e">
        <f>SUM(C12:I12,J12:L12)</f>
        <v>#NULL!</v>
      </c>
      <c r="O12" s="43" t="e">
        <f>dsd("Avflight UK LTD Monthly Credits &amp; Debits",7)</f>
        <v>#NAME?</v>
      </c>
    </row>
    <row r="13" ht="12.75" s="66" customFormat="true">
      <c r="A13" s="41" t="n">
        <f>IF(A12&lt;&gt;"",IF(MONTH(A12)=MONTH(A12+1),A12+1,""),"")</f>
        <v>42285.0</v>
      </c>
      <c r="B13" s="71"/>
      <c r="C13" s="43" t="e">
        <f>dsd("Avflight UK LTD Monthly Opening Ledger",8)</f>
        <v>#NAME?</v>
      </c>
      <c r="D13" s="43" t="e">
        <f>dsd("Avflight UK LTD Credits",8)</f>
        <v>#NAME?</v>
      </c>
      <c r="E13" s="43" t="e">
        <f>dsd("Avflight UK LTD Monthly Incoming ACH",8)</f>
        <v>#NAME?</v>
      </c>
      <c r="F13" s="43" t="e">
        <f>dsd("Avflight UK LTD Incoming Wire",8)</f>
        <v>#NAME?</v>
      </c>
      <c r="G13" s="43" t="e">
        <f>dsd("Avflight UK LTD Commercial Deposit",8)</f>
        <v>#NAME?</v>
      </c>
      <c r="H13" s="43" t="e">
        <f>dsd("Avflight UK LTD Debits",8)</f>
        <v>#NAME?</v>
      </c>
      <c r="I13" s="43" t="e">
        <f>dsd("Avflight UK LTD Outgoing ACH",8)</f>
        <v>#NAME?</v>
      </c>
      <c r="J13" s="43" t="e">
        <f>dsd("Avflight UK LTD Monthly Outgoing wires",8)</f>
        <v>#NAME?</v>
      </c>
      <c r="K13" s="43" t="e">
        <f>dsd("Avflight UK LTD Check Paid",8)</f>
        <v>#NAME?</v>
      </c>
      <c r="L13" s="43" t="e">
        <f>dsd("Avflight UK LTD Monthly Other",8)</f>
        <v>#NAME?</v>
      </c>
      <c r="M13" s="72" t="e">
        <f>SUM(C13:I13,J13:L13)</f>
        <v>#NULL!</v>
      </c>
      <c r="O13" s="43" t="e">
        <f>dsd("Avflight UK LTD Monthly Credits &amp; Debits",8)</f>
        <v>#NAME?</v>
      </c>
    </row>
    <row r="14" ht="12.75" s="66" customFormat="true">
      <c r="A14" s="41" t="n">
        <f>IF(A13&lt;&gt;"",IF(MONTH(A13)=MONTH(A13+1),A13+1,""),"")</f>
        <v>42286.0</v>
      </c>
      <c r="B14" s="71"/>
      <c r="C14" s="43" t="e">
        <f>dsd("Avflight UK LTD Monthly Opening Ledger",9)</f>
        <v>#NAME?</v>
      </c>
      <c r="D14" s="43" t="e">
        <f>dsd("Avflight UK LTD Credits",9)</f>
        <v>#NAME?</v>
      </c>
      <c r="E14" s="43" t="e">
        <f>dsd("Avflight UK LTD Monthly Incoming ACH",9)</f>
        <v>#NAME?</v>
      </c>
      <c r="F14" s="43" t="e">
        <f>dsd("Avflight UK LTD Incoming Wire",9)</f>
        <v>#NAME?</v>
      </c>
      <c r="G14" s="43" t="e">
        <f>dsd("Avflight UK LTD Commercial Deposit",9)</f>
        <v>#NAME?</v>
      </c>
      <c r="H14" s="43" t="e">
        <f>dsd("Avflight UK LTD Debits",9)</f>
        <v>#NAME?</v>
      </c>
      <c r="I14" s="43" t="e">
        <f>dsd("Avflight UK LTD Outgoing ACH",9)</f>
        <v>#NAME?</v>
      </c>
      <c r="J14" s="43" t="e">
        <f>dsd("Avflight UK LTD Monthly Outgoing wires",9)</f>
        <v>#NAME?</v>
      </c>
      <c r="K14" s="43" t="e">
        <f>dsd("Avflight UK LTD Check Paid",9)</f>
        <v>#NAME?</v>
      </c>
      <c r="L14" s="43" t="e">
        <f>dsd("Avflight UK LTD Monthly Other",9)</f>
        <v>#NAME?</v>
      </c>
      <c r="M14" s="72" t="e">
        <f>SUM(C14:I14,J14:L14)</f>
        <v>#NULL!</v>
      </c>
      <c r="O14" s="43" t="e">
        <f>dsd("Avflight UK LTD Monthly Credits &amp; Debits",9)</f>
        <v>#NAME?</v>
      </c>
    </row>
    <row r="15" ht="12.75" s="66" customFormat="true">
      <c r="A15" s="41" t="n">
        <f>IF(A14&lt;&gt;"",IF(MONTH(A14)=MONTH(A14+1),A14+1,""),"")</f>
        <v>42287.0</v>
      </c>
      <c r="B15" s="71"/>
      <c r="C15" s="43" t="e">
        <f>dsd("Avflight UK LTD Monthly Opening Ledger",10)</f>
        <v>#NAME?</v>
      </c>
      <c r="D15" s="43" t="e">
        <f>dsd("Avflight UK LTD Credits",10)</f>
        <v>#NAME?</v>
      </c>
      <c r="E15" s="43" t="e">
        <f>dsd("Avflight UK LTD Monthly Incoming ACH",10)</f>
        <v>#NAME?</v>
      </c>
      <c r="F15" s="43" t="e">
        <f>dsd("Avflight UK LTD Incoming Wire",10)</f>
        <v>#NAME?</v>
      </c>
      <c r="G15" s="43" t="e">
        <f>dsd("Avflight UK LTD Commercial Deposit",10)</f>
        <v>#NAME?</v>
      </c>
      <c r="H15" s="43" t="e">
        <f>dsd("Avflight UK LTD Debits",10)</f>
        <v>#NAME?</v>
      </c>
      <c r="I15" s="43" t="e">
        <f>dsd("Avflight UK LTD Outgoing ACH",10)</f>
        <v>#NAME?</v>
      </c>
      <c r="J15" s="43" t="e">
        <f>dsd("Avflight UK LTD Monthly Outgoing wires",10)</f>
        <v>#NAME?</v>
      </c>
      <c r="K15" s="43" t="e">
        <f>dsd("Avflight UK LTD Check Paid",10)</f>
        <v>#NAME?</v>
      </c>
      <c r="L15" s="43" t="e">
        <f>dsd("Avflight UK LTD Monthly Other",10)</f>
        <v>#NAME?</v>
      </c>
      <c r="M15" s="72" t="e">
        <f>SUM(C15:I15,J15:L15)</f>
        <v>#NULL!</v>
      </c>
      <c r="O15" s="43" t="e">
        <f>dsd("Avflight UK LTD Monthly Credits &amp; Debits",10)</f>
        <v>#NAME?</v>
      </c>
    </row>
    <row r="16" ht="12.75" s="66" customFormat="true">
      <c r="A16" s="41" t="n">
        <f>IF(A15&lt;&gt;"",IF(MONTH(A15)=MONTH(A15+1),A15+1,""),"")</f>
        <v>42288.0</v>
      </c>
      <c r="B16" s="71"/>
      <c r="C16" s="43" t="e">
        <f>dsd("Avflight UK LTD Monthly Opening Ledger",11)</f>
        <v>#NAME?</v>
      </c>
      <c r="D16" s="43" t="e">
        <f>dsd("Avflight UK LTD Credits",11)</f>
        <v>#NAME?</v>
      </c>
      <c r="E16" s="43" t="e">
        <f>dsd("Avflight UK LTD Monthly Incoming ACH",11)</f>
        <v>#NAME?</v>
      </c>
      <c r="F16" s="43" t="e">
        <f>dsd("Avflight UK LTD Incoming Wire",11)</f>
        <v>#NAME?</v>
      </c>
      <c r="G16" s="43" t="e">
        <f>dsd("Avflight UK LTD Commercial Deposit",11)</f>
        <v>#NAME?</v>
      </c>
      <c r="H16" s="43" t="e">
        <f>dsd("Avflight UK LTD Debits",11)</f>
        <v>#NAME?</v>
      </c>
      <c r="I16" s="43" t="e">
        <f>dsd("Avflight UK LTD Outgoing ACH",11)</f>
        <v>#NAME?</v>
      </c>
      <c r="J16" s="43" t="e">
        <f>dsd("Avflight UK LTD Monthly Outgoing wires",11)</f>
        <v>#NAME?</v>
      </c>
      <c r="K16" s="43" t="e">
        <f>dsd("Avflight UK LTD Check Paid",11)</f>
        <v>#NAME?</v>
      </c>
      <c r="L16" s="43" t="e">
        <f>dsd("Avflight UK LTD Monthly Other",11)</f>
        <v>#NAME?</v>
      </c>
      <c r="M16" s="72" t="e">
        <f>SUM(C16:I16,J16:L16)</f>
        <v>#NULL!</v>
      </c>
      <c r="O16" s="43" t="e">
        <f>dsd("Avflight UK LTD Monthly Credits &amp; Debits",11)</f>
        <v>#NAME?</v>
      </c>
    </row>
    <row r="17" ht="12.75" s="66" customFormat="true">
      <c r="A17" s="41" t="n">
        <f>IF(A16&lt;&gt;"",IF(MONTH(A16)=MONTH(A16+1),A16+1,""),"")</f>
        <v>42289.0</v>
      </c>
      <c r="B17" s="71"/>
      <c r="C17" s="43" t="e">
        <f>dsd("Avflight UK LTD Monthly Opening Ledger",12)</f>
        <v>#NAME?</v>
      </c>
      <c r="D17" s="43" t="e">
        <f>dsd("Avflight UK LTD Credits",12)</f>
        <v>#NAME?</v>
      </c>
      <c r="E17" s="43" t="e">
        <f>dsd("Avflight UK LTD Monthly Incoming ACH",12)</f>
        <v>#NAME?</v>
      </c>
      <c r="F17" s="43" t="e">
        <f>dsd("Avflight UK LTD Incoming Wire",12)</f>
        <v>#NAME?</v>
      </c>
      <c r="G17" s="43" t="e">
        <f>dsd("Avflight UK LTD Commercial Deposit",12)</f>
        <v>#NAME?</v>
      </c>
      <c r="H17" s="43" t="e">
        <f>dsd("Avflight UK LTD Debits",12)</f>
        <v>#NAME?</v>
      </c>
      <c r="I17" s="43" t="e">
        <f>dsd("Avflight UK LTD Outgoing ACH",12)</f>
        <v>#NAME?</v>
      </c>
      <c r="J17" s="43" t="e">
        <f>dsd("Avflight UK LTD Monthly Outgoing wires",12)</f>
        <v>#NAME?</v>
      </c>
      <c r="K17" s="43" t="e">
        <f>dsd("Avflight UK LTD Check Paid",12)</f>
        <v>#NAME?</v>
      </c>
      <c r="L17" s="43" t="e">
        <f>dsd("Avflight UK LTD Monthly Other",12)</f>
        <v>#NAME?</v>
      </c>
      <c r="M17" s="72" t="e">
        <f>SUM(C17:I17,J17:L17)</f>
        <v>#NULL!</v>
      </c>
      <c r="O17" s="43" t="e">
        <f>dsd("Avflight UK LTD Monthly Credits &amp; Debits",12)</f>
        <v>#NAME?</v>
      </c>
    </row>
    <row r="18" ht="12.75" s="66" customFormat="true">
      <c r="A18" s="41" t="n">
        <f>IF(A17&lt;&gt;"",IF(MONTH(A17)=MONTH(A17+1),A17+1,""),"")</f>
        <v>42290.0</v>
      </c>
      <c r="B18" s="71"/>
      <c r="C18" s="43" t="e">
        <f>dsd("Avflight UK LTD Monthly Opening Ledger",13)</f>
        <v>#NAME?</v>
      </c>
      <c r="D18" s="43" t="e">
        <f>dsd("Avflight UK LTD Credits",13)</f>
        <v>#NAME?</v>
      </c>
      <c r="E18" s="43" t="e">
        <f>dsd("Avflight UK LTD Monthly Incoming ACH",13)</f>
        <v>#NAME?</v>
      </c>
      <c r="F18" s="43" t="e">
        <f>dsd("Avflight UK LTD Incoming Wire",13)</f>
        <v>#NAME?</v>
      </c>
      <c r="G18" s="43" t="e">
        <f>dsd("Avflight UK LTD Commercial Deposit",13)</f>
        <v>#NAME?</v>
      </c>
      <c r="H18" s="43" t="e">
        <f>dsd("Avflight UK LTD Debits",13)</f>
        <v>#NAME?</v>
      </c>
      <c r="I18" s="43" t="e">
        <f>dsd("Avflight UK LTD Outgoing ACH",13)</f>
        <v>#NAME?</v>
      </c>
      <c r="J18" s="43" t="e">
        <f>dsd("Avflight UK LTD Monthly Outgoing wires",13)</f>
        <v>#NAME?</v>
      </c>
      <c r="K18" s="43" t="e">
        <f>dsd("Avflight UK LTD Check Paid",13)</f>
        <v>#NAME?</v>
      </c>
      <c r="L18" s="43" t="e">
        <f>dsd("Avflight UK LTD Monthly Other",13)</f>
        <v>#NAME?</v>
      </c>
      <c r="M18" s="72" t="e">
        <f>SUM(C18:I18,J18:L18)</f>
        <v>#NULL!</v>
      </c>
      <c r="O18" s="43" t="e">
        <f>dsd("Avflight UK LTD Monthly Credits &amp; Debits",13)</f>
        <v>#NAME?</v>
      </c>
    </row>
    <row r="19" ht="12.75" s="66" customFormat="true">
      <c r="A19" s="41" t="n">
        <f>IF(A18&lt;&gt;"",IF(MONTH(A18)=MONTH(A18+1),A18+1,""),"")</f>
        <v>42291.0</v>
      </c>
      <c r="B19" s="71"/>
      <c r="C19" s="43" t="e">
        <f>dsd("Avflight UK LTD Monthly Opening Ledger",14)</f>
        <v>#NAME?</v>
      </c>
      <c r="D19" s="43" t="e">
        <f>dsd("Avflight UK LTD Credits",14)</f>
        <v>#NAME?</v>
      </c>
      <c r="E19" s="43" t="e">
        <f>dsd("Avflight UK LTD Monthly Incoming ACH",14)</f>
        <v>#NAME?</v>
      </c>
      <c r="F19" s="43" t="e">
        <f>dsd("Avflight UK LTD Incoming Wire",14)</f>
        <v>#NAME?</v>
      </c>
      <c r="G19" s="43" t="e">
        <f>dsd("Avflight UK LTD Commercial Deposit",14)</f>
        <v>#NAME?</v>
      </c>
      <c r="H19" s="43" t="e">
        <f>dsd("Avflight UK LTD Debits",14)</f>
        <v>#NAME?</v>
      </c>
      <c r="I19" s="43" t="e">
        <f>dsd("Avflight UK LTD Outgoing ACH",14)</f>
        <v>#NAME?</v>
      </c>
      <c r="J19" s="43" t="e">
        <f>dsd("Avflight UK LTD Monthly Outgoing wires",14)</f>
        <v>#NAME?</v>
      </c>
      <c r="K19" s="43" t="e">
        <f>dsd("Avflight UK LTD Check Paid",14)</f>
        <v>#NAME?</v>
      </c>
      <c r="L19" s="43" t="e">
        <f>dsd("Avflight UK LTD Monthly Other",14)</f>
        <v>#NAME?</v>
      </c>
      <c r="M19" s="72" t="e">
        <f>SUM(C19:I19,J19:L19)</f>
        <v>#NULL!</v>
      </c>
      <c r="O19" s="43" t="e">
        <f>dsd("Avflight UK LTD Monthly Credits &amp; Debits",14)</f>
        <v>#NAME?</v>
      </c>
    </row>
    <row r="20" ht="12.75" s="66" customFormat="true">
      <c r="A20" s="41" t="n">
        <f>IF(A19&lt;&gt;"",IF(MONTH(A19)=MONTH(A19+1),A19+1,""),"")</f>
        <v>42292.0</v>
      </c>
      <c r="B20" s="71"/>
      <c r="C20" s="43" t="e">
        <f>dsd("Avflight UK LTD Monthly Opening Ledger",15)</f>
        <v>#NAME?</v>
      </c>
      <c r="D20" s="43" t="e">
        <f>dsd("Avflight UK LTD Credits",15)</f>
        <v>#NAME?</v>
      </c>
      <c r="E20" s="43" t="e">
        <f>dsd("Avflight UK LTD Monthly Incoming ACH",15)</f>
        <v>#NAME?</v>
      </c>
      <c r="F20" s="43" t="e">
        <f>dsd("Avflight UK LTD Incoming Wire",15)</f>
        <v>#NAME?</v>
      </c>
      <c r="G20" s="43" t="e">
        <f>dsd("Avflight UK LTD Commercial Deposit",15)</f>
        <v>#NAME?</v>
      </c>
      <c r="H20" s="43" t="e">
        <f>dsd("Avflight UK LTD Debits",15)</f>
        <v>#NAME?</v>
      </c>
      <c r="I20" s="43" t="e">
        <f>dsd("Avflight UK LTD Outgoing ACH",15)</f>
        <v>#NAME?</v>
      </c>
      <c r="J20" s="43" t="e">
        <f>dsd("Avflight UK LTD Monthly Outgoing wires",15)</f>
        <v>#NAME?</v>
      </c>
      <c r="K20" s="43" t="e">
        <f>dsd("Avflight UK LTD Check Paid",15)</f>
        <v>#NAME?</v>
      </c>
      <c r="L20" s="43" t="e">
        <f>dsd("Avflight UK LTD Monthly Other",15)</f>
        <v>#NAME?</v>
      </c>
      <c r="M20" s="72" t="e">
        <f>SUM(C20:I20,J20:L20)</f>
        <v>#NULL!</v>
      </c>
      <c r="O20" s="43" t="e">
        <f>dsd("Avflight UK LTD Monthly Credits &amp; Debits",15)</f>
        <v>#NAME?</v>
      </c>
    </row>
    <row r="21" ht="12.75" s="66" customFormat="true">
      <c r="A21" s="41" t="n">
        <f>IF(A20&lt;&gt;"",IF(MONTH(A20)=MONTH(A20+1),A20+1,""),"")</f>
        <v>42293.0</v>
      </c>
      <c r="B21" s="71"/>
      <c r="C21" s="43" t="e">
        <f>dsd("Avflight UK LTD Monthly Opening Ledger",16)</f>
        <v>#NAME?</v>
      </c>
      <c r="D21" s="43" t="e">
        <f>dsd("Avflight UK LTD Credits",16)</f>
        <v>#NAME?</v>
      </c>
      <c r="E21" s="43" t="e">
        <f>dsd("Avflight UK LTD Monthly Incoming ACH",16)</f>
        <v>#NAME?</v>
      </c>
      <c r="F21" s="43" t="e">
        <f>dsd("Avflight UK LTD Incoming Wire",16)</f>
        <v>#NAME?</v>
      </c>
      <c r="G21" s="43" t="e">
        <f>dsd("Avflight UK LTD Commercial Deposit",16)</f>
        <v>#NAME?</v>
      </c>
      <c r="H21" s="43" t="e">
        <f>dsd("Avflight UK LTD Debits",16)</f>
        <v>#NAME?</v>
      </c>
      <c r="I21" s="43" t="e">
        <f>dsd("Avflight UK LTD Outgoing ACH",16)</f>
        <v>#NAME?</v>
      </c>
      <c r="J21" s="43" t="e">
        <f>dsd("Avflight UK LTD Monthly Outgoing wires",16)</f>
        <v>#NAME?</v>
      </c>
      <c r="K21" s="43" t="e">
        <f>dsd("Avflight UK LTD Check Paid",16)</f>
        <v>#NAME?</v>
      </c>
      <c r="L21" s="43" t="e">
        <f>dsd("Avflight UK LTD Monthly Other",16)</f>
        <v>#NAME?</v>
      </c>
      <c r="M21" s="72" t="e">
        <f>SUM(C21:I21,J21:L21)</f>
        <v>#NULL!</v>
      </c>
      <c r="O21" s="43" t="e">
        <f>dsd("Avflight UK LTD Monthly Credits &amp; Debits",16)</f>
        <v>#NAME?</v>
      </c>
    </row>
    <row r="22" ht="12.75" s="66" customFormat="true">
      <c r="A22" s="41" t="n">
        <f>IF(A21&lt;&gt;"",IF(MONTH(A21)=MONTH(A21+1),A21+1,""),"")</f>
        <v>42294.0</v>
      </c>
      <c r="B22" s="71"/>
      <c r="C22" s="43" t="e">
        <f>dsd("Avflight UK LTD Monthly Opening Ledger",17)</f>
        <v>#NAME?</v>
      </c>
      <c r="D22" s="43" t="e">
        <f>dsd("Avflight UK LTD Credits",17)</f>
        <v>#NAME?</v>
      </c>
      <c r="E22" s="43" t="e">
        <f>dsd("Avflight UK LTD Monthly Incoming ACH",17)</f>
        <v>#NAME?</v>
      </c>
      <c r="F22" s="43" t="e">
        <f>dsd("Avflight UK LTD Incoming Wire",17)</f>
        <v>#NAME?</v>
      </c>
      <c r="G22" s="43" t="e">
        <f>dsd("Avflight UK LTD Commercial Deposit",17)</f>
        <v>#NAME?</v>
      </c>
      <c r="H22" s="43" t="e">
        <f>dsd("Avflight UK LTD Debits",17)</f>
        <v>#NAME?</v>
      </c>
      <c r="I22" s="43" t="e">
        <f>dsd("Avflight UK LTD Outgoing ACH",17)</f>
        <v>#NAME?</v>
      </c>
      <c r="J22" s="43" t="e">
        <f>dsd("Avflight UK LTD Monthly Outgoing wires",17)</f>
        <v>#NAME?</v>
      </c>
      <c r="K22" s="43" t="e">
        <f>dsd("Avflight UK LTD Check Paid",17)</f>
        <v>#NAME?</v>
      </c>
      <c r="L22" s="43" t="e">
        <f>dsd("Avflight UK LTD Monthly Other",17)</f>
        <v>#NAME?</v>
      </c>
      <c r="M22" s="72" t="e">
        <f>SUM(C22:I22,J22:L22)</f>
        <v>#NULL!</v>
      </c>
      <c r="O22" s="43" t="e">
        <f>dsd("Avflight UK LTD Monthly Credits &amp; Debits",17)</f>
        <v>#NAME?</v>
      </c>
    </row>
    <row r="23" ht="12.75" s="66" customFormat="true">
      <c r="A23" s="41" t="n">
        <f>IF(A22&lt;&gt;"",IF(MONTH(A22)=MONTH(A22+1),A22+1,""),"")</f>
        <v>42295.0</v>
      </c>
      <c r="B23" s="71"/>
      <c r="C23" s="43" t="e">
        <f>dsd("Avflight UK LTD Monthly Opening Ledger",18)</f>
        <v>#NAME?</v>
      </c>
      <c r="D23" s="43" t="e">
        <f>dsd("Avflight UK LTD Credits",18)</f>
        <v>#NAME?</v>
      </c>
      <c r="E23" s="43" t="e">
        <f>dsd("Avflight UK LTD Monthly Incoming ACH",18)</f>
        <v>#NAME?</v>
      </c>
      <c r="F23" s="43" t="e">
        <f>dsd("Avflight UK LTD Incoming Wire",18)</f>
        <v>#NAME?</v>
      </c>
      <c r="G23" s="43" t="e">
        <f>dsd("Avflight UK LTD Commercial Deposit",18)</f>
        <v>#NAME?</v>
      </c>
      <c r="H23" s="43" t="e">
        <f>dsd("Avflight UK LTD Debits",18)</f>
        <v>#NAME?</v>
      </c>
      <c r="I23" s="43" t="e">
        <f>dsd("Avflight UK LTD Outgoing ACH",18)</f>
        <v>#NAME?</v>
      </c>
      <c r="J23" s="43" t="e">
        <f>dsd("Avflight UK LTD Monthly Outgoing wires",18)</f>
        <v>#NAME?</v>
      </c>
      <c r="K23" s="43" t="e">
        <f>dsd("Avflight UK LTD Check Paid",18)</f>
        <v>#NAME?</v>
      </c>
      <c r="L23" s="43" t="e">
        <f>dsd("Avflight UK LTD Monthly Other",18)</f>
        <v>#NAME?</v>
      </c>
      <c r="M23" s="72" t="e">
        <f>SUM(C23:I23,J23:L23)</f>
        <v>#NULL!</v>
      </c>
      <c r="O23" s="43" t="e">
        <f>dsd("Avflight UK LTD Monthly Credits &amp; Debits",18)</f>
        <v>#NAME?</v>
      </c>
    </row>
    <row r="24" ht="12.75" s="66" customFormat="true">
      <c r="A24" s="41" t="n">
        <f>IF(A23&lt;&gt;"",IF(MONTH(A23)=MONTH(A23+1),A23+1,""),"")</f>
        <v>42296.0</v>
      </c>
      <c r="B24" s="71"/>
      <c r="C24" s="43" t="e">
        <f>dsd("Avflight UK LTD Monthly Opening Ledger",19)</f>
        <v>#NAME?</v>
      </c>
      <c r="D24" s="43" t="e">
        <f>dsd("Avflight UK LTD Credits",19)</f>
        <v>#NAME?</v>
      </c>
      <c r="E24" s="43" t="e">
        <f>dsd("Avflight UK LTD Monthly Incoming ACH",19)</f>
        <v>#NAME?</v>
      </c>
      <c r="F24" s="43" t="e">
        <f>dsd("Avflight UK LTD Incoming Wire",19)</f>
        <v>#NAME?</v>
      </c>
      <c r="G24" s="43" t="e">
        <f>dsd("Avflight UK LTD Commercial Deposit",19)</f>
        <v>#NAME?</v>
      </c>
      <c r="H24" s="43" t="e">
        <f>dsd("Avflight UK LTD Debits",19)</f>
        <v>#NAME?</v>
      </c>
      <c r="I24" s="43" t="e">
        <f>dsd("Avflight UK LTD Outgoing ACH",19)</f>
        <v>#NAME?</v>
      </c>
      <c r="J24" s="43" t="e">
        <f>dsd("Avflight UK LTD Monthly Outgoing wires",19)</f>
        <v>#NAME?</v>
      </c>
      <c r="K24" s="43" t="e">
        <f>dsd("Avflight UK LTD Check Paid",19)</f>
        <v>#NAME?</v>
      </c>
      <c r="L24" s="43" t="e">
        <f>dsd("Avflight UK LTD Monthly Other",19)</f>
        <v>#NAME?</v>
      </c>
      <c r="M24" s="72" t="e">
        <f>SUM(C24:I24,J24:L24)</f>
        <v>#NULL!</v>
      </c>
      <c r="O24" s="43" t="e">
        <f>dsd("Avflight UK LTD Monthly Credits &amp; Debits",19)</f>
        <v>#NAME?</v>
      </c>
    </row>
    <row r="25" ht="12.75" s="66" customFormat="true">
      <c r="A25" s="41" t="n">
        <f>IF(A24&lt;&gt;"",IF(MONTH(A24)=MONTH(A24+1),A24+1,""),"")</f>
        <v>42297.0</v>
      </c>
      <c r="B25" s="71"/>
      <c r="C25" s="43" t="e">
        <f>dsd("Avflight UK LTD Monthly Opening Ledger",20)</f>
        <v>#NAME?</v>
      </c>
      <c r="D25" s="43" t="e">
        <f>dsd("Avflight UK LTD Credits",20)</f>
        <v>#NAME?</v>
      </c>
      <c r="E25" s="43" t="e">
        <f>dsd("Avflight UK LTD Monthly Incoming ACH",20)</f>
        <v>#NAME?</v>
      </c>
      <c r="F25" s="43" t="e">
        <f>dsd("Avflight UK LTD Incoming Wire",20)</f>
        <v>#NAME?</v>
      </c>
      <c r="G25" s="43" t="e">
        <f>dsd("Avflight UK LTD Commercial Deposit",20)</f>
        <v>#NAME?</v>
      </c>
      <c r="H25" s="43" t="e">
        <f>dsd("Avflight UK LTD Debits",20)</f>
        <v>#NAME?</v>
      </c>
      <c r="I25" s="43" t="e">
        <f>dsd("Avflight UK LTD Outgoing ACH",20)</f>
        <v>#NAME?</v>
      </c>
      <c r="J25" s="43" t="e">
        <f>dsd("Avflight UK LTD Monthly Outgoing wires",20)</f>
        <v>#NAME?</v>
      </c>
      <c r="K25" s="43" t="e">
        <f>dsd("Avflight UK LTD Check Paid",20)</f>
        <v>#NAME?</v>
      </c>
      <c r="L25" s="43" t="e">
        <f>dsd("Avflight UK LTD Monthly Other",20)</f>
        <v>#NAME?</v>
      </c>
      <c r="M25" s="72" t="e">
        <f>SUM(C25:I25,J25:L25)</f>
        <v>#NULL!</v>
      </c>
      <c r="O25" s="43" t="e">
        <f>dsd("Avflight UK LTD Monthly Credits &amp; Debits",20)</f>
        <v>#NAME?</v>
      </c>
    </row>
    <row r="26" ht="12.75" s="66" customFormat="true">
      <c r="A26" s="41" t="n">
        <f>IF(A25&lt;&gt;"",IF(MONTH(A25)=MONTH(A25+1),A25+1,""),"")</f>
        <v>42298.0</v>
      </c>
      <c r="B26" s="71"/>
      <c r="C26" s="43" t="e">
        <f>dsd("Avflight UK LTD Monthly Opening Ledger",21)</f>
        <v>#NAME?</v>
      </c>
      <c r="D26" s="43" t="e">
        <f>dsd("Avflight UK LTD Credits",21)</f>
        <v>#NAME?</v>
      </c>
      <c r="E26" s="43" t="e">
        <f>dsd("Avflight UK LTD Monthly Incoming ACH",21)</f>
        <v>#NAME?</v>
      </c>
      <c r="F26" s="43" t="e">
        <f>dsd("Avflight UK LTD Incoming Wire",21)</f>
        <v>#NAME?</v>
      </c>
      <c r="G26" s="43" t="e">
        <f>dsd("Avflight UK LTD Commercial Deposit",21)</f>
        <v>#NAME?</v>
      </c>
      <c r="H26" s="43" t="e">
        <f>dsd("Avflight UK LTD Debits",21)</f>
        <v>#NAME?</v>
      </c>
      <c r="I26" s="43" t="e">
        <f>dsd("Avflight UK LTD Outgoing ACH",21)</f>
        <v>#NAME?</v>
      </c>
      <c r="J26" s="43" t="e">
        <f>dsd("Avflight UK LTD Monthly Outgoing wires",21)</f>
        <v>#NAME?</v>
      </c>
      <c r="K26" s="43" t="e">
        <f>dsd("Avflight UK LTD Check Paid",21)</f>
        <v>#NAME?</v>
      </c>
      <c r="L26" s="43" t="e">
        <f>dsd("Avflight UK LTD Monthly Other",21)</f>
        <v>#NAME?</v>
      </c>
      <c r="M26" s="72" t="e">
        <f>SUM(C26:I26,J26:L26)</f>
        <v>#NULL!</v>
      </c>
      <c r="O26" s="43" t="e">
        <f>dsd("Avflight UK LTD Monthly Credits &amp; Debits",21)</f>
        <v>#NAME?</v>
      </c>
    </row>
    <row r="27" ht="12.75" s="66" customFormat="true">
      <c r="A27" s="41" t="n">
        <f>IF(A26&lt;&gt;"",IF(MONTH(A26)=MONTH(A26+1),A26+1,""),"")</f>
        <v>42299.0</v>
      </c>
      <c r="B27" s="71"/>
      <c r="C27" s="43" t="e">
        <f>dsd("Avflight UK LTD Monthly Opening Ledger",22)</f>
        <v>#NAME?</v>
      </c>
      <c r="D27" s="43" t="e">
        <f>dsd("Avflight UK LTD Credits",22)</f>
        <v>#NAME?</v>
      </c>
      <c r="E27" s="43" t="e">
        <f>dsd("Avflight UK LTD Monthly Incoming ACH",22)</f>
        <v>#NAME?</v>
      </c>
      <c r="F27" s="43" t="e">
        <f>dsd("Avflight UK LTD Incoming Wire",22)</f>
        <v>#NAME?</v>
      </c>
      <c r="G27" s="43" t="e">
        <f>dsd("Avflight UK LTD Commercial Deposit",22)</f>
        <v>#NAME?</v>
      </c>
      <c r="H27" s="43" t="e">
        <f>dsd("Avflight UK LTD Debits",22)</f>
        <v>#NAME?</v>
      </c>
      <c r="I27" s="43" t="e">
        <f>dsd("Avflight UK LTD Outgoing ACH",22)</f>
        <v>#NAME?</v>
      </c>
      <c r="J27" s="43" t="e">
        <f>dsd("Avflight UK LTD Monthly Outgoing wires",22)</f>
        <v>#NAME?</v>
      </c>
      <c r="K27" s="43" t="e">
        <f>dsd("Avflight UK LTD Check Paid",22)</f>
        <v>#NAME?</v>
      </c>
      <c r="L27" s="43" t="e">
        <f>dsd("Avflight UK LTD Monthly Other",22)</f>
        <v>#NAME?</v>
      </c>
      <c r="M27" s="72" t="e">
        <f>SUM(C27:I27,J27:L27)</f>
        <v>#NULL!</v>
      </c>
      <c r="O27" s="43" t="e">
        <f>dsd("Avflight UK LTD Monthly Credits &amp; Debits",22)</f>
        <v>#NAME?</v>
      </c>
    </row>
    <row r="28" ht="12.75" s="66" customFormat="true">
      <c r="A28" s="41" t="n">
        <f>IF(A27&lt;&gt;"",IF(MONTH(A27)=MONTH(A27+1),A27+1,""),"")</f>
        <v>42300.0</v>
      </c>
      <c r="B28" s="71"/>
      <c r="C28" s="43" t="e">
        <f>dsd("Avflight UK LTD Monthly Opening Ledger",23)</f>
        <v>#NAME?</v>
      </c>
      <c r="D28" s="43" t="e">
        <f>dsd("Avflight UK LTD Credits",23)</f>
        <v>#NAME?</v>
      </c>
      <c r="E28" s="43" t="e">
        <f>dsd("Avflight UK LTD Monthly Incoming ACH",23)</f>
        <v>#NAME?</v>
      </c>
      <c r="F28" s="43" t="e">
        <f>dsd("Avflight UK LTD Incoming Wire",23)</f>
        <v>#NAME?</v>
      </c>
      <c r="G28" s="43" t="e">
        <f>dsd("Avflight UK LTD Commercial Deposit",23)</f>
        <v>#NAME?</v>
      </c>
      <c r="H28" s="43" t="e">
        <f>dsd("Avflight UK LTD Debits",23)</f>
        <v>#NAME?</v>
      </c>
      <c r="I28" s="43" t="e">
        <f>dsd("Avflight UK LTD Outgoing ACH",23)</f>
        <v>#NAME?</v>
      </c>
      <c r="J28" s="43" t="e">
        <f>dsd("Avflight UK LTD Monthly Outgoing wires",23)</f>
        <v>#NAME?</v>
      </c>
      <c r="K28" s="43" t="e">
        <f>dsd("Avflight UK LTD Check Paid",23)</f>
        <v>#NAME?</v>
      </c>
      <c r="L28" s="43" t="e">
        <f>dsd("Avflight UK LTD Monthly Other",23)</f>
        <v>#NAME?</v>
      </c>
      <c r="M28" s="72" t="e">
        <f>SUM(C28:I28,J28:L28)</f>
        <v>#NULL!</v>
      </c>
      <c r="O28" s="43" t="e">
        <f>dsd("Avflight UK LTD Monthly Credits &amp; Debits",23)</f>
        <v>#NAME?</v>
      </c>
    </row>
    <row r="29" ht="12.75" s="66" customFormat="true">
      <c r="A29" s="41" t="n">
        <f>IF(A28&lt;&gt;"",IF(MONTH(A28)=MONTH(A28+1),A28+1,""),"")</f>
        <v>42301.0</v>
      </c>
      <c r="B29" s="71"/>
      <c r="C29" s="43" t="e">
        <f>dsd("Avflight UK LTD Monthly Opening Ledger",24)</f>
        <v>#NAME?</v>
      </c>
      <c r="D29" s="43" t="e">
        <f>dsd("Avflight UK LTD Credits",24)</f>
        <v>#NAME?</v>
      </c>
      <c r="E29" s="43" t="e">
        <f>dsd("Avflight UK LTD Monthly Incoming ACH",24)</f>
        <v>#NAME?</v>
      </c>
      <c r="F29" s="43" t="e">
        <f>dsd("Avflight UK LTD Incoming Wire",24)</f>
        <v>#NAME?</v>
      </c>
      <c r="G29" s="43" t="e">
        <f>dsd("Avflight UK LTD Commercial Deposit",24)</f>
        <v>#NAME?</v>
      </c>
      <c r="H29" s="43" t="e">
        <f>dsd("Avflight UK LTD Debits",24)</f>
        <v>#NAME?</v>
      </c>
      <c r="I29" s="43" t="e">
        <f>dsd("Avflight UK LTD Outgoing ACH",24)</f>
        <v>#NAME?</v>
      </c>
      <c r="J29" s="43" t="e">
        <f>dsd("Avflight UK LTD Monthly Outgoing wires",24)</f>
        <v>#NAME?</v>
      </c>
      <c r="K29" s="43" t="e">
        <f>dsd("Avflight UK LTD Check Paid",24)</f>
        <v>#NAME?</v>
      </c>
      <c r="L29" s="43" t="e">
        <f>dsd("Avflight UK LTD Monthly Other",24)</f>
        <v>#NAME?</v>
      </c>
      <c r="M29" s="72" t="e">
        <f>SUM(C29:I29,J29:L29)</f>
        <v>#NULL!</v>
      </c>
      <c r="O29" s="43" t="e">
        <f>dsd("Avflight UK LTD Monthly Credits &amp; Debits",24)</f>
        <v>#NAME?</v>
      </c>
    </row>
    <row r="30" ht="12.75" s="66" customFormat="true">
      <c r="A30" s="41" t="n">
        <f>IF(A29&lt;&gt;"",IF(MONTH(A29)=MONTH(A29+1),A29+1,""),"")</f>
        <v>42302.0</v>
      </c>
      <c r="B30" s="71"/>
      <c r="C30" s="43" t="e">
        <f>dsd("Avflight UK LTD Monthly Opening Ledger",25)</f>
        <v>#NAME?</v>
      </c>
      <c r="D30" s="43" t="e">
        <f>dsd("Avflight UK LTD Credits",25)</f>
        <v>#NAME?</v>
      </c>
      <c r="E30" s="43" t="e">
        <f>dsd("Avflight UK LTD Monthly Incoming ACH",25)</f>
        <v>#NAME?</v>
      </c>
      <c r="F30" s="43" t="e">
        <f>dsd("Avflight UK LTD Incoming Wire",25)</f>
        <v>#NAME?</v>
      </c>
      <c r="G30" s="43" t="e">
        <f>dsd("Avflight UK LTD Commercial Deposit",25)</f>
        <v>#NAME?</v>
      </c>
      <c r="H30" s="43" t="e">
        <f>dsd("Avflight UK LTD Debits",25)</f>
        <v>#NAME?</v>
      </c>
      <c r="I30" s="43" t="e">
        <f>dsd("Avflight UK LTD Outgoing ACH",25)</f>
        <v>#NAME?</v>
      </c>
      <c r="J30" s="43" t="e">
        <f>dsd("Avflight UK LTD Monthly Outgoing wires",25)</f>
        <v>#NAME?</v>
      </c>
      <c r="K30" s="43" t="e">
        <f>dsd("Avflight UK LTD Check Paid",25)</f>
        <v>#NAME?</v>
      </c>
      <c r="L30" s="43" t="e">
        <f>dsd("Avflight UK LTD Monthly Other",25)</f>
        <v>#NAME?</v>
      </c>
      <c r="M30" s="72" t="e">
        <f>SUM(C30:I30,J30:L30)</f>
        <v>#NULL!</v>
      </c>
      <c r="O30" s="43" t="e">
        <f>dsd("Avflight UK LTD Monthly Credits &amp; Debits",25)</f>
        <v>#NAME?</v>
      </c>
    </row>
    <row r="31" ht="12.75" s="66" customFormat="true">
      <c r="A31" s="41" t="n">
        <f>IF(A30&lt;&gt;"",IF(MONTH(A30)=MONTH(A30+1),A30+1,""),"")</f>
        <v>42303.0</v>
      </c>
      <c r="B31" s="71"/>
      <c r="C31" s="43" t="e">
        <f>dsd("Avflight UK LTD Monthly Opening Ledger",26)</f>
        <v>#NAME?</v>
      </c>
      <c r="D31" s="43" t="e">
        <f>dsd("Avflight UK LTD Credits",26)</f>
        <v>#NAME?</v>
      </c>
      <c r="E31" s="43" t="e">
        <f>dsd("Avflight UK LTD Monthly Incoming ACH",26)</f>
        <v>#NAME?</v>
      </c>
      <c r="F31" s="43" t="e">
        <f>dsd("Avflight UK LTD Incoming Wire",26)</f>
        <v>#NAME?</v>
      </c>
      <c r="G31" s="43" t="e">
        <f>dsd("Avflight UK LTD Commercial Deposit",26)</f>
        <v>#NAME?</v>
      </c>
      <c r="H31" s="43" t="e">
        <f>dsd("Avflight UK LTD Debits",26)</f>
        <v>#NAME?</v>
      </c>
      <c r="I31" s="43" t="e">
        <f>dsd("Avflight UK LTD Outgoing ACH",26)</f>
        <v>#NAME?</v>
      </c>
      <c r="J31" s="43" t="e">
        <f>dsd("Avflight UK LTD Monthly Outgoing wires",26)</f>
        <v>#NAME?</v>
      </c>
      <c r="K31" s="43" t="e">
        <f>dsd("Avflight UK LTD Check Paid",26)</f>
        <v>#NAME?</v>
      </c>
      <c r="L31" s="43" t="e">
        <f>dsd("Avflight UK LTD Monthly Other",26)</f>
        <v>#NAME?</v>
      </c>
      <c r="M31" s="72" t="e">
        <f>SUM(C31:I31,J31:L31)</f>
        <v>#NULL!</v>
      </c>
      <c r="O31" s="43" t="e">
        <f>dsd("Avflight UK LTD Monthly Credits &amp; Debits",26)</f>
        <v>#NAME?</v>
      </c>
    </row>
    <row r="32" ht="12.75" s="66" customFormat="true">
      <c r="A32" s="41" t="n">
        <f>IF(A31&lt;&gt;"",IF(MONTH(A31)=MONTH(A31+1),A31+1,""),"")</f>
        <v>42304.0</v>
      </c>
      <c r="B32" s="71"/>
      <c r="C32" s="43" t="e">
        <f>dsd("Avflight UK LTD Monthly Opening Ledger",27)</f>
        <v>#NAME?</v>
      </c>
      <c r="D32" s="43" t="e">
        <f>dsd("Avflight UK LTD Credits",27)</f>
        <v>#NAME?</v>
      </c>
      <c r="E32" s="43" t="e">
        <f>dsd("Avflight UK LTD Monthly Incoming ACH",27)</f>
        <v>#NAME?</v>
      </c>
      <c r="F32" s="43" t="e">
        <f>dsd("Avflight UK LTD Incoming Wire",27)</f>
        <v>#NAME?</v>
      </c>
      <c r="G32" s="43" t="e">
        <f>dsd("Avflight UK LTD Commercial Deposit",27)</f>
        <v>#NAME?</v>
      </c>
      <c r="H32" s="43" t="e">
        <f>dsd("Avflight UK LTD Debits",27)</f>
        <v>#NAME?</v>
      </c>
      <c r="I32" s="43" t="e">
        <f>dsd("Avflight UK LTD Outgoing ACH",27)</f>
        <v>#NAME?</v>
      </c>
      <c r="J32" s="43" t="e">
        <f>dsd("Avflight UK LTD Monthly Outgoing wires",27)</f>
        <v>#NAME?</v>
      </c>
      <c r="K32" s="43" t="e">
        <f>dsd("Avflight UK LTD Check Paid",27)</f>
        <v>#NAME?</v>
      </c>
      <c r="L32" s="43" t="e">
        <f>dsd("Avflight UK LTD Monthly Other",27)</f>
        <v>#NAME?</v>
      </c>
      <c r="M32" s="72" t="e">
        <f>SUM(C32:I32,J32:L32)</f>
        <v>#NULL!</v>
      </c>
      <c r="O32" s="43" t="e">
        <f>dsd("Avflight UK LTD Monthly Credits &amp; Debits",27)</f>
        <v>#NAME?</v>
      </c>
    </row>
    <row r="33" ht="12.75" s="66" customFormat="true">
      <c r="A33" s="41" t="n">
        <f>IF(A32&lt;&gt;"",IF(MONTH(A32)=MONTH(A32+1),A32+1,""),"")</f>
        <v>42305.0</v>
      </c>
      <c r="B33" s="71"/>
      <c r="C33" s="43" t="e">
        <f>dsd("Avflight UK LTD Monthly Opening Ledger",28)</f>
        <v>#NAME?</v>
      </c>
      <c r="D33" s="43" t="e">
        <f>dsd("Avflight UK LTD Credits",28)</f>
        <v>#NAME?</v>
      </c>
      <c r="E33" s="43" t="e">
        <f>dsd("Avflight UK LTD Monthly Incoming ACH",28)</f>
        <v>#NAME?</v>
      </c>
      <c r="F33" s="43" t="e">
        <f>dsd("Avflight UK LTD Incoming Wire",28)</f>
        <v>#NAME?</v>
      </c>
      <c r="G33" s="43" t="e">
        <f>dsd("Avflight UK LTD Commercial Deposit",28)</f>
        <v>#NAME?</v>
      </c>
      <c r="H33" s="43" t="e">
        <f>dsd("Avflight UK LTD Debits",28)</f>
        <v>#NAME?</v>
      </c>
      <c r="I33" s="43" t="e">
        <f>dsd("Avflight UK LTD Outgoing ACH",28)</f>
        <v>#NAME?</v>
      </c>
      <c r="J33" s="43" t="e">
        <f>dsd("Avflight UK LTD Monthly Outgoing wires",28)</f>
        <v>#NAME?</v>
      </c>
      <c r="K33" s="43" t="e">
        <f>dsd("Avflight UK LTD Check Paid",28)</f>
        <v>#NAME?</v>
      </c>
      <c r="L33" s="43" t="e">
        <f>dsd("Avflight UK LTD Monthly Other",28)</f>
        <v>#NAME?</v>
      </c>
      <c r="M33" s="72" t="e">
        <f>SUM(C33:I33,J33:L33)</f>
        <v>#NULL!</v>
      </c>
      <c r="O33" s="43" t="e">
        <f>dsd("Avflight UK LTD Monthly Credits &amp; Debits",28)</f>
        <v>#NAME?</v>
      </c>
    </row>
    <row r="34" ht="12.75" s="66" customFormat="true">
      <c r="A34" s="41" t="n">
        <f>IF(A33&lt;&gt;"",IF(MONTH(A33)=MONTH(A33+1),A33+1,""),"")</f>
        <v>42306.0</v>
      </c>
      <c r="B34" s="71"/>
      <c r="C34" s="43" t="e">
        <f>dsd("Avflight UK LTD Monthly Opening Ledger",29)</f>
        <v>#NAME?</v>
      </c>
      <c r="D34" s="43" t="e">
        <f>dsd("Avflight UK LTD Credits",29)</f>
        <v>#NAME?</v>
      </c>
      <c r="E34" s="43" t="e">
        <f>dsd("Avflight UK LTD Monthly Incoming ACH",29)</f>
        <v>#NAME?</v>
      </c>
      <c r="F34" s="43" t="e">
        <f>dsd("Avflight UK LTD Incoming Wire",29)</f>
        <v>#NAME?</v>
      </c>
      <c r="G34" s="43" t="e">
        <f>dsd("Avflight UK LTD Commercial Deposit",29)</f>
        <v>#NAME?</v>
      </c>
      <c r="H34" s="43" t="e">
        <f>dsd("Avflight UK LTD Debits",29)</f>
        <v>#NAME?</v>
      </c>
      <c r="I34" s="43" t="e">
        <f>dsd("Avflight UK LTD Outgoing ACH",29)</f>
        <v>#NAME?</v>
      </c>
      <c r="J34" s="43" t="e">
        <f>dsd("Avflight UK LTD Monthly Outgoing wires",29)</f>
        <v>#NAME?</v>
      </c>
      <c r="K34" s="43" t="e">
        <f>dsd("Avflight UK LTD Check Paid",29)</f>
        <v>#NAME?</v>
      </c>
      <c r="L34" s="43" t="e">
        <f>dsd("Avflight UK LTD Monthly Other",29)</f>
        <v>#NAME?</v>
      </c>
      <c r="M34" s="72" t="e">
        <f>SUM(C34:I34,J34:L34)</f>
        <v>#NULL!</v>
      </c>
      <c r="O34" s="43" t="e">
        <f>dsd("Avflight UK LTD Monthly Credits &amp; Debits",29)</f>
        <v>#NAME?</v>
      </c>
    </row>
    <row r="35" ht="12.75" s="66" customFormat="true">
      <c r="A35" s="73" t="n">
        <f>IF(A34&lt;&gt;"",IF(MONTH(A34)=MONTH(A34+1),A34+1,""),"")</f>
        <v>42307.0</v>
      </c>
      <c r="B35" s="71"/>
      <c r="C35" s="43" t="e">
        <f>dsd("Avflight UK LTD Monthly Opening Ledger",30)</f>
        <v>#NAME?</v>
      </c>
      <c r="D35" s="43" t="e">
        <f>dsd("Avflight UK LTD Credits",30)</f>
        <v>#NAME?</v>
      </c>
      <c r="E35" s="43" t="e">
        <f>dsd("Avflight UK LTD Monthly Incoming ACH",30)</f>
        <v>#NAME?</v>
      </c>
      <c r="F35" s="43" t="e">
        <f>dsd("Avflight UK LTD Incoming Wire",30)</f>
        <v>#NAME?</v>
      </c>
      <c r="G35" s="43" t="e">
        <f>dsd("Avflight UK LTD Commercial Deposit",30)</f>
        <v>#NAME?</v>
      </c>
      <c r="H35" s="43" t="e">
        <f>dsd("Avflight UK LTD Debits",30)</f>
        <v>#NAME?</v>
      </c>
      <c r="I35" s="43" t="e">
        <f>dsd("Avflight UK LTD Outgoing ACH",30)</f>
        <v>#NAME?</v>
      </c>
      <c r="J35" s="43" t="e">
        <f>dsd("Avflight UK LTD Monthly Outgoing wires",30)</f>
        <v>#NAME?</v>
      </c>
      <c r="K35" s="43" t="e">
        <f>dsd("Avflight UK LTD Check Paid",30)</f>
        <v>#NAME?</v>
      </c>
      <c r="L35" s="43" t="e">
        <f>dsd("Avflight UK LTD Monthly Other",30)</f>
        <v>#NAME?</v>
      </c>
      <c r="M35" s="72" t="e">
        <f>SUM(C35:I35,J35:L35)</f>
        <v>#NULL!</v>
      </c>
      <c r="O35" s="43" t="e">
        <f>dsd("Avflight UK LTD Monthly Credits &amp; Debits",30)</f>
        <v>#NAME?</v>
      </c>
    </row>
    <row r="36" ht="12.75" s="66" customFormat="true">
      <c r="A36" s="73" t="n">
        <f>IF(A35&lt;&gt;"",IF(MONTH(A35)=MONTH(A35+1),A35+1,""),"")</f>
        <v>42308.0</v>
      </c>
      <c r="B36" s="71"/>
      <c r="C36" s="43" t="e">
        <f>dsd("Avflight UK LTD Monthly Opening Ledger",31)</f>
        <v>#NAME?</v>
      </c>
      <c r="D36" s="43" t="e">
        <f>dsd("Avflight UK LTD Credits",31)</f>
        <v>#NAME?</v>
      </c>
      <c r="E36" s="43" t="e">
        <f>dsd("Avflight UK LTD Monthly Incoming ACH",31)</f>
        <v>#NAME?</v>
      </c>
      <c r="F36" s="43" t="e">
        <f>dsd("Avflight UK LTD Incoming Wire",31)</f>
        <v>#NAME?</v>
      </c>
      <c r="G36" s="43" t="e">
        <f>dsd("Avflight UK LTD Commercial Deposit",31)</f>
        <v>#NAME?</v>
      </c>
      <c r="H36" s="43" t="e">
        <f>dsd("Avflight UK LTD Debits",31)</f>
        <v>#NAME?</v>
      </c>
      <c r="I36" s="43" t="e">
        <f>dsd("Avflight UK LTD Outgoing ACH",31)</f>
        <v>#NAME?</v>
      </c>
      <c r="J36" s="43" t="e">
        <f>dsd("Avflight UK LTD Monthly Outgoing wires",31)</f>
        <v>#NAME?</v>
      </c>
      <c r="K36" s="43" t="e">
        <f>dsd("Avflight UK LTD Check Paid",31)</f>
        <v>#NAME?</v>
      </c>
      <c r="L36" s="43" t="e">
        <f>dsd("Avflight UK LTD Monthly Other",31)</f>
        <v>#NAME?</v>
      </c>
      <c r="M36" s="72" t="e">
        <f>SUM(C36:I36,J36:L36)</f>
        <v>#NULL!</v>
      </c>
      <c r="O36" s="43" t="e">
        <f>dsd("Avflight UK LTD Monthly Credits &amp; Debits",31)</f>
        <v>#NAME?</v>
      </c>
    </row>
    <row r="37" ht="12.75" s="66" customFormat="true">
      <c r="A37" s="71"/>
      <c r="B37" s="7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72"/>
      <c r="O37" s="36"/>
    </row>
    <row r="38" ht="12.75" s="66" customFormat="true">
      <c r="A38" s="74" t="s">
        <v>54</v>
      </c>
      <c r="B38" s="75"/>
      <c r="C38" s="54" t="e">
        <f>ds("Avflight UK LTD Monthly Opening Ledger")</f>
        <v>#NAME?</v>
      </c>
      <c r="D38" s="54" t="e">
        <f>ds("Avflight UK LTD Credits")</f>
        <v>#NAME?</v>
      </c>
      <c r="E38" s="54" t="e">
        <f>ds("Avflight UK LTD Monthly Incoming ACH")</f>
        <v>#NAME?</v>
      </c>
      <c r="F38" s="54" t="e">
        <f>ds("Avflight UK LTD Incoming Wire")</f>
        <v>#NAME?</v>
      </c>
      <c r="G38" s="54" t="e">
        <f>ds("Avflight UK LTD Commercial Deposit")</f>
        <v>#NAME?</v>
      </c>
      <c r="H38" s="54" t="e">
        <f>ds("Avflight UK LTD Debits")</f>
        <v>#NAME?</v>
      </c>
      <c r="I38" s="54" t="e">
        <f>ds("Avflight UK LTD Outgoing ACH")</f>
        <v>#NAME?</v>
      </c>
      <c r="J38" s="54" t="e">
        <f>ds("Avflight UK LTD Monthly Outgoing wires")</f>
        <v>#NAME?</v>
      </c>
      <c r="K38" s="54" t="e">
        <f>ds("Avflight UK LTD Check Paid")</f>
        <v>#NAME?</v>
      </c>
      <c r="L38" s="54" t="e">
        <f>ds("Avflight UK LTD Monthly Other")</f>
        <v>#NAME?</v>
      </c>
      <c r="M38" s="72" t="e">
        <f>SUM(C38:I38,J38:L38)</f>
        <v>#NAME?</v>
      </c>
      <c r="O38" s="54" t="e">
        <f>ds("Avflight UK LTD Monthly Credits &amp; Debits")</f>
        <v>#NAME?</v>
      </c>
    </row>
    <row r="39" ht="12.75" s="66" customFormat="true">
      <c r="A39" s="76"/>
      <c r="B39" s="76"/>
      <c r="C39" s="59"/>
      <c r="D39" s="59"/>
      <c r="E39" s="59"/>
      <c r="F39" s="59"/>
      <c r="G39" s="59"/>
      <c r="H39" s="59"/>
      <c r="I39" s="59"/>
      <c r="J39" s="59"/>
      <c r="K39" s="77"/>
      <c r="L39" s="77"/>
      <c r="M39" s="77"/>
    </row>
    <row r="40" ht="12.75" s="66" customFormat="true">
      <c r="B40" s="76"/>
      <c r="J40" s="59"/>
      <c r="K40" s="77"/>
      <c r="L40" s="77"/>
      <c r="M40" s="77"/>
    </row>
    <row r="41" ht="12.75" s="66" customFormat="true">
      <c r="B41" s="76"/>
      <c r="J41" s="59"/>
      <c r="K41" s="77"/>
      <c r="L41" s="77"/>
      <c r="M41" s="77"/>
    </row>
  </sheetData>
  <mergeCells>
    <mergeCell ref="A1:M1"/>
    <mergeCell ref="A2:M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12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0" hidden="false"/>
    <col min="2" max="2" style="63" customWidth="true" width="2.5703125" hidden="false"/>
    <col min="3" max="3" style="62" customWidth="true" width="15.85546875" hidden="false"/>
    <col min="4" max="4" style="62" customWidth="true" width="15.85546875" hidden="false"/>
    <col min="5" max="5" style="62" customWidth="true" width="12.71484375" hidden="false"/>
    <col min="6" max="6" style="62" customWidth="true" width="12.28515625" hidden="false"/>
    <col min="7" max="7" style="62" customWidth="true" width="14.71484375" hidden="false"/>
    <col min="8" max="8" style="62" customWidth="true" width="14.71484375" hidden="false"/>
    <col min="9" max="9" style="64" customWidth="true" width="13.71484375" hidden="false"/>
    <col min="10" max="10" style="62" customWidth="true" width="13.5703125" hidden="false"/>
    <col min="11" max="11" style="62" customWidth="true" width="13.0" hidden="false"/>
    <col min="12" max="12" style="62" customWidth="true" width="13.4296875" hidden="false"/>
    <col min="13" max="13" style="62" customWidth="true" width="15.14453125" hidden="false"/>
    <col min="14" max="14" style="62" customWidth="false" width="9.14453125" hidden="false"/>
    <col min="15" max="15" style="62" customWidth="true" width="13.71484375" hidden="false"/>
    <col min="16" max="16" style="62" customWidth="false" width="9.14453125" hidden="false"/>
    <col min="17" max="17" style="62" customWidth="false" width="9.14453125" hidden="false"/>
    <col min="18" max="18" style="62" customWidth="false" width="9.14453125" hidden="false"/>
    <col min="19" max="25" style="62" customWidth="false" width="9.14453125" hidden="false"/>
    <col min="26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Height="true" ht="12.75">
      <c r="A2" s="26" t="n">
        <f>NOW()</f>
        <v>42279.995108703704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customHeight="true" ht="12.75">
      <c r="A3" s="26"/>
      <c r="B3" s="26"/>
      <c r="C3" s="26"/>
      <c r="D3" s="26"/>
      <c r="E3" s="78"/>
      <c r="F3" s="78"/>
      <c r="G3" s="26"/>
      <c r="H3" s="26"/>
      <c r="I3" s="26"/>
      <c r="J3" s="78"/>
      <c r="K3" s="26"/>
      <c r="L3" s="26"/>
      <c r="M3" s="78"/>
    </row>
    <row r="4" customHeight="true" ht="35.25" s="27" customFormat="true">
      <c r="A4" s="28" t="s">
        <v>39</v>
      </c>
      <c r="B4" s="29"/>
      <c r="C4" s="29" t="s">
        <v>40</v>
      </c>
      <c r="D4" s="29" t="s">
        <v>56</v>
      </c>
      <c r="E4" s="29" t="s">
        <v>17</v>
      </c>
      <c r="F4" s="29" t="s">
        <v>16</v>
      </c>
      <c r="G4" s="29" t="s">
        <v>42</v>
      </c>
      <c r="H4" s="29" t="s">
        <v>57</v>
      </c>
      <c r="I4" s="29" t="s">
        <v>58</v>
      </c>
      <c r="J4" s="29" t="s">
        <v>22</v>
      </c>
      <c r="K4" s="29" t="s">
        <v>50</v>
      </c>
      <c r="L4" s="29" t="s">
        <v>51</v>
      </c>
      <c r="M4" s="29" t="s">
        <v>52</v>
      </c>
      <c r="O4" s="31" t="s">
        <v>55</v>
      </c>
    </row>
    <row r="5" customHeight="true" ht="12.75" s="32" customFormat="true">
      <c r="A5" s="67"/>
      <c r="B5" s="67"/>
      <c r="C5" s="36"/>
      <c r="D5" s="36"/>
      <c r="E5" s="36"/>
      <c r="F5" s="36"/>
      <c r="G5" s="36"/>
      <c r="H5" s="36"/>
      <c r="I5" s="36"/>
      <c r="J5" s="68"/>
      <c r="K5" s="69"/>
      <c r="L5" s="69"/>
      <c r="M5" s="69"/>
    </row>
    <row r="6" ht="12.0" s="70" customFormat="true">
      <c r="A6" s="41" t="n">
        <f>DATEVALUE(MONTH(TODAY())&amp;"/1/"&amp;YEAR(TODAY()))</f>
        <v>42278.0</v>
      </c>
      <c r="B6" s="71"/>
      <c r="C6" s="43" t="e">
        <f>dsd("Avfuel LTD Monthly Opening Ledger",1)</f>
        <v>#NAME?</v>
      </c>
      <c r="D6" s="43" t="e">
        <f>dsd("Avfuel LTD Credits",1)</f>
        <v>#NAME?</v>
      </c>
      <c r="E6" s="43" t="e">
        <f>dsd("Avfuel LTD Incoming ACH",1)</f>
        <v>#NAME?</v>
      </c>
      <c r="F6" s="43" t="e">
        <f>dsd("Avfuel LTD Incoming Wire",1)</f>
        <v>#NAME?</v>
      </c>
      <c r="G6" s="43" t="e">
        <f>dsd("Avfuel LTD Commercial Deposit",1)</f>
        <v>#NAME?</v>
      </c>
      <c r="H6" s="43" t="e">
        <f>dsd("Avfuel LTD Debits",1)</f>
        <v>#NAME?</v>
      </c>
      <c r="I6" s="43" t="e">
        <f>dsd("Avfuel LTD Outgoing ACH",1)</f>
        <v>#NAME?</v>
      </c>
      <c r="J6" s="43" t="e">
        <f>dsd("Avfuel USD Monthly Outgoing wires",1)</f>
        <v>#NAME?</v>
      </c>
      <c r="K6" s="43" t="e">
        <f>dsd("Avfuel LTD Check Paid",1)</f>
        <v>#NAME?</v>
      </c>
      <c r="L6" s="43" t="e">
        <f>dsd("Avfuel LTD Monthly Other",1)</f>
        <v>#NAME?</v>
      </c>
      <c r="M6" s="72" t="e">
        <f>SUM(C6:I6,J6:L6)</f>
        <v>#NULL!</v>
      </c>
      <c r="O6" s="43" t="e">
        <f>dsd("Avfuel LTD Monthly Debits and Credits",1)</f>
        <v>#NAME?</v>
      </c>
    </row>
    <row r="7" ht="12.0" s="70" customFormat="true">
      <c r="A7" s="41" t="n">
        <f>IF(A6&lt;&gt;"",IF(MONTH(A6)=MONTH(A6+1),A6+1,""),"")</f>
        <v>42279.0</v>
      </c>
      <c r="B7" s="71"/>
      <c r="C7" s="43" t="e">
        <f>dsd("Avfuel LTD Monthly Opening Ledger",2)</f>
        <v>#NAME?</v>
      </c>
      <c r="D7" s="43" t="e">
        <f>dsd("Avfuel LTD Credits",2)</f>
        <v>#NAME?</v>
      </c>
      <c r="E7" s="43" t="e">
        <f>dsd("Avfuel LTD Incoming ACH",2)</f>
        <v>#NAME?</v>
      </c>
      <c r="F7" s="43" t="e">
        <f>dsd("Avfuel LTD Incoming Wire",2)</f>
        <v>#NAME?</v>
      </c>
      <c r="G7" s="43" t="e">
        <f>dsd("Avfuel LTD Commercial Deposit",2)</f>
        <v>#NAME?</v>
      </c>
      <c r="H7" s="43" t="e">
        <f>dsd("Avfuel LTD Debits",2)</f>
        <v>#NAME?</v>
      </c>
      <c r="I7" s="43" t="e">
        <f>dsd("Avfuel LTD Outgoing ACH",2)</f>
        <v>#NAME?</v>
      </c>
      <c r="J7" s="43" t="e">
        <f>dsd("Avfuel USD Monthly Outgoing wires",2)</f>
        <v>#NAME?</v>
      </c>
      <c r="K7" s="43" t="e">
        <f>dsd("Avfuel LTD Check Paid",2)</f>
        <v>#NAME?</v>
      </c>
      <c r="L7" s="43" t="e">
        <f>dsd("Avfuel LTD Monthly Other",2)</f>
        <v>#NAME?</v>
      </c>
      <c r="M7" s="72" t="e">
        <f>SUM(C7:I7,J7:L7)</f>
        <v>#NULL!</v>
      </c>
      <c r="O7" s="43" t="e">
        <f>dsd("Avfuel LTD Monthly Debits and Credits",2)</f>
        <v>#NAME?</v>
      </c>
    </row>
    <row r="8" ht="12.75" s="66" customFormat="true">
      <c r="A8" s="41" t="n">
        <f>IF(A7&lt;&gt;"",IF(MONTH(A7)=MONTH(A7+1),A7+1,""),"")</f>
        <v>42280.0</v>
      </c>
      <c r="B8" s="71"/>
      <c r="C8" s="43" t="e">
        <f>dsd("Avfuel LTD Monthly Opening Ledger",3)</f>
        <v>#NAME?</v>
      </c>
      <c r="D8" s="43" t="e">
        <f>dsd("Avfuel LTD Credits",3)</f>
        <v>#NAME?</v>
      </c>
      <c r="E8" s="43" t="e">
        <f>dsd("Avfuel LTD Incoming ACH",3)</f>
        <v>#NAME?</v>
      </c>
      <c r="F8" s="43" t="e">
        <f>dsd("Avfuel LTD Incoming Wire",3)</f>
        <v>#NAME?</v>
      </c>
      <c r="G8" s="43" t="e">
        <f>dsd("Avfuel LTD Commercial Deposit",3)</f>
        <v>#NAME?</v>
      </c>
      <c r="H8" s="43" t="e">
        <f>dsd("Avfuel LTD Debits",3)</f>
        <v>#NAME?</v>
      </c>
      <c r="I8" s="43" t="e">
        <f>dsd("Avfuel LTD Outgoing ACH",3)</f>
        <v>#NAME?</v>
      </c>
      <c r="J8" s="43" t="e">
        <f>dsd("Avfuel USD Monthly Outgoing wires",3)</f>
        <v>#NAME?</v>
      </c>
      <c r="K8" s="43" t="e">
        <f>dsd("Avfuel LTD Check Paid",3)</f>
        <v>#NAME?</v>
      </c>
      <c r="L8" s="43" t="e">
        <f>dsd("Avfuel LTD Monthly Other",3)</f>
        <v>#NAME?</v>
      </c>
      <c r="M8" s="72" t="e">
        <f>SUM(C8:I8,J8:L8)</f>
        <v>#NULL!</v>
      </c>
      <c r="O8" s="43" t="e">
        <f>dsd("Avfuel LTD Monthly Debits and Credits",3)</f>
        <v>#NAME?</v>
      </c>
    </row>
    <row r="9" ht="12.75" s="66" customFormat="true">
      <c r="A9" s="41" t="n">
        <f>IF(A8&lt;&gt;"",IF(MONTH(A8)=MONTH(A8+1),A8+1,""),"")</f>
        <v>42281.0</v>
      </c>
      <c r="B9" s="71"/>
      <c r="C9" s="43" t="e">
        <f>dsd("Avfuel LTD Monthly Opening Ledger",4)</f>
        <v>#NAME?</v>
      </c>
      <c r="D9" s="43" t="e">
        <f>dsd("Avfuel LTD Credits",4)</f>
        <v>#NAME?</v>
      </c>
      <c r="E9" s="43" t="e">
        <f>dsd("Avfuel LTD Incoming ACH",4)</f>
        <v>#NAME?</v>
      </c>
      <c r="F9" s="43" t="e">
        <f>dsd("Avfuel LTD Incoming Wire",4)</f>
        <v>#NAME?</v>
      </c>
      <c r="G9" s="43" t="e">
        <f>dsd("Avfuel LTD Commercial Deposit",4)</f>
        <v>#NAME?</v>
      </c>
      <c r="H9" s="43" t="e">
        <f>dsd("Avfuel LTD Debits",4)</f>
        <v>#NAME?</v>
      </c>
      <c r="I9" s="43" t="e">
        <f>dsd("Avfuel LTD Outgoing ACH",4)</f>
        <v>#NAME?</v>
      </c>
      <c r="J9" s="43" t="e">
        <f>dsd("Avfuel USD Monthly Outgoing wires",4)</f>
        <v>#NAME?</v>
      </c>
      <c r="K9" s="43" t="e">
        <f>dsd("Avfuel LTD Check Paid",4)</f>
        <v>#NAME?</v>
      </c>
      <c r="L9" s="43" t="e">
        <f>dsd("Avfuel LTD Monthly Other",4)</f>
        <v>#NAME?</v>
      </c>
      <c r="M9" s="72" t="e">
        <f>SUM(C9:I9,J9:L9)</f>
        <v>#NULL!</v>
      </c>
      <c r="O9" s="43" t="e">
        <f>dsd("Avfuel LTD Monthly Debits and Credits",4)</f>
        <v>#NAME?</v>
      </c>
    </row>
    <row r="10" ht="12.75" s="66" customFormat="true">
      <c r="A10" s="41" t="n">
        <f>IF(A9&lt;&gt;"",IF(MONTH(A9)=MONTH(A9+1),A9+1,""),"")</f>
        <v>42282.0</v>
      </c>
      <c r="B10" s="71"/>
      <c r="C10" s="43" t="e">
        <f>dsd("Avfuel LTD Monthly Opening Ledger",5)</f>
        <v>#NAME?</v>
      </c>
      <c r="D10" s="43" t="e">
        <f>dsd("Avfuel LTD Credits",5)</f>
        <v>#NAME?</v>
      </c>
      <c r="E10" s="43" t="e">
        <f>dsd("Avfuel LTD Incoming ACH",5)</f>
        <v>#NAME?</v>
      </c>
      <c r="F10" s="43" t="e">
        <f>dsd("Avfuel LTD Incoming Wire",5)</f>
        <v>#NAME?</v>
      </c>
      <c r="G10" s="43" t="e">
        <f>dsd("Avfuel LTD Commercial Deposit",5)</f>
        <v>#NAME?</v>
      </c>
      <c r="H10" s="43" t="e">
        <f>dsd("Avfuel LTD Debits",5)</f>
        <v>#NAME?</v>
      </c>
      <c r="I10" s="43" t="e">
        <f>dsd("Avfuel LTD Outgoing ACH",5)</f>
        <v>#NAME?</v>
      </c>
      <c r="J10" s="43" t="e">
        <f>dsd("Avfuel USD Monthly Outgoing wires",5)</f>
        <v>#NAME?</v>
      </c>
      <c r="K10" s="43" t="e">
        <f>dsd("Avfuel LTD Check Paid",5)</f>
        <v>#NAME?</v>
      </c>
      <c r="L10" s="43" t="e">
        <f>dsd("Avfuel LTD Monthly Other",5)</f>
        <v>#NAME?</v>
      </c>
      <c r="M10" s="72" t="e">
        <f>SUM(C10:I10,J10:L10)</f>
        <v>#NULL!</v>
      </c>
      <c r="O10" s="43" t="e">
        <f>dsd("Avfuel LTD Monthly Debits and Credits",5)</f>
        <v>#NAME?</v>
      </c>
    </row>
    <row r="11" ht="12.75" s="66" customFormat="true">
      <c r="A11" s="41" t="n">
        <f>IF(A10&lt;&gt;"",IF(MONTH(A10)=MONTH(A10+1),A10+1,""),"")</f>
        <v>42283.0</v>
      </c>
      <c r="B11" s="71"/>
      <c r="C11" s="43" t="e">
        <f>dsd("Avfuel LTD Monthly Opening Ledger",6)</f>
        <v>#NAME?</v>
      </c>
      <c r="D11" s="43" t="e">
        <f>dsd("Avfuel LTD Credits",6)</f>
        <v>#NAME?</v>
      </c>
      <c r="E11" s="43" t="e">
        <f>dsd("Avfuel LTD Incoming ACH",6)</f>
        <v>#NAME?</v>
      </c>
      <c r="F11" s="43" t="e">
        <f>dsd("Avfuel LTD Incoming Wire",6)</f>
        <v>#NAME?</v>
      </c>
      <c r="G11" s="43" t="e">
        <f>dsd("Avfuel LTD Commercial Deposit",6)</f>
        <v>#NAME?</v>
      </c>
      <c r="H11" s="43" t="e">
        <f>dsd("Avfuel LTD Debits",6)</f>
        <v>#NAME?</v>
      </c>
      <c r="I11" s="43" t="e">
        <f>dsd("Avfuel LTD Outgoing ACH",6)</f>
        <v>#NAME?</v>
      </c>
      <c r="J11" s="43" t="e">
        <f>dsd("Avfuel USD Monthly Outgoing wires",6)</f>
        <v>#NAME?</v>
      </c>
      <c r="K11" s="43" t="e">
        <f>dsd("Avfuel LTD Check Paid",6)</f>
        <v>#NAME?</v>
      </c>
      <c r="L11" s="43" t="e">
        <f>dsd("Avfuel LTD Monthly Other",6)</f>
        <v>#NAME?</v>
      </c>
      <c r="M11" s="72" t="e">
        <f>SUM(C11:I11,J11:L11)</f>
        <v>#NULL!</v>
      </c>
      <c r="O11" s="43" t="e">
        <f>dsd("Avfuel LTD Monthly Debits and Credits",6)</f>
        <v>#NAME?</v>
      </c>
    </row>
    <row r="12" ht="12.75" s="66" customFormat="true">
      <c r="A12" s="41" t="n">
        <f>IF(A11&lt;&gt;"",IF(MONTH(A11)=MONTH(A11+1),A11+1,""),"")</f>
        <v>42284.0</v>
      </c>
      <c r="B12" s="71"/>
      <c r="C12" s="43" t="e">
        <f>dsd("Avfuel LTD Monthly Opening Ledger",7)</f>
        <v>#NAME?</v>
      </c>
      <c r="D12" s="43" t="e">
        <f>dsd("Avfuel LTD Credits",7)</f>
        <v>#NAME?</v>
      </c>
      <c r="E12" s="43" t="e">
        <f>dsd("Avfuel LTD Incoming ACH",7)</f>
        <v>#NAME?</v>
      </c>
      <c r="F12" s="43" t="e">
        <f>dsd("Avfuel LTD Incoming Wire",7)</f>
        <v>#NAME?</v>
      </c>
      <c r="G12" s="43" t="e">
        <f>dsd("Avfuel LTD Commercial Deposit",7)</f>
        <v>#NAME?</v>
      </c>
      <c r="H12" s="43" t="e">
        <f>dsd("Avfuel LTD Debits",7)</f>
        <v>#NAME?</v>
      </c>
      <c r="I12" s="43" t="e">
        <f>dsd("Avfuel LTD Outgoing ACH",7)</f>
        <v>#NAME?</v>
      </c>
      <c r="J12" s="43" t="e">
        <f>dsd("Avfuel USD Monthly Outgoing wires",7)</f>
        <v>#NAME?</v>
      </c>
      <c r="K12" s="43" t="e">
        <f>dsd("Avfuel LTD Check Paid",7)</f>
        <v>#NAME?</v>
      </c>
      <c r="L12" s="43" t="e">
        <f>dsd("Avfuel LTD Monthly Other",7)</f>
        <v>#NAME?</v>
      </c>
      <c r="M12" s="72" t="e">
        <f>SUM(C12:I12,J12:L12)</f>
        <v>#NULL!</v>
      </c>
      <c r="O12" s="43" t="e">
        <f>dsd("Avfuel LTD Monthly Debits and Credits",7)</f>
        <v>#NAME?</v>
      </c>
    </row>
    <row r="13" ht="12.75" s="66" customFormat="true">
      <c r="A13" s="41" t="n">
        <f>IF(A12&lt;&gt;"",IF(MONTH(A12)=MONTH(A12+1),A12+1,""),"")</f>
        <v>42285.0</v>
      </c>
      <c r="B13" s="71"/>
      <c r="C13" s="43" t="e">
        <f>dsd("Avfuel LTD Monthly Opening Ledger",8)</f>
        <v>#NAME?</v>
      </c>
      <c r="D13" s="43" t="e">
        <f>dsd("Avfuel LTD Credits",8)</f>
        <v>#NAME?</v>
      </c>
      <c r="E13" s="43" t="e">
        <f>dsd("Avfuel LTD Incoming ACH",8)</f>
        <v>#NAME?</v>
      </c>
      <c r="F13" s="43" t="e">
        <f>dsd("Avfuel LTD Incoming Wire",8)</f>
        <v>#NAME?</v>
      </c>
      <c r="G13" s="43" t="e">
        <f>dsd("Avfuel LTD Commercial Deposit",8)</f>
        <v>#NAME?</v>
      </c>
      <c r="H13" s="43" t="e">
        <f>dsd("Avfuel LTD Debits",8)</f>
        <v>#NAME?</v>
      </c>
      <c r="I13" s="43" t="e">
        <f>dsd("Avfuel LTD Outgoing ACH",8)</f>
        <v>#NAME?</v>
      </c>
      <c r="J13" s="43" t="e">
        <f>dsd("Avfuel USD Monthly Outgoing wires",8)</f>
        <v>#NAME?</v>
      </c>
      <c r="K13" s="43" t="e">
        <f>dsd("Avfuel LTD Check Paid",8)</f>
        <v>#NAME?</v>
      </c>
      <c r="L13" s="43" t="e">
        <f>dsd("Avfuel LTD Monthly Other",8)</f>
        <v>#NAME?</v>
      </c>
      <c r="M13" s="72" t="e">
        <f>SUM(C13:I13,J13:L13)</f>
        <v>#NULL!</v>
      </c>
      <c r="O13" s="43" t="e">
        <f>dsd("Avfuel LTD Monthly Debits and Credits",8)</f>
        <v>#NAME?</v>
      </c>
    </row>
    <row r="14" ht="12.75" s="66" customFormat="true">
      <c r="A14" s="41" t="n">
        <f>IF(A13&lt;&gt;"",IF(MONTH(A13)=MONTH(A13+1),A13+1,""),"")</f>
        <v>42286.0</v>
      </c>
      <c r="B14" s="71"/>
      <c r="C14" s="43" t="e">
        <f>dsd("Avfuel LTD Monthly Opening Ledger",9)</f>
        <v>#NAME?</v>
      </c>
      <c r="D14" s="43" t="e">
        <f>dsd("Avfuel LTD Credits",9)</f>
        <v>#NAME?</v>
      </c>
      <c r="E14" s="43" t="e">
        <f>dsd("Avfuel LTD Incoming ACH",9)</f>
        <v>#NAME?</v>
      </c>
      <c r="F14" s="43" t="e">
        <f>dsd("Avfuel LTD Incoming Wire",9)</f>
        <v>#NAME?</v>
      </c>
      <c r="G14" s="43" t="e">
        <f>dsd("Avfuel LTD Commercial Deposit",9)</f>
        <v>#NAME?</v>
      </c>
      <c r="H14" s="43" t="e">
        <f>dsd("Avfuel LTD Debits",9)</f>
        <v>#NAME?</v>
      </c>
      <c r="I14" s="43" t="e">
        <f>dsd("Avfuel LTD Outgoing ACH",9)</f>
        <v>#NAME?</v>
      </c>
      <c r="J14" s="43" t="e">
        <f>dsd("Avfuel USD Monthly Outgoing wires",9)</f>
        <v>#NAME?</v>
      </c>
      <c r="K14" s="43" t="e">
        <f>dsd("Avfuel LTD Check Paid",9)</f>
        <v>#NAME?</v>
      </c>
      <c r="L14" s="43" t="e">
        <f>dsd("Avfuel LTD Monthly Other",9)</f>
        <v>#NAME?</v>
      </c>
      <c r="M14" s="72" t="e">
        <f>SUM(C14:I14,J14:L14)</f>
        <v>#NULL!</v>
      </c>
      <c r="O14" s="43" t="e">
        <f>dsd("Avfuel LTD Monthly Debits and Credits",9)</f>
        <v>#NAME?</v>
      </c>
    </row>
    <row r="15" ht="12.75" s="66" customFormat="true">
      <c r="A15" s="41" t="n">
        <f>IF(A14&lt;&gt;"",IF(MONTH(A14)=MONTH(A14+1),A14+1,""),"")</f>
        <v>42287.0</v>
      </c>
      <c r="B15" s="71"/>
      <c r="C15" s="43" t="e">
        <f>dsd("Avfuel LTD Monthly Opening Ledger",10)</f>
        <v>#NAME?</v>
      </c>
      <c r="D15" s="43" t="e">
        <f>dsd("Avfuel LTD Credits",10)</f>
        <v>#NAME?</v>
      </c>
      <c r="E15" s="43" t="e">
        <f>dsd("Avfuel LTD Incoming ACH",10)</f>
        <v>#NAME?</v>
      </c>
      <c r="F15" s="43" t="e">
        <f>dsd("Avfuel LTD Incoming Wire",10)</f>
        <v>#NAME?</v>
      </c>
      <c r="G15" s="43" t="e">
        <f>dsd("Avfuel LTD Commercial Deposit",10)</f>
        <v>#NAME?</v>
      </c>
      <c r="H15" s="43" t="e">
        <f>dsd("Avfuel LTD Debits",10)</f>
        <v>#NAME?</v>
      </c>
      <c r="I15" s="43" t="e">
        <f>dsd("Avfuel LTD Outgoing ACH",10)</f>
        <v>#NAME?</v>
      </c>
      <c r="J15" s="43" t="e">
        <f>dsd("Avfuel USD Monthly Outgoing wires",10)</f>
        <v>#NAME?</v>
      </c>
      <c r="K15" s="43" t="e">
        <f>dsd("Avfuel LTD Check Paid",10)</f>
        <v>#NAME?</v>
      </c>
      <c r="L15" s="43" t="e">
        <f>dsd("Avfuel LTD Monthly Other",10)</f>
        <v>#NAME?</v>
      </c>
      <c r="M15" s="72" t="e">
        <f>SUM(C15:I15,J15:L15)</f>
        <v>#NULL!</v>
      </c>
      <c r="O15" s="43" t="e">
        <f>dsd("Avfuel LTD Monthly Debits and Credits",10)</f>
        <v>#NAME?</v>
      </c>
    </row>
    <row r="16" ht="12.75" s="66" customFormat="true">
      <c r="A16" s="41" t="n">
        <f>IF(A15&lt;&gt;"",IF(MONTH(A15)=MONTH(A15+1),A15+1,""),"")</f>
        <v>42288.0</v>
      </c>
      <c r="B16" s="71"/>
      <c r="C16" s="43" t="e">
        <f>dsd("Avfuel LTD Monthly Opening Ledger",11)</f>
        <v>#NAME?</v>
      </c>
      <c r="D16" s="43" t="e">
        <f>dsd("Avfuel LTD Credits",11)</f>
        <v>#NAME?</v>
      </c>
      <c r="E16" s="43" t="e">
        <f>dsd("Avfuel LTD Incoming ACH",11)</f>
        <v>#NAME?</v>
      </c>
      <c r="F16" s="43" t="e">
        <f>dsd("Avfuel LTD Incoming Wire",11)</f>
        <v>#NAME?</v>
      </c>
      <c r="G16" s="43" t="e">
        <f>dsd("Avfuel LTD Commercial Deposit",11)</f>
        <v>#NAME?</v>
      </c>
      <c r="H16" s="43" t="e">
        <f>dsd("Avfuel LTD Debits",11)</f>
        <v>#NAME?</v>
      </c>
      <c r="I16" s="43" t="e">
        <f>dsd("Avfuel LTD Outgoing ACH",11)</f>
        <v>#NAME?</v>
      </c>
      <c r="J16" s="43" t="e">
        <f>dsd("Avfuel USD Monthly Outgoing wires",11)</f>
        <v>#NAME?</v>
      </c>
      <c r="K16" s="43" t="e">
        <f>dsd("Avfuel LTD Check Paid",11)</f>
        <v>#NAME?</v>
      </c>
      <c r="L16" s="43" t="e">
        <f>dsd("Avfuel LTD Monthly Other",11)</f>
        <v>#NAME?</v>
      </c>
      <c r="M16" s="72" t="e">
        <f>SUM(C16:I16,J16:L16)</f>
        <v>#NULL!</v>
      </c>
      <c r="O16" s="43" t="e">
        <f>dsd("Avfuel LTD Monthly Debits and Credits",11)</f>
        <v>#NAME?</v>
      </c>
    </row>
    <row r="17" ht="12.75" s="66" customFormat="true">
      <c r="A17" s="41" t="n">
        <f>IF(A16&lt;&gt;"",IF(MONTH(A16)=MONTH(A16+1),A16+1,""),"")</f>
        <v>42289.0</v>
      </c>
      <c r="B17" s="71"/>
      <c r="C17" s="43" t="e">
        <f>dsd("Avfuel LTD Monthly Opening Ledger",12)</f>
        <v>#NAME?</v>
      </c>
      <c r="D17" s="43" t="e">
        <f>dsd("Avfuel LTD Credits",12)</f>
        <v>#NAME?</v>
      </c>
      <c r="E17" s="43" t="e">
        <f>dsd("Avfuel LTD Incoming ACH",12)</f>
        <v>#NAME?</v>
      </c>
      <c r="F17" s="43" t="e">
        <f>dsd("Avfuel LTD Incoming Wire",12)</f>
        <v>#NAME?</v>
      </c>
      <c r="G17" s="43" t="e">
        <f>dsd("Avfuel LTD Commercial Deposit",12)</f>
        <v>#NAME?</v>
      </c>
      <c r="H17" s="43" t="e">
        <f>dsd("Avfuel LTD Debits",12)</f>
        <v>#NAME?</v>
      </c>
      <c r="I17" s="43" t="e">
        <f>dsd("Avfuel LTD Outgoing ACH",12)</f>
        <v>#NAME?</v>
      </c>
      <c r="J17" s="43" t="e">
        <f>dsd("Avfuel USD Monthly Outgoing wires",12)</f>
        <v>#NAME?</v>
      </c>
      <c r="K17" s="43" t="e">
        <f>dsd("Avfuel LTD Check Paid",12)</f>
        <v>#NAME?</v>
      </c>
      <c r="L17" s="43" t="e">
        <f>dsd("Avfuel LTD Monthly Other",12)</f>
        <v>#NAME?</v>
      </c>
      <c r="M17" s="72" t="e">
        <f>SUM(C17:I17,J17:L17)</f>
        <v>#NULL!</v>
      </c>
      <c r="O17" s="43" t="e">
        <f>dsd("Avfuel LTD Monthly Debits and Credits",12)</f>
        <v>#NAME?</v>
      </c>
    </row>
    <row r="18" ht="12.75" s="66" customFormat="true">
      <c r="A18" s="41" t="n">
        <f>IF(A17&lt;&gt;"",IF(MONTH(A17)=MONTH(A17+1),A17+1,""),"")</f>
        <v>42290.0</v>
      </c>
      <c r="B18" s="71"/>
      <c r="C18" s="43" t="e">
        <f>dsd("Avfuel LTD Monthly Opening Ledger",13)</f>
        <v>#NAME?</v>
      </c>
      <c r="D18" s="43" t="e">
        <f>dsd("Avfuel LTD Credits",13)</f>
        <v>#NAME?</v>
      </c>
      <c r="E18" s="43" t="e">
        <f>dsd("Avfuel LTD Incoming ACH",13)</f>
        <v>#NAME?</v>
      </c>
      <c r="F18" s="43" t="e">
        <f>dsd("Avfuel LTD Incoming Wire",13)</f>
        <v>#NAME?</v>
      </c>
      <c r="G18" s="43" t="e">
        <f>dsd("Avfuel LTD Commercial Deposit",13)</f>
        <v>#NAME?</v>
      </c>
      <c r="H18" s="43" t="e">
        <f>dsd("Avfuel LTD Debits",13)</f>
        <v>#NAME?</v>
      </c>
      <c r="I18" s="43" t="e">
        <f>dsd("Avfuel LTD Outgoing ACH",13)</f>
        <v>#NAME?</v>
      </c>
      <c r="J18" s="43" t="e">
        <f>dsd("Avfuel USD Monthly Outgoing wires",13)</f>
        <v>#NAME?</v>
      </c>
      <c r="K18" s="43" t="e">
        <f>dsd("Avfuel LTD Check Paid",13)</f>
        <v>#NAME?</v>
      </c>
      <c r="L18" s="43" t="e">
        <f>dsd("Avfuel LTD Monthly Other",13)</f>
        <v>#NAME?</v>
      </c>
      <c r="M18" s="72" t="e">
        <f>SUM(C18:I18,J18:L18)</f>
        <v>#NULL!</v>
      </c>
      <c r="O18" s="43" t="e">
        <f>dsd("Avfuel LTD Monthly Debits and Credits",13)</f>
        <v>#NAME?</v>
      </c>
    </row>
    <row r="19" ht="12.75" s="66" customFormat="true">
      <c r="A19" s="41" t="n">
        <f>IF(A18&lt;&gt;"",IF(MONTH(A18)=MONTH(A18+1),A18+1,""),"")</f>
        <v>42291.0</v>
      </c>
      <c r="B19" s="71"/>
      <c r="C19" s="43" t="e">
        <f>dsd("Avfuel LTD Monthly Opening Ledger",14)</f>
        <v>#NAME?</v>
      </c>
      <c r="D19" s="43" t="e">
        <f>dsd("Avfuel LTD Credits",14)</f>
        <v>#NAME?</v>
      </c>
      <c r="E19" s="43" t="e">
        <f>dsd("Avfuel LTD Incoming ACH",14)</f>
        <v>#NAME?</v>
      </c>
      <c r="F19" s="43" t="e">
        <f>dsd("Avfuel LTD Incoming Wire",14)</f>
        <v>#NAME?</v>
      </c>
      <c r="G19" s="43" t="e">
        <f>dsd("Avfuel LTD Commercial Deposit",14)</f>
        <v>#NAME?</v>
      </c>
      <c r="H19" s="43" t="e">
        <f>dsd("Avfuel LTD Debits",14)</f>
        <v>#NAME?</v>
      </c>
      <c r="I19" s="43" t="e">
        <f>dsd("Avfuel LTD Outgoing ACH",14)</f>
        <v>#NAME?</v>
      </c>
      <c r="J19" s="43" t="e">
        <f>dsd("Avfuel USD Monthly Outgoing wires",14)</f>
        <v>#NAME?</v>
      </c>
      <c r="K19" s="43" t="e">
        <f>dsd("Avfuel LTD Check Paid",14)</f>
        <v>#NAME?</v>
      </c>
      <c r="L19" s="43" t="e">
        <f>dsd("Avfuel LTD Monthly Other",14)</f>
        <v>#NAME?</v>
      </c>
      <c r="M19" s="72" t="e">
        <f>SUM(C19:I19,J19:L19)</f>
        <v>#NULL!</v>
      </c>
      <c r="O19" s="43" t="e">
        <f>dsd("Avfuel LTD Monthly Debits and Credits",14)</f>
        <v>#NAME?</v>
      </c>
    </row>
    <row r="20" ht="12.75" s="66" customFormat="true">
      <c r="A20" s="41" t="n">
        <f>IF(A19&lt;&gt;"",IF(MONTH(A19)=MONTH(A19+1),A19+1,""),"")</f>
        <v>42292.0</v>
      </c>
      <c r="B20" s="71"/>
      <c r="C20" s="43" t="e">
        <f>dsd("Avfuel LTD Monthly Opening Ledger",15)</f>
        <v>#NAME?</v>
      </c>
      <c r="D20" s="43" t="e">
        <f>dsd("Avfuel LTD Credits",15)</f>
        <v>#NAME?</v>
      </c>
      <c r="E20" s="43" t="e">
        <f>dsd("Avfuel LTD Incoming ACH",15)</f>
        <v>#NAME?</v>
      </c>
      <c r="F20" s="43" t="e">
        <f>dsd("Avfuel LTD Incoming Wire",15)</f>
        <v>#NAME?</v>
      </c>
      <c r="G20" s="43" t="e">
        <f>dsd("Avfuel LTD Commercial Deposit",15)</f>
        <v>#NAME?</v>
      </c>
      <c r="H20" s="43" t="e">
        <f>dsd("Avfuel LTD Debits",15)</f>
        <v>#NAME?</v>
      </c>
      <c r="I20" s="43" t="e">
        <f>dsd("Avfuel LTD Outgoing ACH",15)</f>
        <v>#NAME?</v>
      </c>
      <c r="J20" s="43" t="e">
        <f>dsd("Avfuel USD Monthly Outgoing wires",15)</f>
        <v>#NAME?</v>
      </c>
      <c r="K20" s="43" t="e">
        <f>dsd("Avfuel LTD Check Paid",15)</f>
        <v>#NAME?</v>
      </c>
      <c r="L20" s="43" t="e">
        <f>dsd("Avfuel LTD Monthly Other",15)</f>
        <v>#NAME?</v>
      </c>
      <c r="M20" s="72" t="e">
        <f>SUM(C20:I20,J20:L20)</f>
        <v>#NULL!</v>
      </c>
      <c r="O20" s="43" t="e">
        <f>dsd("Avfuel LTD Monthly Debits and Credits",15)</f>
        <v>#NAME?</v>
      </c>
    </row>
    <row r="21" ht="12.75" s="66" customFormat="true">
      <c r="A21" s="41" t="n">
        <f>IF(A20&lt;&gt;"",IF(MONTH(A20)=MONTH(A20+1),A20+1,""),"")</f>
        <v>42293.0</v>
      </c>
      <c r="B21" s="71"/>
      <c r="C21" s="43" t="e">
        <f>dsd("Avfuel LTD Monthly Opening Ledger",16)</f>
        <v>#NAME?</v>
      </c>
      <c r="D21" s="43" t="e">
        <f>dsd("Avfuel LTD Credits",16)</f>
        <v>#NAME?</v>
      </c>
      <c r="E21" s="43" t="e">
        <f>dsd("Avfuel LTD Incoming ACH",16)</f>
        <v>#NAME?</v>
      </c>
      <c r="F21" s="43" t="e">
        <f>dsd("Avfuel LTD Incoming Wire",16)</f>
        <v>#NAME?</v>
      </c>
      <c r="G21" s="43" t="e">
        <f>dsd("Avfuel LTD Commercial Deposit",16)</f>
        <v>#NAME?</v>
      </c>
      <c r="H21" s="43" t="e">
        <f>dsd("Avfuel LTD Debits",16)</f>
        <v>#NAME?</v>
      </c>
      <c r="I21" s="43" t="e">
        <f>dsd("Avfuel LTD Outgoing ACH",16)</f>
        <v>#NAME?</v>
      </c>
      <c r="J21" s="43" t="e">
        <f>dsd("Avfuel USD Monthly Outgoing wires",16)</f>
        <v>#NAME?</v>
      </c>
      <c r="K21" s="43" t="e">
        <f>dsd("Avfuel LTD Check Paid",16)</f>
        <v>#NAME?</v>
      </c>
      <c r="L21" s="43" t="e">
        <f>dsd("Avfuel LTD Monthly Other",16)</f>
        <v>#NAME?</v>
      </c>
      <c r="M21" s="72" t="e">
        <f>SUM(C21:I21,J21:L21)</f>
        <v>#NULL!</v>
      </c>
      <c r="O21" s="43" t="e">
        <f>dsd("Avfuel LTD Monthly Debits and Credits",16)</f>
        <v>#NAME?</v>
      </c>
    </row>
    <row r="22" ht="12.75" s="66" customFormat="true">
      <c r="A22" s="41" t="n">
        <f>IF(A21&lt;&gt;"",IF(MONTH(A21)=MONTH(A21+1),A21+1,""),"")</f>
        <v>42294.0</v>
      </c>
      <c r="B22" s="71"/>
      <c r="C22" s="43" t="e">
        <f>dsd("Avfuel LTD Monthly Opening Ledger",17)</f>
        <v>#NAME?</v>
      </c>
      <c r="D22" s="43" t="e">
        <f>dsd("Avfuel LTD Credits",17)</f>
        <v>#NAME?</v>
      </c>
      <c r="E22" s="43" t="e">
        <f>dsd("Avfuel LTD Incoming ACH",17)</f>
        <v>#NAME?</v>
      </c>
      <c r="F22" s="43" t="e">
        <f>dsd("Avfuel LTD Incoming Wire",17)</f>
        <v>#NAME?</v>
      </c>
      <c r="G22" s="43" t="e">
        <f>dsd("Avfuel LTD Commercial Deposit",17)</f>
        <v>#NAME?</v>
      </c>
      <c r="H22" s="43" t="e">
        <f>dsd("Avfuel LTD Debits",17)</f>
        <v>#NAME?</v>
      </c>
      <c r="I22" s="43" t="e">
        <f>dsd("Avfuel LTD Outgoing ACH",17)</f>
        <v>#NAME?</v>
      </c>
      <c r="J22" s="43" t="e">
        <f>dsd("Avfuel USD Monthly Outgoing wires",17)</f>
        <v>#NAME?</v>
      </c>
      <c r="K22" s="43" t="e">
        <f>dsd("Avfuel LTD Check Paid",17)</f>
        <v>#NAME?</v>
      </c>
      <c r="L22" s="43" t="e">
        <f>dsd("Avfuel LTD Monthly Other",17)</f>
        <v>#NAME?</v>
      </c>
      <c r="M22" s="72" t="e">
        <f>SUM(C22:I22,J22:L22)</f>
        <v>#NULL!</v>
      </c>
      <c r="O22" s="43" t="e">
        <f>dsd("Avfuel LTD Monthly Debits and Credits",17)</f>
        <v>#NAME?</v>
      </c>
    </row>
    <row r="23" ht="12.75" s="66" customFormat="true">
      <c r="A23" s="41" t="n">
        <f>IF(A22&lt;&gt;"",IF(MONTH(A22)=MONTH(A22+1),A22+1,""),"")</f>
        <v>42295.0</v>
      </c>
      <c r="B23" s="71"/>
      <c r="C23" s="43" t="e">
        <f>dsd("Avfuel LTD Monthly Opening Ledger",18)</f>
        <v>#NAME?</v>
      </c>
      <c r="D23" s="43" t="e">
        <f>dsd("Avfuel LTD Credits",18)</f>
        <v>#NAME?</v>
      </c>
      <c r="E23" s="43" t="e">
        <f>dsd("Avfuel LTD Incoming ACH",18)</f>
        <v>#NAME?</v>
      </c>
      <c r="F23" s="43" t="e">
        <f>dsd("Avfuel LTD Incoming Wire",18)</f>
        <v>#NAME?</v>
      </c>
      <c r="G23" s="43" t="e">
        <f>dsd("Avfuel LTD Commercial Deposit",18)</f>
        <v>#NAME?</v>
      </c>
      <c r="H23" s="43" t="e">
        <f>dsd("Avfuel LTD Debits",18)</f>
        <v>#NAME?</v>
      </c>
      <c r="I23" s="43" t="e">
        <f>dsd("Avfuel LTD Outgoing ACH",18)</f>
        <v>#NAME?</v>
      </c>
      <c r="J23" s="43" t="e">
        <f>dsd("Avfuel USD Monthly Outgoing wires",18)</f>
        <v>#NAME?</v>
      </c>
      <c r="K23" s="43" t="e">
        <f>dsd("Avfuel LTD Check Paid",18)</f>
        <v>#NAME?</v>
      </c>
      <c r="L23" s="43" t="e">
        <f>dsd("Avfuel LTD Monthly Other",18)</f>
        <v>#NAME?</v>
      </c>
      <c r="M23" s="72" t="e">
        <f>SUM(C23:I23,J23:L23)</f>
        <v>#NULL!</v>
      </c>
      <c r="O23" s="43" t="e">
        <f>dsd("Avfuel LTD Monthly Debits and Credits",18)</f>
        <v>#NAME?</v>
      </c>
    </row>
    <row r="24" ht="12.75" s="66" customFormat="true">
      <c r="A24" s="41" t="n">
        <f>IF(A23&lt;&gt;"",IF(MONTH(A23)=MONTH(A23+1),A23+1,""),"")</f>
        <v>42296.0</v>
      </c>
      <c r="B24" s="71"/>
      <c r="C24" s="43" t="e">
        <f>dsd("Avfuel LTD Monthly Opening Ledger",19)</f>
        <v>#NAME?</v>
      </c>
      <c r="D24" s="43" t="e">
        <f>dsd("Avfuel LTD Credits",19)</f>
        <v>#NAME?</v>
      </c>
      <c r="E24" s="43" t="e">
        <f>dsd("Avfuel LTD Incoming ACH",19)</f>
        <v>#NAME?</v>
      </c>
      <c r="F24" s="43" t="e">
        <f>dsd("Avfuel LTD Incoming Wire",19)</f>
        <v>#NAME?</v>
      </c>
      <c r="G24" s="43" t="e">
        <f>dsd("Avfuel LTD Commercial Deposit",19)</f>
        <v>#NAME?</v>
      </c>
      <c r="H24" s="43" t="e">
        <f>dsd("Avfuel LTD Debits",19)</f>
        <v>#NAME?</v>
      </c>
      <c r="I24" s="43" t="e">
        <f>dsd("Avfuel LTD Outgoing ACH",19)</f>
        <v>#NAME?</v>
      </c>
      <c r="J24" s="43" t="e">
        <f>dsd("Avfuel USD Monthly Outgoing wires",19)</f>
        <v>#NAME?</v>
      </c>
      <c r="K24" s="43" t="e">
        <f>dsd("Avfuel LTD Check Paid",19)</f>
        <v>#NAME?</v>
      </c>
      <c r="L24" s="43" t="e">
        <f>dsd("Avfuel LTD Monthly Other",19)</f>
        <v>#NAME?</v>
      </c>
      <c r="M24" s="72" t="e">
        <f>SUM(C24:I24,J24:L24)</f>
        <v>#NULL!</v>
      </c>
      <c r="O24" s="43" t="e">
        <f>dsd("Avfuel LTD Monthly Debits and Credits",19)</f>
        <v>#NAME?</v>
      </c>
    </row>
    <row r="25" ht="12.75" s="66" customFormat="true">
      <c r="A25" s="41" t="n">
        <f>IF(A24&lt;&gt;"",IF(MONTH(A24)=MONTH(A24+1),A24+1,""),"")</f>
        <v>42297.0</v>
      </c>
      <c r="B25" s="71"/>
      <c r="C25" s="43" t="e">
        <f>dsd("Avfuel LTD Monthly Opening Ledger",20)</f>
        <v>#NAME?</v>
      </c>
      <c r="D25" s="43" t="e">
        <f>dsd("Avfuel LTD Credits",20)</f>
        <v>#NAME?</v>
      </c>
      <c r="E25" s="43" t="e">
        <f>dsd("Avfuel LTD Incoming ACH",20)</f>
        <v>#NAME?</v>
      </c>
      <c r="F25" s="43" t="e">
        <f>dsd("Avfuel LTD Incoming Wire",20)</f>
        <v>#NAME?</v>
      </c>
      <c r="G25" s="43" t="e">
        <f>dsd("Avfuel LTD Commercial Deposit",20)</f>
        <v>#NAME?</v>
      </c>
      <c r="H25" s="43" t="e">
        <f>dsd("Avfuel LTD Debits",20)</f>
        <v>#NAME?</v>
      </c>
      <c r="I25" s="43" t="e">
        <f>dsd("Avfuel LTD Outgoing ACH",20)</f>
        <v>#NAME?</v>
      </c>
      <c r="J25" s="43" t="e">
        <f>dsd("Avfuel USD Monthly Outgoing wires",20)</f>
        <v>#NAME?</v>
      </c>
      <c r="K25" s="43" t="e">
        <f>dsd("Avfuel LTD Check Paid",20)</f>
        <v>#NAME?</v>
      </c>
      <c r="L25" s="43" t="e">
        <f>dsd("Avfuel LTD Monthly Other",20)</f>
        <v>#NAME?</v>
      </c>
      <c r="M25" s="72" t="e">
        <f>SUM(C25:I25,J25:L25)</f>
        <v>#NULL!</v>
      </c>
      <c r="O25" s="43" t="e">
        <f>dsd("Avfuel LTD Monthly Debits and Credits",20)</f>
        <v>#NAME?</v>
      </c>
    </row>
    <row r="26" ht="12.75" s="66" customFormat="true">
      <c r="A26" s="41" t="n">
        <f>IF(A25&lt;&gt;"",IF(MONTH(A25)=MONTH(A25+1),A25+1,""),"")</f>
        <v>42298.0</v>
      </c>
      <c r="B26" s="71"/>
      <c r="C26" s="43" t="e">
        <f>dsd("Avfuel LTD Monthly Opening Ledger",21)</f>
        <v>#NAME?</v>
      </c>
      <c r="D26" s="43" t="e">
        <f>dsd("Avfuel LTD Credits",21)</f>
        <v>#NAME?</v>
      </c>
      <c r="E26" s="43" t="e">
        <f>dsd("Avfuel LTD Incoming ACH",21)</f>
        <v>#NAME?</v>
      </c>
      <c r="F26" s="43" t="e">
        <f>dsd("Avfuel LTD Incoming Wire",21)</f>
        <v>#NAME?</v>
      </c>
      <c r="G26" s="43" t="e">
        <f>dsd("Avfuel LTD Commercial Deposit",21)</f>
        <v>#NAME?</v>
      </c>
      <c r="H26" s="43" t="e">
        <f>dsd("Avfuel LTD Debits",21)</f>
        <v>#NAME?</v>
      </c>
      <c r="I26" s="43" t="e">
        <f>dsd("Avfuel LTD Outgoing ACH",21)</f>
        <v>#NAME?</v>
      </c>
      <c r="J26" s="43" t="e">
        <f>dsd("Avfuel USD Monthly Outgoing wires",21)</f>
        <v>#NAME?</v>
      </c>
      <c r="K26" s="43" t="e">
        <f>dsd("Avfuel LTD Check Paid",21)</f>
        <v>#NAME?</v>
      </c>
      <c r="L26" s="43" t="e">
        <f>dsd("Avfuel LTD Monthly Other",21)</f>
        <v>#NAME?</v>
      </c>
      <c r="M26" s="72" t="e">
        <f>SUM(C26:I26,J26:L26)</f>
        <v>#NULL!</v>
      </c>
      <c r="O26" s="43" t="e">
        <f>dsd("Avfuel LTD Monthly Debits and Credits",21)</f>
        <v>#NAME?</v>
      </c>
    </row>
    <row r="27" ht="12.75" s="66" customFormat="true">
      <c r="A27" s="41" t="n">
        <f>IF(A26&lt;&gt;"",IF(MONTH(A26)=MONTH(A26+1),A26+1,""),"")</f>
        <v>42299.0</v>
      </c>
      <c r="B27" s="71"/>
      <c r="C27" s="43" t="e">
        <f>dsd("Avfuel LTD Monthly Opening Ledger",22)</f>
        <v>#NAME?</v>
      </c>
      <c r="D27" s="43" t="e">
        <f>dsd("Avfuel LTD Credits",22)</f>
        <v>#NAME?</v>
      </c>
      <c r="E27" s="43" t="e">
        <f>dsd("Avfuel LTD Incoming ACH",22)</f>
        <v>#NAME?</v>
      </c>
      <c r="F27" s="43" t="e">
        <f>dsd("Avfuel LTD Incoming Wire",22)</f>
        <v>#NAME?</v>
      </c>
      <c r="G27" s="43" t="e">
        <f>dsd("Avfuel LTD Commercial Deposit",22)</f>
        <v>#NAME?</v>
      </c>
      <c r="H27" s="43" t="e">
        <f>dsd("Avfuel LTD Debits",22)</f>
        <v>#NAME?</v>
      </c>
      <c r="I27" s="43" t="e">
        <f>dsd("Avfuel LTD Outgoing ACH",22)</f>
        <v>#NAME?</v>
      </c>
      <c r="J27" s="43" t="e">
        <f>dsd("Avfuel USD Monthly Outgoing wires",22)</f>
        <v>#NAME?</v>
      </c>
      <c r="K27" s="43" t="e">
        <f>dsd("Avfuel LTD Check Paid",22)</f>
        <v>#NAME?</v>
      </c>
      <c r="L27" s="43" t="e">
        <f>dsd("Avfuel LTD Monthly Other",22)</f>
        <v>#NAME?</v>
      </c>
      <c r="M27" s="72" t="e">
        <f>SUM(C27:I27,J27:L27)</f>
        <v>#NULL!</v>
      </c>
      <c r="O27" s="43" t="e">
        <f>dsd("Avfuel LTD Monthly Debits and Credits",22)</f>
        <v>#NAME?</v>
      </c>
    </row>
    <row r="28" ht="12.75" s="66" customFormat="true">
      <c r="A28" s="41" t="n">
        <f>IF(A27&lt;&gt;"",IF(MONTH(A27)=MONTH(A27+1),A27+1,""),"")</f>
        <v>42300.0</v>
      </c>
      <c r="B28" s="71"/>
      <c r="C28" s="43" t="e">
        <f>dsd("Avfuel LTD Monthly Opening Ledger",23)</f>
        <v>#NAME?</v>
      </c>
      <c r="D28" s="43" t="e">
        <f>dsd("Avfuel LTD Credits",23)</f>
        <v>#NAME?</v>
      </c>
      <c r="E28" s="43" t="e">
        <f>dsd("Avfuel LTD Incoming ACH",23)</f>
        <v>#NAME?</v>
      </c>
      <c r="F28" s="43" t="e">
        <f>dsd("Avfuel LTD Incoming Wire",23)</f>
        <v>#NAME?</v>
      </c>
      <c r="G28" s="43" t="e">
        <f>dsd("Avfuel LTD Commercial Deposit",23)</f>
        <v>#NAME?</v>
      </c>
      <c r="H28" s="43" t="e">
        <f>dsd("Avfuel LTD Debits",23)</f>
        <v>#NAME?</v>
      </c>
      <c r="I28" s="43" t="e">
        <f>dsd("Avfuel LTD Outgoing ACH",23)</f>
        <v>#NAME?</v>
      </c>
      <c r="J28" s="43" t="e">
        <f>dsd("Avfuel USD Monthly Outgoing wires",23)</f>
        <v>#NAME?</v>
      </c>
      <c r="K28" s="43" t="e">
        <f>dsd("Avfuel LTD Check Paid",23)</f>
        <v>#NAME?</v>
      </c>
      <c r="L28" s="43" t="e">
        <f>dsd("Avfuel LTD Monthly Other",23)</f>
        <v>#NAME?</v>
      </c>
      <c r="M28" s="72" t="e">
        <f>SUM(C28:I28,J28:L28)</f>
        <v>#NULL!</v>
      </c>
      <c r="O28" s="43" t="e">
        <f>dsd("Avfuel LTD Monthly Debits and Credits",23)</f>
        <v>#NAME?</v>
      </c>
    </row>
    <row r="29" ht="12.75" s="66" customFormat="true">
      <c r="A29" s="41" t="n">
        <f>IF(A28&lt;&gt;"",IF(MONTH(A28)=MONTH(A28+1),A28+1,""),"")</f>
        <v>42301.0</v>
      </c>
      <c r="B29" s="71"/>
      <c r="C29" s="43" t="e">
        <f>dsd("Avfuel LTD Monthly Opening Ledger",24)</f>
        <v>#NAME?</v>
      </c>
      <c r="D29" s="43" t="e">
        <f>dsd("Avfuel LTD Credits",24)</f>
        <v>#NAME?</v>
      </c>
      <c r="E29" s="43" t="e">
        <f>dsd("Avfuel LTD Incoming ACH",24)</f>
        <v>#NAME?</v>
      </c>
      <c r="F29" s="43" t="e">
        <f>dsd("Avfuel LTD Incoming Wire",24)</f>
        <v>#NAME?</v>
      </c>
      <c r="G29" s="43" t="e">
        <f>dsd("Avfuel LTD Commercial Deposit",24)</f>
        <v>#NAME?</v>
      </c>
      <c r="H29" s="43" t="e">
        <f>dsd("Avfuel LTD Debits",24)</f>
        <v>#NAME?</v>
      </c>
      <c r="I29" s="43" t="e">
        <f>dsd("Avfuel LTD Outgoing ACH",24)</f>
        <v>#NAME?</v>
      </c>
      <c r="J29" s="43" t="e">
        <f>dsd("Avfuel USD Monthly Outgoing wires",24)</f>
        <v>#NAME?</v>
      </c>
      <c r="K29" s="43" t="e">
        <f>dsd("Avfuel LTD Check Paid",24)</f>
        <v>#NAME?</v>
      </c>
      <c r="L29" s="43" t="e">
        <f>dsd("Avfuel LTD Monthly Other",24)</f>
        <v>#NAME?</v>
      </c>
      <c r="M29" s="72" t="e">
        <f>SUM(C29:I29,J29:L29)</f>
        <v>#NULL!</v>
      </c>
      <c r="O29" s="43" t="e">
        <f>dsd("Avfuel LTD Monthly Debits and Credits",24)</f>
        <v>#NAME?</v>
      </c>
    </row>
    <row r="30" ht="12.75" s="66" customFormat="true">
      <c r="A30" s="41" t="n">
        <f>IF(A29&lt;&gt;"",IF(MONTH(A29)=MONTH(A29+1),A29+1,""),"")</f>
        <v>42302.0</v>
      </c>
      <c r="B30" s="71"/>
      <c r="C30" s="43" t="e">
        <f>dsd("Avfuel LTD Monthly Opening Ledger",25)</f>
        <v>#NAME?</v>
      </c>
      <c r="D30" s="43" t="e">
        <f>dsd("Avfuel LTD Credits",25)</f>
        <v>#NAME?</v>
      </c>
      <c r="E30" s="43" t="e">
        <f>dsd("Avfuel LTD Incoming ACH",25)</f>
        <v>#NAME?</v>
      </c>
      <c r="F30" s="43" t="e">
        <f>dsd("Avfuel LTD Incoming Wire",25)</f>
        <v>#NAME?</v>
      </c>
      <c r="G30" s="43" t="e">
        <f>dsd("Avfuel LTD Commercial Deposit",25)</f>
        <v>#NAME?</v>
      </c>
      <c r="H30" s="43" t="e">
        <f>dsd("Avfuel LTD Debits",25)</f>
        <v>#NAME?</v>
      </c>
      <c r="I30" s="43" t="e">
        <f>dsd("Avfuel LTD Outgoing ACH",25)</f>
        <v>#NAME?</v>
      </c>
      <c r="J30" s="43" t="e">
        <f>dsd("Avfuel USD Monthly Outgoing wires",25)</f>
        <v>#NAME?</v>
      </c>
      <c r="K30" s="43" t="e">
        <f>dsd("Avfuel LTD Check Paid",25)</f>
        <v>#NAME?</v>
      </c>
      <c r="L30" s="43" t="e">
        <f>dsd("Avfuel LTD Monthly Other",25)</f>
        <v>#NAME?</v>
      </c>
      <c r="M30" s="72" t="e">
        <f>SUM(C30:I30,J30:L30)</f>
        <v>#NULL!</v>
      </c>
      <c r="O30" s="43" t="e">
        <f>dsd("Avfuel LTD Monthly Debits and Credits",25)</f>
        <v>#NAME?</v>
      </c>
    </row>
    <row r="31" ht="12.75" s="66" customFormat="true">
      <c r="A31" s="41" t="n">
        <f>IF(A30&lt;&gt;"",IF(MONTH(A30)=MONTH(A30+1),A30+1,""),"")</f>
        <v>42303.0</v>
      </c>
      <c r="B31" s="71"/>
      <c r="C31" s="43" t="e">
        <f>dsd("Avfuel LTD Monthly Opening Ledger",26)</f>
        <v>#NAME?</v>
      </c>
      <c r="D31" s="43" t="e">
        <f>dsd("Avfuel LTD Credits",26)</f>
        <v>#NAME?</v>
      </c>
      <c r="E31" s="43" t="e">
        <f>dsd("Avfuel LTD Incoming ACH",26)</f>
        <v>#NAME?</v>
      </c>
      <c r="F31" s="43" t="e">
        <f>dsd("Avfuel LTD Incoming Wire",26)</f>
        <v>#NAME?</v>
      </c>
      <c r="G31" s="43" t="e">
        <f>dsd("Avfuel LTD Commercial Deposit",26)</f>
        <v>#NAME?</v>
      </c>
      <c r="H31" s="43" t="e">
        <f>dsd("Avfuel LTD Debits",26)</f>
        <v>#NAME?</v>
      </c>
      <c r="I31" s="43" t="e">
        <f>dsd("Avfuel LTD Outgoing ACH",26)</f>
        <v>#NAME?</v>
      </c>
      <c r="J31" s="43" t="e">
        <f>dsd("Avfuel USD Monthly Outgoing wires",26)</f>
        <v>#NAME?</v>
      </c>
      <c r="K31" s="43" t="e">
        <f>dsd("Avfuel LTD Check Paid",26)</f>
        <v>#NAME?</v>
      </c>
      <c r="L31" s="43" t="e">
        <f>dsd("Avfuel LTD Monthly Other",26)</f>
        <v>#NAME?</v>
      </c>
      <c r="M31" s="72" t="e">
        <f>SUM(C31:I31,J31:L31)</f>
        <v>#NULL!</v>
      </c>
      <c r="O31" s="43" t="e">
        <f>dsd("Avfuel LTD Monthly Debits and Credits",26)</f>
        <v>#NAME?</v>
      </c>
    </row>
    <row r="32" ht="12.75" s="66" customFormat="true">
      <c r="A32" s="41" t="n">
        <f>IF(A31&lt;&gt;"",IF(MONTH(A31)=MONTH(A31+1),A31+1,""),"")</f>
        <v>42304.0</v>
      </c>
      <c r="B32" s="71"/>
      <c r="C32" s="43" t="e">
        <f>dsd("Avfuel LTD Monthly Opening Ledger",27)</f>
        <v>#NAME?</v>
      </c>
      <c r="D32" s="43" t="e">
        <f>dsd("Avfuel LTD Credits",27)</f>
        <v>#NAME?</v>
      </c>
      <c r="E32" s="43" t="e">
        <f>dsd("Avfuel LTD Incoming ACH",27)</f>
        <v>#NAME?</v>
      </c>
      <c r="F32" s="43" t="e">
        <f>dsd("Avfuel LTD Incoming Wire",27)</f>
        <v>#NAME?</v>
      </c>
      <c r="G32" s="43" t="e">
        <f>dsd("Avfuel LTD Commercial Deposit",27)</f>
        <v>#NAME?</v>
      </c>
      <c r="H32" s="43" t="e">
        <f>dsd("Avfuel LTD Debits",27)</f>
        <v>#NAME?</v>
      </c>
      <c r="I32" s="43" t="e">
        <f>dsd("Avfuel LTD Outgoing ACH",27)</f>
        <v>#NAME?</v>
      </c>
      <c r="J32" s="43" t="e">
        <f>dsd("Avfuel USD Monthly Outgoing wires",27)</f>
        <v>#NAME?</v>
      </c>
      <c r="K32" s="43" t="e">
        <f>dsd("Avfuel LTD Check Paid",27)</f>
        <v>#NAME?</v>
      </c>
      <c r="L32" s="43" t="e">
        <f>dsd("Avfuel LTD Monthly Other",27)</f>
        <v>#NAME?</v>
      </c>
      <c r="M32" s="72" t="e">
        <f>SUM(C32:I32,J32:L32)</f>
        <v>#NULL!</v>
      </c>
      <c r="O32" s="43" t="e">
        <f>dsd("Avfuel LTD Monthly Debits and Credits",27)</f>
        <v>#NAME?</v>
      </c>
    </row>
    <row r="33" ht="12.75" s="66" customFormat="true">
      <c r="A33" s="41" t="n">
        <f>IF(A32&lt;&gt;"",IF(MONTH(A32)=MONTH(A32+1),A32+1,""),"")</f>
        <v>42305.0</v>
      </c>
      <c r="B33" s="71"/>
      <c r="C33" s="43" t="e">
        <f>dsd("Avfuel LTD Monthly Opening Ledger",28)</f>
        <v>#NAME?</v>
      </c>
      <c r="D33" s="43" t="e">
        <f>dsd("Avfuel LTD Credits",28)</f>
        <v>#NAME?</v>
      </c>
      <c r="E33" s="43" t="e">
        <f>dsd("Avfuel LTD Incoming ACH",28)</f>
        <v>#NAME?</v>
      </c>
      <c r="F33" s="43" t="e">
        <f>dsd("Avfuel LTD Incoming Wire",28)</f>
        <v>#NAME?</v>
      </c>
      <c r="G33" s="43" t="e">
        <f>dsd("Avfuel LTD Commercial Deposit",28)</f>
        <v>#NAME?</v>
      </c>
      <c r="H33" s="43" t="e">
        <f>dsd("Avfuel LTD Debits",28)</f>
        <v>#NAME?</v>
      </c>
      <c r="I33" s="43" t="e">
        <f>dsd("Avfuel LTD Outgoing ACH",28)</f>
        <v>#NAME?</v>
      </c>
      <c r="J33" s="43" t="e">
        <f>dsd("Avfuel USD Monthly Outgoing wires",28)</f>
        <v>#NAME?</v>
      </c>
      <c r="K33" s="43" t="e">
        <f>dsd("Avfuel LTD Check Paid",28)</f>
        <v>#NAME?</v>
      </c>
      <c r="L33" s="43" t="e">
        <f>dsd("Avfuel LTD Monthly Other",28)</f>
        <v>#NAME?</v>
      </c>
      <c r="M33" s="72" t="e">
        <f>SUM(C33:I33,J33:L33)</f>
        <v>#NULL!</v>
      </c>
      <c r="O33" s="43" t="e">
        <f>dsd("Avfuel LTD Monthly Debits and Credits",28)</f>
        <v>#NAME?</v>
      </c>
    </row>
    <row r="34" ht="12.75" s="66" customFormat="true">
      <c r="A34" s="41" t="n">
        <f>IF(A33&lt;&gt;"",IF(MONTH(A33)=MONTH(A33+1),A33+1,""),"")</f>
        <v>42306.0</v>
      </c>
      <c r="B34" s="71"/>
      <c r="C34" s="43" t="e">
        <f>dsd("Avfuel LTD Monthly Opening Ledger",29)</f>
        <v>#NAME?</v>
      </c>
      <c r="D34" s="43" t="e">
        <f>dsd("Avfuel LTD Credits",29)</f>
        <v>#NAME?</v>
      </c>
      <c r="E34" s="43" t="e">
        <f>dsd("Avfuel LTD Incoming ACH",29)</f>
        <v>#NAME?</v>
      </c>
      <c r="F34" s="43" t="e">
        <f>dsd("Avfuel LTD Incoming Wire",29)</f>
        <v>#NAME?</v>
      </c>
      <c r="G34" s="43" t="e">
        <f>dsd("Avfuel LTD Commercial Deposit",29)</f>
        <v>#NAME?</v>
      </c>
      <c r="H34" s="43" t="e">
        <f>dsd("Avfuel LTD Debits",29)</f>
        <v>#NAME?</v>
      </c>
      <c r="I34" s="43" t="e">
        <f>dsd("Avfuel LTD Outgoing ACH",29)</f>
        <v>#NAME?</v>
      </c>
      <c r="J34" s="43" t="e">
        <f>dsd("Avfuel USD Monthly Outgoing wires",29)</f>
        <v>#NAME?</v>
      </c>
      <c r="K34" s="43" t="e">
        <f>dsd("Avfuel LTD Check Paid",29)</f>
        <v>#NAME?</v>
      </c>
      <c r="L34" s="43" t="e">
        <f>dsd("Avfuel LTD Monthly Other",29)</f>
        <v>#NAME?</v>
      </c>
      <c r="M34" s="72" t="e">
        <f>SUM(C34:I34,J34:L34)</f>
        <v>#NULL!</v>
      </c>
      <c r="O34" s="43" t="e">
        <f>dsd("Avfuel LTD Monthly Debits and Credits",29)</f>
        <v>#NAME?</v>
      </c>
    </row>
    <row r="35" ht="12.75" s="66" customFormat="true">
      <c r="A35" s="73" t="n">
        <f>IF(A34&lt;&gt;"",IF(MONTH(A34)=MONTH(A34+1),A34+1,""),"")</f>
        <v>42307.0</v>
      </c>
      <c r="B35" s="71"/>
      <c r="C35" s="43" t="e">
        <f>dsd("Avfuel LTD Monthly Opening Ledger",30)</f>
        <v>#NAME?</v>
      </c>
      <c r="D35" s="43" t="e">
        <f>dsd("Avfuel LTD Credits",30)</f>
        <v>#NAME?</v>
      </c>
      <c r="E35" s="43" t="e">
        <f>dsd("Avfuel LTD Incoming ACH",30)</f>
        <v>#NAME?</v>
      </c>
      <c r="F35" s="43" t="e">
        <f>dsd("Avfuel LTD Incoming Wire",30)</f>
        <v>#NAME?</v>
      </c>
      <c r="G35" s="43" t="e">
        <f>dsd("Avfuel LTD Commercial Deposit",30)</f>
        <v>#NAME?</v>
      </c>
      <c r="H35" s="43" t="e">
        <f>dsd("Avfuel LTD Debits",30)</f>
        <v>#NAME?</v>
      </c>
      <c r="I35" s="43" t="e">
        <f>dsd("Avfuel LTD Outgoing ACH",30)</f>
        <v>#NAME?</v>
      </c>
      <c r="J35" s="43" t="e">
        <f>dsd("Avfuel USD Monthly Outgoing wires",30)</f>
        <v>#NAME?</v>
      </c>
      <c r="K35" s="43" t="e">
        <f>dsd("Avfuel LTD Check Paid",30)</f>
        <v>#NAME?</v>
      </c>
      <c r="L35" s="43" t="e">
        <f>dsd("Avfuel LTD Monthly Other",30)</f>
        <v>#NAME?</v>
      </c>
      <c r="M35" s="72" t="e">
        <f>SUM(C35:I35,J35:L35)</f>
        <v>#NULL!</v>
      </c>
      <c r="O35" s="43" t="e">
        <f>dsd("Avfuel LTD Monthly Debits and Credits",30)</f>
        <v>#NAME?</v>
      </c>
    </row>
    <row r="36" ht="12.75" s="66" customFormat="true">
      <c r="A36" s="73" t="n">
        <f>IF(A35&lt;&gt;"",IF(MONTH(A35)=MONTH(A35+1),A35+1,""),"")</f>
        <v>42308.0</v>
      </c>
      <c r="B36" s="71"/>
      <c r="C36" s="43" t="e">
        <f>dsd("Avfuel LTD Monthly Opening Ledger",31)</f>
        <v>#NAME?</v>
      </c>
      <c r="D36" s="43" t="e">
        <f>dsd("Avfuel LTD Credits",31)</f>
        <v>#NAME?</v>
      </c>
      <c r="E36" s="43" t="e">
        <f>dsd("Avfuel LTD Incoming ACH",31)</f>
        <v>#NAME?</v>
      </c>
      <c r="F36" s="43" t="e">
        <f>dsd("Avfuel LTD Incoming Wire",31)</f>
        <v>#NAME?</v>
      </c>
      <c r="G36" s="43" t="e">
        <f>dsd("Avfuel LTD Commercial Deposit",31)</f>
        <v>#NAME?</v>
      </c>
      <c r="H36" s="43" t="e">
        <f>dsd("Avfuel LTD Debits",31)</f>
        <v>#NAME?</v>
      </c>
      <c r="I36" s="43" t="e">
        <f>dsd("Avfuel LTD Outgoing ACH",31)</f>
        <v>#NAME?</v>
      </c>
      <c r="J36" s="43" t="e">
        <f>dsd("Avfuel USD Monthly Outgoing wires",31)</f>
        <v>#NAME?</v>
      </c>
      <c r="K36" s="43" t="e">
        <f>dsd("Avfuel LTD Check Paid",31)</f>
        <v>#NAME?</v>
      </c>
      <c r="L36" s="43" t="e">
        <f>dsd("Avfuel LTD Monthly Other",31)</f>
        <v>#NAME?</v>
      </c>
      <c r="M36" s="72" t="e">
        <f>SUM(C36:I36,J36:L36)</f>
        <v>#NULL!</v>
      </c>
      <c r="O36" s="43" t="e">
        <f>dsd("Avfuel LTD Monthly Debits and Credits",31)</f>
        <v>#NAME?</v>
      </c>
    </row>
    <row r="37" ht="12.75" s="66" customFormat="true">
      <c r="A37" s="71"/>
      <c r="B37" s="7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72"/>
      <c r="O37" s="36"/>
    </row>
    <row r="38" ht="12.75" s="66" customFormat="true">
      <c r="A38" s="74" t="s">
        <v>54</v>
      </c>
      <c r="B38" s="75"/>
      <c r="C38" s="54" t="e">
        <f>ds("Avfuel LTD Monthly Opening Ledger")</f>
        <v>#NAME?</v>
      </c>
      <c r="D38" s="54" t="e">
        <f>ds("Avfuel LTD Credits")</f>
        <v>#NAME?</v>
      </c>
      <c r="E38" s="54" t="e">
        <f>ds("Avfuel LTD Incoming ACH")</f>
        <v>#NAME?</v>
      </c>
      <c r="F38" s="54" t="e">
        <f>ds("Avfuel LTD Incoming Wire")</f>
        <v>#NAME?</v>
      </c>
      <c r="G38" s="54" t="e">
        <f>ds("Avfuel LTD Commercial Deposit")</f>
        <v>#NAME?</v>
      </c>
      <c r="H38" s="54" t="e">
        <f>ds("Avfuel LTD Debits")</f>
        <v>#NAME?</v>
      </c>
      <c r="I38" s="54" t="e">
        <f>ds("Avfuel LTD Outgoing ACH")</f>
        <v>#NAME?</v>
      </c>
      <c r="J38" s="54" t="e">
        <f>ds("Avfuel USD Monthly Outgoing wires")</f>
        <v>#NAME?</v>
      </c>
      <c r="K38" s="54" t="e">
        <f>ds("Avfuel LTD Check Paid")</f>
        <v>#NAME?</v>
      </c>
      <c r="L38" s="54" t="e">
        <f>ds("Avfuel LTD Monthly Other")</f>
        <v>#NAME?</v>
      </c>
      <c r="M38" s="72" t="e">
        <f>SUM(C38:I38,J38:L38)</f>
        <v>#NAME?</v>
      </c>
      <c r="O38" s="54" t="e">
        <f>ds("Avfuel LTD Monthly Debits and Credits")</f>
        <v>#NAME?</v>
      </c>
    </row>
    <row r="39" ht="12.75" s="66" customFormat="true">
      <c r="A39" s="76"/>
      <c r="B39" s="76"/>
      <c r="C39" s="59"/>
      <c r="D39" s="59"/>
      <c r="E39" s="59"/>
      <c r="F39" s="59"/>
      <c r="G39" s="59"/>
      <c r="H39" s="59"/>
      <c r="I39" s="59"/>
      <c r="J39" s="59"/>
      <c r="K39" s="77"/>
      <c r="L39" s="77"/>
      <c r="M39" s="77"/>
    </row>
  </sheetData>
  <mergeCells>
    <mergeCell ref="A1:M1"/>
    <mergeCell ref="A2:M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2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4296875" hidden="false"/>
    <col min="2" max="2" style="63" customWidth="true" width="2.5703125" hidden="false"/>
    <col min="3" max="3" style="62" customWidth="true" width="15.85546875" hidden="false"/>
    <col min="4" max="4" style="62" customWidth="true" width="13.85546875" hidden="false"/>
    <col min="5" max="5" style="62" customWidth="true" width="12.71484375" hidden="false"/>
    <col min="6" max="6" style="62" customWidth="true" width="12.28515625" hidden="false"/>
    <col min="7" max="7" style="62" customWidth="true" width="14.71484375" hidden="false"/>
    <col min="8" max="8" style="62" customWidth="true" width="14.71484375" hidden="false"/>
    <col min="9" max="9" style="64" customWidth="true" width="13.71484375" hidden="false"/>
    <col min="10" max="10" style="65" customWidth="true" width="13.28515625" hidden="false"/>
    <col min="11" max="16" style="65" customWidth="true" width="13.28515625" hidden="false"/>
    <col min="17" max="17" style="62" customWidth="true" width="13.5703125" hidden="false"/>
    <col min="18" max="18" style="62" customWidth="true" width="13.0" hidden="false"/>
    <col min="19" max="19" style="62" customWidth="true" width="13.4296875" hidden="false"/>
    <col min="20" max="20" style="62" customWidth="true" width="15.14453125" hidden="false"/>
    <col min="21" max="21" style="62" customWidth="false" width="9.14453125" hidden="false"/>
    <col min="22" max="22" style="62" customWidth="true" width="13.71484375" hidden="false"/>
    <col min="23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customHeight="true" ht="12.75">
      <c r="A2" s="26" t="n">
        <f>NOW()</f>
        <v>42279.99509994213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customHeight="true" ht="12.7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customHeight="true" ht="35.25" s="27" customFormat="true">
      <c r="A4" s="28" t="s">
        <v>39</v>
      </c>
      <c r="B4" s="29"/>
      <c r="C4" s="29" t="s">
        <v>40</v>
      </c>
      <c r="D4" s="29" t="s">
        <v>41</v>
      </c>
      <c r="E4" s="29" t="s">
        <v>17</v>
      </c>
      <c r="F4" s="29" t="s">
        <v>16</v>
      </c>
      <c r="G4" s="29" t="s">
        <v>42</v>
      </c>
      <c r="H4" s="29" t="s">
        <v>43</v>
      </c>
      <c r="I4" s="29" t="s">
        <v>25</v>
      </c>
      <c r="J4" s="29" t="s">
        <v>26</v>
      </c>
      <c r="K4" s="30" t="s">
        <v>44</v>
      </c>
      <c r="L4" s="30" t="s">
        <v>45</v>
      </c>
      <c r="M4" s="30" t="s">
        <v>46</v>
      </c>
      <c r="N4" s="30" t="s">
        <v>47</v>
      </c>
      <c r="O4" s="30" t="s">
        <v>48</v>
      </c>
      <c r="P4" s="30" t="s">
        <v>49</v>
      </c>
      <c r="Q4" s="29" t="s">
        <v>22</v>
      </c>
      <c r="R4" s="29" t="s">
        <v>50</v>
      </c>
      <c r="S4" s="29" t="s">
        <v>51</v>
      </c>
      <c r="T4" s="29" t="s">
        <v>52</v>
      </c>
      <c r="V4" s="31" t="s">
        <v>53</v>
      </c>
    </row>
    <row r="5" customHeight="true" ht="12.75" s="32" customFormat="true">
      <c r="A5" s="33"/>
      <c r="B5" s="33"/>
      <c r="C5" s="34"/>
      <c r="D5" s="35"/>
      <c r="E5" s="35"/>
      <c r="F5" s="35"/>
      <c r="G5" s="34"/>
      <c r="H5" s="36"/>
      <c r="I5" s="35"/>
      <c r="J5" s="35"/>
      <c r="K5" s="36"/>
      <c r="L5" s="36"/>
      <c r="M5" s="36"/>
      <c r="N5" s="36"/>
      <c r="O5" s="36"/>
      <c r="P5" s="36"/>
      <c r="Q5" s="37"/>
      <c r="R5" s="38"/>
      <c r="S5" s="38"/>
      <c r="T5" s="39"/>
    </row>
    <row r="6" ht="12.0" s="40" customFormat="true">
      <c r="A6" s="41" t="n">
        <f>DATEVALUE(MONTH(TODAY())&amp;"/1/"&amp;YEAR(TODAY()))</f>
        <v>42278.0</v>
      </c>
      <c r="B6" s="42"/>
      <c r="C6" s="43" t="e">
        <f>dsd("Monthly Opening Ledger",1)</f>
        <v>#NAME?</v>
      </c>
      <c r="D6" s="43" t="e">
        <f>dsd("Monthly Lockbox",1)</f>
        <v>#NAME?</v>
      </c>
      <c r="E6" s="43" t="e">
        <f>dsd("Monthly Incoming ACH",1)</f>
        <v>#NAME?</v>
      </c>
      <c r="F6" s="43" t="e">
        <f>dsd("Monthly Incoming Wire",1)</f>
        <v>#NAME?</v>
      </c>
      <c r="G6" s="43" t="e">
        <f>dsd("Monthly Commercial Deposit",1)</f>
        <v>#NAME?</v>
      </c>
      <c r="H6" s="43" t="e">
        <f>dsd("Monthly Loan Activity",1)</f>
        <v>#NAME?</v>
      </c>
      <c r="I6" s="43" t="e">
        <f>dsd("Monthly Outgoing ACH Other",1)</f>
        <v>#NAME?</v>
      </c>
      <c r="J6" s="43" t="e">
        <f>dsd("Monthly Outgoing ACH TMCW",1)</f>
        <v>#NAME?</v>
      </c>
      <c r="K6" s="44" t="e">
        <f>dsd("Contract Fuel",1)</f>
        <v>#NAME?</v>
      </c>
      <c r="L6" s="44" t="e">
        <f>dsd("Credit Cards",1)</f>
        <v>#NAME?</v>
      </c>
      <c r="M6" s="44" t="e">
        <f>dsd("Freight",1)</f>
        <v>#NAME?</v>
      </c>
      <c r="N6" s="44" t="e">
        <f>dsd("Tax",1)</f>
        <v>#NAME?</v>
      </c>
      <c r="O6" s="44" t="e">
        <f>dsd("Fuel Supplier",1)</f>
        <v>#NAME?</v>
      </c>
      <c r="P6" s="44" t="e">
        <f>dsd("Other",1)</f>
        <v>#NAME?</v>
      </c>
      <c r="Q6" s="43" t="e">
        <f>dsd("Monthly Outgoing Wire",1)</f>
        <v>#NAME?</v>
      </c>
      <c r="R6" s="43" t="e">
        <f>dsd("Monthly Check Paid",1)</f>
        <v>#NAME?</v>
      </c>
      <c r="S6" s="43" t="e">
        <f>dsd("Monthly Other",1)</f>
        <v>#NAME?</v>
      </c>
      <c r="T6" s="45" t="e">
        <f>SUM(C6:J6,Q6:S6)</f>
        <v>#NAME?</v>
      </c>
      <c r="V6" s="43" t="e">
        <f>dsd("Monthly Credits &amp; Debits",1)</f>
        <v>#NAME?</v>
      </c>
    </row>
    <row r="7" ht="12.0" s="40" customFormat="true">
      <c r="A7" s="41" t="n">
        <f>IF(A6&lt;&gt;"",IF(MONTH(A6)=MONTH(A6+1),A6+1,""),"")</f>
        <v>42279.0</v>
      </c>
      <c r="B7" s="42"/>
      <c r="C7" s="43" t="e">
        <f>dsd("Monthly Opening Ledger",2)</f>
        <v>#NAME?</v>
      </c>
      <c r="D7" s="43" t="e">
        <f>dsd("Monthly Lockbox",2)</f>
        <v>#NAME?</v>
      </c>
      <c r="E7" s="43" t="e">
        <f>dsd("Monthly Incoming ACH",2)</f>
        <v>#NAME?</v>
      </c>
      <c r="F7" s="43" t="e">
        <f>dsd("Monthly Incoming Wire",2)</f>
        <v>#NAME?</v>
      </c>
      <c r="G7" s="43" t="e">
        <f>dsd("Monthly Commercial Deposit",2)</f>
        <v>#NAME?</v>
      </c>
      <c r="H7" s="43" t="e">
        <f>dsd("Monthly Loan Activity",2)</f>
        <v>#NAME?</v>
      </c>
      <c r="I7" s="43" t="e">
        <f>dsd("Monthly Outgoing ACH Other",2)</f>
        <v>#NAME?</v>
      </c>
      <c r="J7" s="43" t="e">
        <f>dsd("Monthly Outgoing ACH TMCW",2)</f>
        <v>#NAME?</v>
      </c>
      <c r="K7" s="44" t="e">
        <f>dsd("Contract Fuel",2)</f>
        <v>#NAME?</v>
      </c>
      <c r="L7" s="44" t="e">
        <f>dsd("Credit Cards",2)</f>
        <v>#NAME?</v>
      </c>
      <c r="M7" s="44" t="e">
        <f>dsd("Freight",2)</f>
        <v>#NAME?</v>
      </c>
      <c r="N7" s="44" t="e">
        <f>dsd("Tax",2)</f>
        <v>#NAME?</v>
      </c>
      <c r="O7" s="44" t="e">
        <f>dsd("Fuel Supplier",2)</f>
        <v>#NAME?</v>
      </c>
      <c r="P7" s="44" t="e">
        <f>dsd("Other",2)</f>
        <v>#NAME?</v>
      </c>
      <c r="Q7" s="43" t="e">
        <f>dsd("Monthly Outgoing Wire",2)</f>
        <v>#NAME?</v>
      </c>
      <c r="R7" s="43" t="e">
        <f>dsd("Monthly Check Paid",2)</f>
        <v>#NAME?</v>
      </c>
      <c r="S7" s="43" t="e">
        <f>dsd("Monthly Other",2)</f>
        <v>#NAME?</v>
      </c>
      <c r="T7" s="45" t="e">
        <f>SUM(C7:J7,Q7:S7)</f>
        <v>#NULL!</v>
      </c>
      <c r="V7" s="43" t="e">
        <f>dsd("Monthly Credits &amp; Debits",2)</f>
        <v>#NAME?</v>
      </c>
    </row>
    <row r="8" ht="12.75" s="46" customFormat="true">
      <c r="A8" s="41" t="n">
        <f>IF(A7&lt;&gt;"",IF(MONTH(A7)=MONTH(A7+1),A7+1,""),"")</f>
        <v>42280.0</v>
      </c>
      <c r="B8" s="42"/>
      <c r="C8" s="43" t="e">
        <f>dsd("Monthly Opening Ledger",3)</f>
        <v>#NAME?</v>
      </c>
      <c r="D8" s="43" t="e">
        <f>dsd("Monthly Lockbox",3)</f>
        <v>#NAME?</v>
      </c>
      <c r="E8" s="43" t="e">
        <f>dsd("Monthly Incoming ACH",3)</f>
        <v>#NAME?</v>
      </c>
      <c r="F8" s="43" t="e">
        <f>dsd("Monthly Incoming Wire",3)</f>
        <v>#NAME?</v>
      </c>
      <c r="G8" s="43" t="e">
        <f>dsd("Monthly Commercial Deposit",3)</f>
        <v>#NAME?</v>
      </c>
      <c r="H8" s="43" t="e">
        <f>dsd("Monthly Loan Activity",3)</f>
        <v>#NAME?</v>
      </c>
      <c r="I8" s="43" t="e">
        <f>dsd("Monthly Outgoing ACH Other",3)</f>
        <v>#NAME?</v>
      </c>
      <c r="J8" s="43" t="e">
        <f>dsd("Monthly Outgoing ACH TMCW",3)</f>
        <v>#NAME?</v>
      </c>
      <c r="K8" s="44" t="e">
        <f>dsd("Contract Fuel",3)</f>
        <v>#NAME?</v>
      </c>
      <c r="L8" s="44" t="e">
        <f>dsd("Credit Cards",3)</f>
        <v>#NAME?</v>
      </c>
      <c r="M8" s="44" t="e">
        <f>dsd("Freight",3)</f>
        <v>#NAME?</v>
      </c>
      <c r="N8" s="44" t="e">
        <f>dsd("Tax",3)</f>
        <v>#NAME?</v>
      </c>
      <c r="O8" s="44" t="e">
        <f>dsd("Fuel Supplier",3)</f>
        <v>#NAME?</v>
      </c>
      <c r="P8" s="44" t="e">
        <f>dsd("Other",3)</f>
        <v>#NAME?</v>
      </c>
      <c r="Q8" s="43" t="e">
        <f>dsd("Monthly Outgoing Wire",3)</f>
        <v>#NAME?</v>
      </c>
      <c r="R8" s="43" t="e">
        <f>dsd("Monthly Check Paid",3)</f>
        <v>#NAME?</v>
      </c>
      <c r="S8" s="43" t="e">
        <f>dsd("Monthly Other",3)</f>
        <v>#NAME?</v>
      </c>
      <c r="T8" s="45" t="e">
        <f>SUM(C8:J8,Q8:S8)</f>
        <v>#NULL!</v>
      </c>
      <c r="V8" s="43" t="e">
        <f>dsd("Monthly Credits &amp; Debits",3)</f>
        <v>#NAME?</v>
      </c>
    </row>
    <row r="9" ht="12.75" s="46" customFormat="true">
      <c r="A9" s="41" t="n">
        <f>IF(A8&lt;&gt;"",IF(MONTH(A8)=MONTH(A8+1),A8+1,""),"")</f>
        <v>42281.0</v>
      </c>
      <c r="B9" s="42"/>
      <c r="C9" s="43" t="e">
        <f>dsd("Monthly Opening Ledger",4)</f>
        <v>#NAME?</v>
      </c>
      <c r="D9" s="43" t="e">
        <f>dsd("Monthly Lockbox",4)</f>
        <v>#NAME?</v>
      </c>
      <c r="E9" s="43" t="e">
        <f>dsd("Monthly Incoming ACH",4)</f>
        <v>#NAME?</v>
      </c>
      <c r="F9" s="43" t="e">
        <f>dsd("Monthly Incoming Wire",4)</f>
        <v>#NAME?</v>
      </c>
      <c r="G9" s="43" t="e">
        <f>dsd("Monthly Commercial Deposit",4)</f>
        <v>#NAME?</v>
      </c>
      <c r="H9" s="43" t="e">
        <f>dsd("Monthly Loan Activity",4)</f>
        <v>#NAME?</v>
      </c>
      <c r="I9" s="43" t="e">
        <f>dsd("Monthly Outgoing ACH Other",4)</f>
        <v>#NAME?</v>
      </c>
      <c r="J9" s="43" t="e">
        <f>dsd("Monthly Outgoing ACH TMCW",4)</f>
        <v>#NAME?</v>
      </c>
      <c r="K9" s="44" t="e">
        <f>dsd("Contract Fuel",4)</f>
        <v>#NAME?</v>
      </c>
      <c r="L9" s="44" t="e">
        <f>dsd("Credit Cards",4)</f>
        <v>#NAME?</v>
      </c>
      <c r="M9" s="44" t="e">
        <f>dsd("Freight",4)</f>
        <v>#NAME?</v>
      </c>
      <c r="N9" s="44" t="e">
        <f>dsd("Tax",4)</f>
        <v>#NAME?</v>
      </c>
      <c r="O9" s="44" t="e">
        <f>dsd("Fuel Supplier",4)</f>
        <v>#NAME?</v>
      </c>
      <c r="P9" s="44" t="e">
        <f>dsd("Other",4)</f>
        <v>#NAME?</v>
      </c>
      <c r="Q9" s="43" t="e">
        <f>dsd("Monthly Outgoing Wire",4)</f>
        <v>#NAME?</v>
      </c>
      <c r="R9" s="43" t="e">
        <f>dsd("Monthly Check Paid",4)</f>
        <v>#NAME?</v>
      </c>
      <c r="S9" s="43" t="e">
        <f>dsd("Monthly Other",4)</f>
        <v>#NAME?</v>
      </c>
      <c r="T9" s="45" t="e">
        <f>SUM(C9:J9,Q9:S9)</f>
        <v>#NULL!</v>
      </c>
      <c r="V9" s="43" t="e">
        <f>dsd("Monthly Credits &amp; Debits",4)</f>
        <v>#NAME?</v>
      </c>
    </row>
    <row r="10" ht="12.75" s="46" customFormat="true">
      <c r="A10" s="41" t="n">
        <f>IF(A9&lt;&gt;"",IF(MONTH(A9)=MONTH(A9+1),A9+1,""),"")</f>
        <v>42282.0</v>
      </c>
      <c r="B10" s="42"/>
      <c r="C10" s="43" t="e">
        <f>dsd("Monthly Opening Ledger",5)</f>
        <v>#NAME?</v>
      </c>
      <c r="D10" s="43" t="e">
        <f>dsd("Monthly Lockbox",5)</f>
        <v>#NAME?</v>
      </c>
      <c r="E10" s="43" t="e">
        <f>dsd("Monthly Incoming ACH",5)</f>
        <v>#NAME?</v>
      </c>
      <c r="F10" s="43" t="e">
        <f>dsd("Monthly Incoming Wire",5)</f>
        <v>#NAME?</v>
      </c>
      <c r="G10" s="43" t="e">
        <f>dsd("Monthly Commercial Deposit",5)</f>
        <v>#NAME?</v>
      </c>
      <c r="H10" s="43" t="e">
        <f>dsd("Monthly Loan Activity",5)</f>
        <v>#NAME?</v>
      </c>
      <c r="I10" s="43" t="e">
        <f>dsd("Monthly Outgoing ACH Other",5)</f>
        <v>#NAME?</v>
      </c>
      <c r="J10" s="43" t="e">
        <f>dsd("Monthly Outgoing ACH TMCW",5)</f>
        <v>#NAME?</v>
      </c>
      <c r="K10" s="44" t="e">
        <f>dsd("Contract Fuel",5)</f>
        <v>#NAME?</v>
      </c>
      <c r="L10" s="44" t="e">
        <f>dsd("Credit Cards",5)</f>
        <v>#NAME?</v>
      </c>
      <c r="M10" s="44" t="e">
        <f>dsd("Freight",5)</f>
        <v>#NAME?</v>
      </c>
      <c r="N10" s="44" t="e">
        <f>dsd("Tax",5)</f>
        <v>#NAME?</v>
      </c>
      <c r="O10" s="44" t="e">
        <f>dsd("Fuel Supplier",5)</f>
        <v>#NAME?</v>
      </c>
      <c r="P10" s="44" t="e">
        <f>dsd("Other",5)</f>
        <v>#NAME?</v>
      </c>
      <c r="Q10" s="43" t="e">
        <f>dsd("Monthly Outgoing Wire",5)</f>
        <v>#NAME?</v>
      </c>
      <c r="R10" s="43" t="e">
        <f>dsd("Monthly Check Paid",5)</f>
        <v>#NAME?</v>
      </c>
      <c r="S10" s="43" t="e">
        <f>dsd("Monthly Other",5)</f>
        <v>#NAME?</v>
      </c>
      <c r="T10" s="45" t="e">
        <f>SUM(C10:J10,Q10:S10)</f>
        <v>#NULL!</v>
      </c>
      <c r="V10" s="43" t="e">
        <f>dsd("Monthly Credits &amp; Debits",5)</f>
        <v>#NAME?</v>
      </c>
    </row>
    <row r="11" ht="12.75" s="46" customFormat="true">
      <c r="A11" s="41" t="n">
        <f>IF(A10&lt;&gt;"",IF(MONTH(A10)=MONTH(A10+1),A10+1,""),"")</f>
        <v>42283.0</v>
      </c>
      <c r="B11" s="42"/>
      <c r="C11" s="43" t="e">
        <f>dsd("Monthly Opening Ledger",6)</f>
        <v>#NAME?</v>
      </c>
      <c r="D11" s="43" t="e">
        <f>dsd("Monthly Lockbox",6)</f>
        <v>#NAME?</v>
      </c>
      <c r="E11" s="43" t="e">
        <f>dsd("Monthly Incoming ACH",6)</f>
        <v>#NAME?</v>
      </c>
      <c r="F11" s="43" t="e">
        <f>dsd("Monthly Incoming Wire",6)</f>
        <v>#NAME?</v>
      </c>
      <c r="G11" s="43" t="e">
        <f>dsd("Monthly Commercial Deposit",6)</f>
        <v>#NAME?</v>
      </c>
      <c r="H11" s="43" t="e">
        <f>dsd("Monthly Loan Activity",6)</f>
        <v>#NAME?</v>
      </c>
      <c r="I11" s="43" t="e">
        <f>dsd("Monthly Outgoing ACH Other",6)</f>
        <v>#NAME?</v>
      </c>
      <c r="J11" s="43" t="e">
        <f>dsd("Monthly Outgoing ACH TMCW",6)</f>
        <v>#NAME?</v>
      </c>
      <c r="K11" s="44" t="e">
        <f>dsd("Contract Fuel",6)</f>
        <v>#NAME?</v>
      </c>
      <c r="L11" s="44" t="e">
        <f>dsd("Credit Cards",6)</f>
        <v>#NAME?</v>
      </c>
      <c r="M11" s="44" t="e">
        <f>dsd("Freight",6)</f>
        <v>#NAME?</v>
      </c>
      <c r="N11" s="44" t="e">
        <f>dsd("Tax",6)</f>
        <v>#NAME?</v>
      </c>
      <c r="O11" s="44" t="e">
        <f>dsd("Fuel Supplier",6)</f>
        <v>#NAME?</v>
      </c>
      <c r="P11" s="44" t="e">
        <f>dsd("Other",6)</f>
        <v>#NAME?</v>
      </c>
      <c r="Q11" s="43" t="e">
        <f>dsd("Monthly Outgoing Wire",6)</f>
        <v>#NAME?</v>
      </c>
      <c r="R11" s="43" t="e">
        <f>dsd("Monthly Check Paid",6)</f>
        <v>#NAME?</v>
      </c>
      <c r="S11" s="43" t="e">
        <f>dsd("Monthly Other",6)</f>
        <v>#NAME?</v>
      </c>
      <c r="T11" s="45" t="e">
        <f>SUM(C11:J11,Q11:S11)</f>
        <v>#NULL!</v>
      </c>
      <c r="V11" s="43" t="e">
        <f>dsd("Monthly Credits &amp; Debits",6)</f>
        <v>#NAME?</v>
      </c>
    </row>
    <row r="12" ht="12.75" s="46" customFormat="true">
      <c r="A12" s="41" t="n">
        <f>IF(A11&lt;&gt;"",IF(MONTH(A11)=MONTH(A11+1),A11+1,""),"")</f>
        <v>42284.0</v>
      </c>
      <c r="B12" s="42"/>
      <c r="C12" s="43" t="e">
        <f>dsd("Monthly Opening Ledger",7)</f>
        <v>#NAME?</v>
      </c>
      <c r="D12" s="43" t="e">
        <f>dsd("Monthly Lockbox",7)</f>
        <v>#NAME?</v>
      </c>
      <c r="E12" s="43" t="e">
        <f>dsd("Monthly Incoming ACH",7)</f>
        <v>#NAME?</v>
      </c>
      <c r="F12" s="43" t="e">
        <f>dsd("Monthly Incoming Wire",7)</f>
        <v>#NAME?</v>
      </c>
      <c r="G12" s="43" t="e">
        <f>dsd("Monthly Commercial Deposit",7)</f>
        <v>#NAME?</v>
      </c>
      <c r="H12" s="43" t="e">
        <f>dsd("Monthly Loan Activity",7)</f>
        <v>#NAME?</v>
      </c>
      <c r="I12" s="43" t="e">
        <f>dsd("Monthly Outgoing ACH Other",7)</f>
        <v>#NAME?</v>
      </c>
      <c r="J12" s="43" t="e">
        <f>dsd("Monthly Outgoing ACH TMCW",7)</f>
        <v>#NAME?</v>
      </c>
      <c r="K12" s="44" t="e">
        <f>dsd("Contract Fuel",7)</f>
        <v>#NAME?</v>
      </c>
      <c r="L12" s="44" t="e">
        <f>dsd("Credit Cards",7)</f>
        <v>#NAME?</v>
      </c>
      <c r="M12" s="44" t="e">
        <f>dsd("Freight",7)</f>
        <v>#NAME?</v>
      </c>
      <c r="N12" s="44" t="e">
        <f>dsd("Tax",7)</f>
        <v>#NAME?</v>
      </c>
      <c r="O12" s="44" t="e">
        <f>dsd("Fuel Supplier",7)</f>
        <v>#NAME?</v>
      </c>
      <c r="P12" s="44" t="e">
        <f>dsd("Other",7)</f>
        <v>#NAME?</v>
      </c>
      <c r="Q12" s="43" t="e">
        <f>dsd("Monthly Outgoing Wire",7)</f>
        <v>#NAME?</v>
      </c>
      <c r="R12" s="43" t="e">
        <f>dsd("Monthly Check Paid",7)</f>
        <v>#NAME?</v>
      </c>
      <c r="S12" s="43" t="e">
        <f>dsd("Monthly Other",7)</f>
        <v>#NAME?</v>
      </c>
      <c r="T12" s="45" t="e">
        <f>SUM(C12:J12,Q12:S12)</f>
        <v>#NULL!</v>
      </c>
      <c r="V12" s="43" t="e">
        <f>dsd("Monthly Credits &amp; Debits",7)</f>
        <v>#NAME?</v>
      </c>
    </row>
    <row r="13" ht="12.75" s="46" customFormat="true">
      <c r="A13" s="41" t="n">
        <f>IF(A12&lt;&gt;"",IF(MONTH(A12)=MONTH(A12+1),A12+1,""),"")</f>
        <v>42285.0</v>
      </c>
      <c r="B13" s="42"/>
      <c r="C13" s="43" t="e">
        <f>dsd("Monthly Opening Ledger",8)</f>
        <v>#NAME?</v>
      </c>
      <c r="D13" s="43" t="e">
        <f>dsd("Monthly Lockbox",8)</f>
        <v>#NAME?</v>
      </c>
      <c r="E13" s="43" t="e">
        <f>dsd("Monthly Incoming ACH",8)</f>
        <v>#NAME?</v>
      </c>
      <c r="F13" s="43" t="e">
        <f>dsd("Monthly Incoming Wire",8)</f>
        <v>#NAME?</v>
      </c>
      <c r="G13" s="43" t="e">
        <f>dsd("Monthly Commercial Deposit",8)</f>
        <v>#NAME?</v>
      </c>
      <c r="H13" s="43" t="e">
        <f>dsd("Monthly Loan Activity",8)</f>
        <v>#NAME?</v>
      </c>
      <c r="I13" s="43" t="e">
        <f>dsd("Monthly Outgoing ACH Other",8)</f>
        <v>#NAME?</v>
      </c>
      <c r="J13" s="43" t="e">
        <f>dsd("Monthly Outgoing ACH TMCW",8)</f>
        <v>#NAME?</v>
      </c>
      <c r="K13" s="44" t="e">
        <f>dsd("Contract Fuel",8)</f>
        <v>#NAME?</v>
      </c>
      <c r="L13" s="44" t="e">
        <f>dsd("Credit Cards",8)</f>
        <v>#NAME?</v>
      </c>
      <c r="M13" s="44" t="e">
        <f>dsd("Freight",8)</f>
        <v>#NAME?</v>
      </c>
      <c r="N13" s="44" t="e">
        <f>dsd("Tax",8)</f>
        <v>#NAME?</v>
      </c>
      <c r="O13" s="44" t="e">
        <f>dsd("Fuel Supplier",8)</f>
        <v>#NAME?</v>
      </c>
      <c r="P13" s="44" t="e">
        <f>dsd("Other",8)</f>
        <v>#NAME?</v>
      </c>
      <c r="Q13" s="43" t="e">
        <f>dsd("Monthly Outgoing Wire",8)</f>
        <v>#NAME?</v>
      </c>
      <c r="R13" s="43" t="e">
        <f>dsd("Monthly Check Paid",8)</f>
        <v>#NAME?</v>
      </c>
      <c r="S13" s="43" t="e">
        <f>dsd("Monthly Other",8)</f>
        <v>#NAME?</v>
      </c>
      <c r="T13" s="45" t="e">
        <f>SUM(C13:J13,Q13:S13)</f>
        <v>#NULL!</v>
      </c>
      <c r="V13" s="43" t="e">
        <f>dsd("Monthly Credits &amp; Debits",8)</f>
        <v>#NAME?</v>
      </c>
    </row>
    <row r="14" ht="12.75" s="46" customFormat="true">
      <c r="A14" s="41" t="n">
        <f>IF(A13&lt;&gt;"",IF(MONTH(A13)=MONTH(A13+1),A13+1,""),"")</f>
        <v>42286.0</v>
      </c>
      <c r="B14" s="42"/>
      <c r="C14" s="43" t="e">
        <f>dsd("Monthly Opening Ledger",9)</f>
        <v>#NAME?</v>
      </c>
      <c r="D14" s="43" t="e">
        <f>dsd("Monthly Lockbox",9)</f>
        <v>#NAME?</v>
      </c>
      <c r="E14" s="43" t="e">
        <f>dsd("Monthly Incoming ACH",9)</f>
        <v>#NAME?</v>
      </c>
      <c r="F14" s="43" t="e">
        <f>dsd("Monthly Incoming Wire",9)</f>
        <v>#NAME?</v>
      </c>
      <c r="G14" s="43" t="e">
        <f>dsd("Monthly Commercial Deposit",9)</f>
        <v>#NAME?</v>
      </c>
      <c r="H14" s="43" t="e">
        <f>dsd("Monthly Loan Activity",9)</f>
        <v>#NAME?</v>
      </c>
      <c r="I14" s="43" t="e">
        <f>dsd("Monthly Outgoing ACH Other",9)</f>
        <v>#NAME?</v>
      </c>
      <c r="J14" s="43" t="e">
        <f>dsd("Monthly Outgoing ACH TMCW",9)</f>
        <v>#NAME?</v>
      </c>
      <c r="K14" s="44" t="e">
        <f>dsd("Contract Fuel",9)</f>
        <v>#NAME?</v>
      </c>
      <c r="L14" s="44" t="e">
        <f>dsd("Credit Cards",9)</f>
        <v>#NAME?</v>
      </c>
      <c r="M14" s="44" t="e">
        <f>dsd("Freight",9)</f>
        <v>#NAME?</v>
      </c>
      <c r="N14" s="44" t="e">
        <f>dsd("Tax",9)</f>
        <v>#NAME?</v>
      </c>
      <c r="O14" s="44" t="e">
        <f>dsd("Fuel Supplier",9)</f>
        <v>#NAME?</v>
      </c>
      <c r="P14" s="44" t="e">
        <f>dsd("Other",9)</f>
        <v>#NAME?</v>
      </c>
      <c r="Q14" s="43" t="e">
        <f>dsd("Monthly Outgoing Wire",9)</f>
        <v>#NAME?</v>
      </c>
      <c r="R14" s="43" t="e">
        <f>dsd("Monthly Check Paid",9)</f>
        <v>#NAME?</v>
      </c>
      <c r="S14" s="43" t="e">
        <f>dsd("Monthly Other",9)</f>
        <v>#NAME?</v>
      </c>
      <c r="T14" s="45" t="e">
        <f>SUM(C14:J14,Q14:S14)</f>
        <v>#NULL!</v>
      </c>
      <c r="V14" s="43" t="e">
        <f>dsd("Monthly Credits &amp; Debits",9)</f>
        <v>#NAME?</v>
      </c>
    </row>
    <row r="15" ht="12.75" s="46" customFormat="true">
      <c r="A15" s="41" t="n">
        <f>IF(A14&lt;&gt;"",IF(MONTH(A14)=MONTH(A14+1),A14+1,""),"")</f>
        <v>42287.0</v>
      </c>
      <c r="B15" s="42"/>
      <c r="C15" s="43" t="e">
        <f>dsd("Monthly Opening Ledger",10)</f>
        <v>#NAME?</v>
      </c>
      <c r="D15" s="43" t="e">
        <f>dsd("Monthly Lockbox",10)</f>
        <v>#NAME?</v>
      </c>
      <c r="E15" s="43" t="e">
        <f>dsd("Monthly Incoming ACH",10)</f>
        <v>#NAME?</v>
      </c>
      <c r="F15" s="43" t="e">
        <f>dsd("Monthly Incoming Wire",10)</f>
        <v>#NAME?</v>
      </c>
      <c r="G15" s="43" t="e">
        <f>dsd("Monthly Commercial Deposit",10)</f>
        <v>#NAME?</v>
      </c>
      <c r="H15" s="43" t="e">
        <f>dsd("Monthly Loan Activity",10)</f>
        <v>#NAME?</v>
      </c>
      <c r="I15" s="43" t="e">
        <f>dsd("Monthly Outgoing ACH Other",10)</f>
        <v>#NAME?</v>
      </c>
      <c r="J15" s="43" t="e">
        <f>dsd("Monthly Outgoing ACH TMCW",10)</f>
        <v>#NAME?</v>
      </c>
      <c r="K15" s="44" t="e">
        <f>dsd("Contract Fuel",10)</f>
        <v>#NAME?</v>
      </c>
      <c r="L15" s="44" t="e">
        <f>dsd("Credit Cards",10)</f>
        <v>#NAME?</v>
      </c>
      <c r="M15" s="44" t="e">
        <f>dsd("Freight",10)</f>
        <v>#NAME?</v>
      </c>
      <c r="N15" s="44" t="e">
        <f>dsd("Tax",10)</f>
        <v>#NAME?</v>
      </c>
      <c r="O15" s="44" t="e">
        <f>dsd("Fuel Supplier",10)</f>
        <v>#NAME?</v>
      </c>
      <c r="P15" s="44" t="e">
        <f>dsd("Other",10)</f>
        <v>#NAME?</v>
      </c>
      <c r="Q15" s="43" t="e">
        <f>dsd("Monthly Outgoing Wire",10)</f>
        <v>#NAME?</v>
      </c>
      <c r="R15" s="43" t="e">
        <f>dsd("Monthly Check Paid",10)</f>
        <v>#NAME?</v>
      </c>
      <c r="S15" s="43" t="e">
        <f>dsd("Monthly Other",10)</f>
        <v>#NAME?</v>
      </c>
      <c r="T15" s="45" t="e">
        <f>SUM(C15:J15,Q15:S15)</f>
        <v>#NULL!</v>
      </c>
      <c r="V15" s="43" t="e">
        <f>dsd("Monthly Credits &amp; Debits",10)</f>
        <v>#NAME?</v>
      </c>
    </row>
    <row r="16" ht="12.75" s="46" customFormat="true">
      <c r="A16" s="41" t="n">
        <f>IF(A15&lt;&gt;"",IF(MONTH(A15)=MONTH(A15+1),A15+1,""),"")</f>
        <v>42288.0</v>
      </c>
      <c r="B16" s="42"/>
      <c r="C16" s="43" t="e">
        <f>dsd("Monthly Opening Ledger",11)</f>
        <v>#NAME?</v>
      </c>
      <c r="D16" s="43" t="e">
        <f>dsd("Monthly Lockbox",11)</f>
        <v>#NAME?</v>
      </c>
      <c r="E16" s="43" t="e">
        <f>dsd("Monthly Incoming ACH",11)</f>
        <v>#NAME?</v>
      </c>
      <c r="F16" s="43" t="e">
        <f>dsd("Monthly Incoming Wire",11)</f>
        <v>#NAME?</v>
      </c>
      <c r="G16" s="43" t="e">
        <f>dsd("Monthly Commercial Deposit",11)</f>
        <v>#NAME?</v>
      </c>
      <c r="H16" s="43" t="e">
        <f>dsd("Monthly Loan Activity",11)</f>
        <v>#NAME?</v>
      </c>
      <c r="I16" s="43" t="e">
        <f>dsd("Monthly Outgoing ACH Other",11)</f>
        <v>#NAME?</v>
      </c>
      <c r="J16" s="43" t="e">
        <f>dsd("Monthly Outgoing ACH TMCW",11)</f>
        <v>#NAME?</v>
      </c>
      <c r="K16" s="44" t="e">
        <f>dsd("Contract Fuel",11)</f>
        <v>#NAME?</v>
      </c>
      <c r="L16" s="44" t="e">
        <f>dsd("Credit Cards",11)</f>
        <v>#NAME?</v>
      </c>
      <c r="M16" s="44" t="e">
        <f>dsd("Freight",11)</f>
        <v>#NAME?</v>
      </c>
      <c r="N16" s="44" t="e">
        <f>dsd("Tax",11)</f>
        <v>#NAME?</v>
      </c>
      <c r="O16" s="44" t="e">
        <f>dsd("Fuel Supplier",11)</f>
        <v>#NAME?</v>
      </c>
      <c r="P16" s="44" t="e">
        <f>dsd("Other",11)</f>
        <v>#NAME?</v>
      </c>
      <c r="Q16" s="43" t="e">
        <f>dsd("Monthly Outgoing Wire",11)</f>
        <v>#NAME?</v>
      </c>
      <c r="R16" s="43" t="e">
        <f>dsd("Monthly Check Paid",11)</f>
        <v>#NAME?</v>
      </c>
      <c r="S16" s="43" t="e">
        <f>dsd("Monthly Other",11)</f>
        <v>#NAME?</v>
      </c>
      <c r="T16" s="45" t="e">
        <f>SUM(C16:J16,Q16:S16)</f>
        <v>#NULL!</v>
      </c>
      <c r="V16" s="43" t="e">
        <f>dsd("Monthly Credits &amp; Debits",11)</f>
        <v>#NAME?</v>
      </c>
    </row>
    <row r="17" ht="12.75" s="46" customFormat="true">
      <c r="A17" s="41" t="n">
        <f>IF(A16&lt;&gt;"",IF(MONTH(A16)=MONTH(A16+1),A16+1,""),"")</f>
        <v>42289.0</v>
      </c>
      <c r="B17" s="42"/>
      <c r="C17" s="43" t="e">
        <f>dsd("Monthly Opening Ledger",12)</f>
        <v>#NAME?</v>
      </c>
      <c r="D17" s="43" t="e">
        <f>dsd("Monthly Lockbox",12)</f>
        <v>#NAME?</v>
      </c>
      <c r="E17" s="43" t="e">
        <f>dsd("Monthly Incoming ACH",12)</f>
        <v>#NAME?</v>
      </c>
      <c r="F17" s="43" t="e">
        <f>dsd("Monthly Incoming Wire",12)</f>
        <v>#NAME?</v>
      </c>
      <c r="G17" s="43" t="e">
        <f>dsd("Monthly Commercial Deposit",12)</f>
        <v>#NAME?</v>
      </c>
      <c r="H17" s="43" t="e">
        <f>dsd("Monthly Loan Activity",12)</f>
        <v>#NAME?</v>
      </c>
      <c r="I17" s="43" t="e">
        <f>dsd("Monthly Outgoing ACH Other",12)</f>
        <v>#NAME?</v>
      </c>
      <c r="J17" s="43" t="e">
        <f>dsd("Monthly Outgoing ACH TMCW",12)</f>
        <v>#NAME?</v>
      </c>
      <c r="K17" s="44" t="e">
        <f>dsd("Contract Fuel",12)</f>
        <v>#NAME?</v>
      </c>
      <c r="L17" s="44" t="e">
        <f>dsd("Credit Cards",12)</f>
        <v>#NAME?</v>
      </c>
      <c r="M17" s="44" t="e">
        <f>dsd("Freight",12)</f>
        <v>#NAME?</v>
      </c>
      <c r="N17" s="44" t="e">
        <f>dsd("Tax",12)</f>
        <v>#NAME?</v>
      </c>
      <c r="O17" s="44" t="e">
        <f>dsd("Fuel Supplier",12)</f>
        <v>#NAME?</v>
      </c>
      <c r="P17" s="44" t="e">
        <f>dsd("Other",12)</f>
        <v>#NAME?</v>
      </c>
      <c r="Q17" s="43" t="e">
        <f>dsd("Monthly Outgoing Wire",12)</f>
        <v>#NAME?</v>
      </c>
      <c r="R17" s="43" t="e">
        <f>dsd("Monthly Check Paid",12)</f>
        <v>#NAME?</v>
      </c>
      <c r="S17" s="43" t="e">
        <f>dsd("Monthly Other",12)</f>
        <v>#NAME?</v>
      </c>
      <c r="T17" s="45" t="e">
        <f>SUM(C17:J17,Q17:S17)</f>
        <v>#NULL!</v>
      </c>
      <c r="V17" s="43" t="e">
        <f>dsd("Monthly Credits &amp; Debits",12)</f>
        <v>#NAME?</v>
      </c>
    </row>
    <row r="18" ht="12.75" s="46" customFormat="true">
      <c r="A18" s="41" t="n">
        <f>IF(A17&lt;&gt;"",IF(MONTH(A17)=MONTH(A17+1),A17+1,""),"")</f>
        <v>42290.0</v>
      </c>
      <c r="B18" s="42"/>
      <c r="C18" s="43" t="e">
        <f>dsd("Monthly Opening Ledger",13)</f>
        <v>#NAME?</v>
      </c>
      <c r="D18" s="43" t="e">
        <f>dsd("Monthly Lockbox",13)</f>
        <v>#NAME?</v>
      </c>
      <c r="E18" s="43" t="e">
        <f>dsd("Monthly Incoming ACH",13)</f>
        <v>#NAME?</v>
      </c>
      <c r="F18" s="43" t="e">
        <f>dsd("Monthly Incoming Wire",13)</f>
        <v>#NAME?</v>
      </c>
      <c r="G18" s="43" t="e">
        <f>dsd("Monthly Commercial Deposit",13)</f>
        <v>#NAME?</v>
      </c>
      <c r="H18" s="43" t="e">
        <f>dsd("Monthly Loan Activity",13)</f>
        <v>#NAME?</v>
      </c>
      <c r="I18" s="43" t="e">
        <f>dsd("Monthly Outgoing ACH Other",13)</f>
        <v>#NAME?</v>
      </c>
      <c r="J18" s="43" t="e">
        <f>dsd("Monthly Outgoing ACH TMCW",13)</f>
        <v>#NAME?</v>
      </c>
      <c r="K18" s="44" t="e">
        <f>dsd("Contract Fuel",13)</f>
        <v>#NAME?</v>
      </c>
      <c r="L18" s="44" t="e">
        <f>dsd("Credit Cards",13)</f>
        <v>#NAME?</v>
      </c>
      <c r="M18" s="44" t="e">
        <f>dsd("Freight",13)</f>
        <v>#NAME?</v>
      </c>
      <c r="N18" s="44" t="e">
        <f>dsd("Tax",13)</f>
        <v>#NAME?</v>
      </c>
      <c r="O18" s="44" t="e">
        <f>dsd("Fuel Supplier",13)</f>
        <v>#NAME?</v>
      </c>
      <c r="P18" s="44" t="e">
        <f>dsd("Other",13)</f>
        <v>#NAME?</v>
      </c>
      <c r="Q18" s="43" t="e">
        <f>dsd("Monthly Outgoing Wire",13)</f>
        <v>#NAME?</v>
      </c>
      <c r="R18" s="43" t="e">
        <f>dsd("Monthly Check Paid",13)</f>
        <v>#NAME?</v>
      </c>
      <c r="S18" s="43" t="e">
        <f>dsd("Monthly Other",13)</f>
        <v>#NAME?</v>
      </c>
      <c r="T18" s="45" t="e">
        <f>SUM(C18:J18,Q18:S18)</f>
        <v>#NULL!</v>
      </c>
      <c r="V18" s="43" t="e">
        <f>dsd("Monthly Credits &amp; Debits",13)</f>
        <v>#NAME?</v>
      </c>
    </row>
    <row r="19" ht="12.75" s="46" customFormat="true">
      <c r="A19" s="41" t="n">
        <f>IF(A18&lt;&gt;"",IF(MONTH(A18)=MONTH(A18+1),A18+1,""),"")</f>
        <v>42291.0</v>
      </c>
      <c r="B19" s="42"/>
      <c r="C19" s="43" t="e">
        <f>dsd("Monthly Opening Ledger",14)</f>
        <v>#NAME?</v>
      </c>
      <c r="D19" s="43" t="e">
        <f>dsd("Monthly Lockbox",14)</f>
        <v>#NAME?</v>
      </c>
      <c r="E19" s="43" t="e">
        <f>dsd("Monthly Incoming ACH",14)</f>
        <v>#NAME?</v>
      </c>
      <c r="F19" s="43" t="e">
        <f>dsd("Monthly Incoming Wire",14)</f>
        <v>#NAME?</v>
      </c>
      <c r="G19" s="43" t="e">
        <f>dsd("Monthly Commercial Deposit",14)</f>
        <v>#NAME?</v>
      </c>
      <c r="H19" s="43" t="e">
        <f>dsd("Monthly Loan Activity",14)</f>
        <v>#NAME?</v>
      </c>
      <c r="I19" s="43" t="e">
        <f>dsd("Monthly Outgoing ACH Other",14)</f>
        <v>#NAME?</v>
      </c>
      <c r="J19" s="43" t="e">
        <f>dsd("Monthly Outgoing ACH TMCW",14)</f>
        <v>#NAME?</v>
      </c>
      <c r="K19" s="44" t="e">
        <f>dsd("Contract Fuel",14)</f>
        <v>#NAME?</v>
      </c>
      <c r="L19" s="44" t="e">
        <f>dsd("Credit Cards",14)</f>
        <v>#NAME?</v>
      </c>
      <c r="M19" s="44" t="e">
        <f>dsd("Freight",14)</f>
        <v>#NAME?</v>
      </c>
      <c r="N19" s="44" t="e">
        <f>dsd("Tax",14)</f>
        <v>#NAME?</v>
      </c>
      <c r="O19" s="44" t="e">
        <f>dsd("Fuel Supplier",14)</f>
        <v>#NAME?</v>
      </c>
      <c r="P19" s="44" t="e">
        <f>dsd("Other",14)</f>
        <v>#NAME?</v>
      </c>
      <c r="Q19" s="43" t="e">
        <f>dsd("Monthly Outgoing Wire",14)</f>
        <v>#NAME?</v>
      </c>
      <c r="R19" s="43" t="e">
        <f>dsd("Monthly Check Paid",14)</f>
        <v>#NAME?</v>
      </c>
      <c r="S19" s="43" t="e">
        <f>dsd("Monthly Other",14)</f>
        <v>#NAME?</v>
      </c>
      <c r="T19" s="45" t="e">
        <f>SUM(C19:J19,Q19:S19)</f>
        <v>#NULL!</v>
      </c>
      <c r="V19" s="43" t="e">
        <f>dsd("Monthly Credits &amp; Debits",14)</f>
        <v>#NAME?</v>
      </c>
    </row>
    <row r="20" ht="12.75" s="46" customFormat="true">
      <c r="A20" s="41" t="n">
        <f>IF(A19&lt;&gt;"",IF(MONTH(A19)=MONTH(A19+1),A19+1,""),"")</f>
        <v>42292.0</v>
      </c>
      <c r="B20" s="42"/>
      <c r="C20" s="43" t="e">
        <f>dsd("Monthly Opening Ledger",15)</f>
        <v>#NAME?</v>
      </c>
      <c r="D20" s="43" t="e">
        <f>dsd("Monthly Lockbox",15)</f>
        <v>#NAME?</v>
      </c>
      <c r="E20" s="43" t="e">
        <f>dsd("Monthly Incoming ACH",15)</f>
        <v>#NAME?</v>
      </c>
      <c r="F20" s="43" t="e">
        <f>dsd("Monthly Incoming Wire",15)</f>
        <v>#NAME?</v>
      </c>
      <c r="G20" s="43" t="e">
        <f>dsd("Monthly Commercial Deposit",15)</f>
        <v>#NAME?</v>
      </c>
      <c r="H20" s="43" t="e">
        <f>dsd("Monthly Loan Activity",15)</f>
        <v>#NAME?</v>
      </c>
      <c r="I20" s="43" t="e">
        <f>dsd("Monthly Outgoing ACH Other",15)</f>
        <v>#NAME?</v>
      </c>
      <c r="J20" s="43" t="e">
        <f>dsd("Monthly Outgoing ACH TMCW",15)</f>
        <v>#NAME?</v>
      </c>
      <c r="K20" s="44" t="e">
        <f>dsd("Contract Fuel",15)</f>
        <v>#NAME?</v>
      </c>
      <c r="L20" s="44" t="e">
        <f>dsd("Credit Cards",15)</f>
        <v>#NAME?</v>
      </c>
      <c r="M20" s="44" t="e">
        <f>dsd("Freight",15)</f>
        <v>#NAME?</v>
      </c>
      <c r="N20" s="44" t="e">
        <f>dsd("Tax",15)</f>
        <v>#NAME?</v>
      </c>
      <c r="O20" s="44" t="e">
        <f>dsd("Fuel Supplier",15)</f>
        <v>#NAME?</v>
      </c>
      <c r="P20" s="44" t="e">
        <f>dsd("Other",15)</f>
        <v>#NAME?</v>
      </c>
      <c r="Q20" s="43" t="e">
        <f>dsd("Monthly Outgoing Wire",15)</f>
        <v>#NAME?</v>
      </c>
      <c r="R20" s="43" t="e">
        <f>dsd("Monthly Check Paid",15)</f>
        <v>#NAME?</v>
      </c>
      <c r="S20" s="43" t="e">
        <f>dsd("Monthly Other",15)</f>
        <v>#NAME?</v>
      </c>
      <c r="T20" s="45" t="e">
        <f>SUM(C20:J20,Q20:S20)</f>
        <v>#NULL!</v>
      </c>
      <c r="V20" s="43" t="e">
        <f>dsd("Monthly Credits &amp; Debits",15)</f>
        <v>#NAME?</v>
      </c>
    </row>
    <row r="21" ht="12.75" s="46" customFormat="true">
      <c r="A21" s="41" t="n">
        <f>IF(A20&lt;&gt;"",IF(MONTH(A20)=MONTH(A20+1),A20+1,""),"")</f>
        <v>42293.0</v>
      </c>
      <c r="B21" s="42"/>
      <c r="C21" s="43" t="e">
        <f>dsd("Monthly Opening Ledger",16)</f>
        <v>#NAME?</v>
      </c>
      <c r="D21" s="43" t="e">
        <f>dsd("Monthly Lockbox",16)</f>
        <v>#NAME?</v>
      </c>
      <c r="E21" s="43" t="e">
        <f>dsd("Monthly Incoming ACH",16)</f>
        <v>#NAME?</v>
      </c>
      <c r="F21" s="43" t="e">
        <f>dsd("Monthly Incoming Wire",16)</f>
        <v>#NAME?</v>
      </c>
      <c r="G21" s="43" t="e">
        <f>dsd("Monthly Commercial Deposit",16)</f>
        <v>#NAME?</v>
      </c>
      <c r="H21" s="43" t="e">
        <f>dsd("Monthly Loan Activity",16)</f>
        <v>#NAME?</v>
      </c>
      <c r="I21" s="43" t="e">
        <f>dsd("Monthly Outgoing ACH Other",16)</f>
        <v>#NAME?</v>
      </c>
      <c r="J21" s="43" t="e">
        <f>dsd("Monthly Outgoing ACH TMCW",16)</f>
        <v>#NAME?</v>
      </c>
      <c r="K21" s="44" t="e">
        <f>dsd("Contract Fuel",16)</f>
        <v>#NAME?</v>
      </c>
      <c r="L21" s="44" t="e">
        <f>dsd("Credit Cards",16)</f>
        <v>#NAME?</v>
      </c>
      <c r="M21" s="44" t="e">
        <f>dsd("Freight",16)</f>
        <v>#NAME?</v>
      </c>
      <c r="N21" s="44" t="e">
        <f>dsd("Tax",16)</f>
        <v>#NAME?</v>
      </c>
      <c r="O21" s="44" t="e">
        <f>dsd("Fuel Supplier",16)</f>
        <v>#NAME?</v>
      </c>
      <c r="P21" s="44" t="e">
        <f>dsd("Other",16)</f>
        <v>#NAME?</v>
      </c>
      <c r="Q21" s="43" t="e">
        <f>dsd("Monthly Outgoing Wire",16)</f>
        <v>#NAME?</v>
      </c>
      <c r="R21" s="43" t="e">
        <f>dsd("Monthly Check Paid",16)</f>
        <v>#NAME?</v>
      </c>
      <c r="S21" s="43" t="e">
        <f>dsd("Monthly Other",16)</f>
        <v>#NAME?</v>
      </c>
      <c r="T21" s="45" t="e">
        <f>SUM(C21:J21,Q21:S21)</f>
        <v>#NULL!</v>
      </c>
      <c r="V21" s="43" t="e">
        <f>dsd("Monthly Credits &amp; Debits",16)</f>
        <v>#NAME?</v>
      </c>
    </row>
    <row r="22" ht="12.75" s="46" customFormat="true">
      <c r="A22" s="41" t="n">
        <f>IF(A21&lt;&gt;"",IF(MONTH(A21)=MONTH(A21+1),A21+1,""),"")</f>
        <v>42294.0</v>
      </c>
      <c r="B22" s="42"/>
      <c r="C22" s="43" t="e">
        <f>dsd("Monthly Opening Ledger",17)</f>
        <v>#NAME?</v>
      </c>
      <c r="D22" s="43" t="e">
        <f>dsd("Monthly Lockbox",17)</f>
        <v>#NAME?</v>
      </c>
      <c r="E22" s="43" t="e">
        <f>dsd("Monthly Incoming ACH",17)</f>
        <v>#NAME?</v>
      </c>
      <c r="F22" s="43" t="e">
        <f>dsd("Monthly Incoming Wire",17)</f>
        <v>#NAME?</v>
      </c>
      <c r="G22" s="43" t="e">
        <f>dsd("Monthly Commercial Deposit",17)</f>
        <v>#NAME?</v>
      </c>
      <c r="H22" s="43" t="e">
        <f>dsd("Monthly Loan Activity",17)</f>
        <v>#NAME?</v>
      </c>
      <c r="I22" s="43" t="e">
        <f>dsd("Monthly Outgoing ACH Other",17)</f>
        <v>#NAME?</v>
      </c>
      <c r="J22" s="43" t="e">
        <f>dsd("Monthly Outgoing ACH TMCW",17)</f>
        <v>#NAME?</v>
      </c>
      <c r="K22" s="44" t="e">
        <f>dsd("Contract Fuel",17)</f>
        <v>#NAME?</v>
      </c>
      <c r="L22" s="44" t="e">
        <f>dsd("Credit Cards",17)</f>
        <v>#NAME?</v>
      </c>
      <c r="M22" s="44" t="e">
        <f>dsd("Freight",17)</f>
        <v>#NAME?</v>
      </c>
      <c r="N22" s="44" t="e">
        <f>dsd("Tax",17)</f>
        <v>#NAME?</v>
      </c>
      <c r="O22" s="44" t="e">
        <f>dsd("Fuel Supplier",17)</f>
        <v>#NAME?</v>
      </c>
      <c r="P22" s="44" t="e">
        <f>dsd("Other",17)</f>
        <v>#NAME?</v>
      </c>
      <c r="Q22" s="43" t="e">
        <f>dsd("Monthly Outgoing Wire",17)</f>
        <v>#NAME?</v>
      </c>
      <c r="R22" s="43" t="e">
        <f>dsd("Monthly Check Paid",17)</f>
        <v>#NAME?</v>
      </c>
      <c r="S22" s="43" t="e">
        <f>dsd("Monthly Other",17)</f>
        <v>#NAME?</v>
      </c>
      <c r="T22" s="45" t="e">
        <f>SUM(C22:J22,Q22:S22)</f>
        <v>#NULL!</v>
      </c>
      <c r="V22" s="43" t="e">
        <f>dsd("Monthly Credits &amp; Debits",17)</f>
        <v>#NAME?</v>
      </c>
    </row>
    <row r="23" ht="12.75" s="46" customFormat="true">
      <c r="A23" s="41" t="n">
        <f>IF(A22&lt;&gt;"",IF(MONTH(A22)=MONTH(A22+1),A22+1,""),"")</f>
        <v>42295.0</v>
      </c>
      <c r="B23" s="42"/>
      <c r="C23" s="43" t="e">
        <f>dsd("Monthly Opening Ledger",18)</f>
        <v>#NAME?</v>
      </c>
      <c r="D23" s="43" t="e">
        <f>dsd("Monthly Lockbox",18)</f>
        <v>#NAME?</v>
      </c>
      <c r="E23" s="43" t="e">
        <f>dsd("Monthly Incoming ACH",18)</f>
        <v>#NAME?</v>
      </c>
      <c r="F23" s="43" t="e">
        <f>dsd("Monthly Incoming Wire",18)</f>
        <v>#NAME?</v>
      </c>
      <c r="G23" s="43" t="e">
        <f>dsd("Monthly Commercial Deposit",18)</f>
        <v>#NAME?</v>
      </c>
      <c r="H23" s="43" t="e">
        <f>dsd("Monthly Loan Activity",18)</f>
        <v>#NAME?</v>
      </c>
      <c r="I23" s="43" t="e">
        <f>dsd("Monthly Outgoing ACH Other",18)</f>
        <v>#NAME?</v>
      </c>
      <c r="J23" s="43" t="e">
        <f>dsd("Monthly Outgoing ACH TMCW",18)</f>
        <v>#NAME?</v>
      </c>
      <c r="K23" s="44" t="e">
        <f>dsd("Contract Fuel",18)</f>
        <v>#NAME?</v>
      </c>
      <c r="L23" s="44" t="e">
        <f>dsd("Credit Cards",18)</f>
        <v>#NAME?</v>
      </c>
      <c r="M23" s="44" t="e">
        <f>dsd("Freight",18)</f>
        <v>#NAME?</v>
      </c>
      <c r="N23" s="44" t="e">
        <f>dsd("Tax",18)</f>
        <v>#NAME?</v>
      </c>
      <c r="O23" s="44" t="e">
        <f>dsd("Fuel Supplier",18)</f>
        <v>#NAME?</v>
      </c>
      <c r="P23" s="44" t="e">
        <f>dsd("Other",18)</f>
        <v>#NAME?</v>
      </c>
      <c r="Q23" s="43" t="e">
        <f>dsd("Monthly Outgoing Wire",18)</f>
        <v>#NAME?</v>
      </c>
      <c r="R23" s="43" t="e">
        <f>dsd("Monthly Check Paid",18)</f>
        <v>#NAME?</v>
      </c>
      <c r="S23" s="43" t="e">
        <f>dsd("Monthly Other",18)</f>
        <v>#NAME?</v>
      </c>
      <c r="T23" s="45" t="e">
        <f>SUM(C23:J23,Q23:S23)</f>
        <v>#NULL!</v>
      </c>
      <c r="V23" s="43" t="e">
        <f>dsd("Monthly Credits &amp; Debits",18)</f>
        <v>#NAME?</v>
      </c>
    </row>
    <row r="24" ht="12.75" s="46" customFormat="true">
      <c r="A24" s="41" t="n">
        <f>IF(A23&lt;&gt;"",IF(MONTH(A23)=MONTH(A23+1),A23+1,""),"")</f>
        <v>42296.0</v>
      </c>
      <c r="B24" s="42"/>
      <c r="C24" s="43" t="e">
        <f>dsd("Monthly Opening Ledger",19)</f>
        <v>#NAME?</v>
      </c>
      <c r="D24" s="43" t="e">
        <f>dsd("Monthly Lockbox",19)</f>
        <v>#NAME?</v>
      </c>
      <c r="E24" s="43" t="e">
        <f>dsd("Monthly Incoming ACH",19)</f>
        <v>#NAME?</v>
      </c>
      <c r="F24" s="43" t="e">
        <f>dsd("Monthly Incoming Wire",19)</f>
        <v>#NAME?</v>
      </c>
      <c r="G24" s="43" t="e">
        <f>dsd("Monthly Commercial Deposit",19)</f>
        <v>#NAME?</v>
      </c>
      <c r="H24" s="43" t="e">
        <f>dsd("Monthly Loan Activity",19)</f>
        <v>#NAME?</v>
      </c>
      <c r="I24" s="43" t="e">
        <f>dsd("Monthly Outgoing ACH Other",19)</f>
        <v>#NAME?</v>
      </c>
      <c r="J24" s="43" t="e">
        <f>dsd("Monthly Outgoing ACH TMCW",19)</f>
        <v>#NAME?</v>
      </c>
      <c r="K24" s="44" t="e">
        <f>dsd("Contract Fuel",19)</f>
        <v>#NAME?</v>
      </c>
      <c r="L24" s="44" t="e">
        <f>dsd("Credit Cards",19)</f>
        <v>#NAME?</v>
      </c>
      <c r="M24" s="44" t="e">
        <f>dsd("Freight",19)</f>
        <v>#NAME?</v>
      </c>
      <c r="N24" s="44" t="e">
        <f>dsd("Tax",19)</f>
        <v>#NAME?</v>
      </c>
      <c r="O24" s="44" t="e">
        <f>dsd("Fuel Supplier",19)</f>
        <v>#NAME?</v>
      </c>
      <c r="P24" s="44" t="e">
        <f>dsd("Other",19)</f>
        <v>#NAME?</v>
      </c>
      <c r="Q24" s="43" t="e">
        <f>dsd("Monthly Outgoing Wire",19)</f>
        <v>#NAME?</v>
      </c>
      <c r="R24" s="43" t="e">
        <f>dsd("Monthly Check Paid",19)</f>
        <v>#NAME?</v>
      </c>
      <c r="S24" s="43" t="e">
        <f>dsd("Monthly Other",19)</f>
        <v>#NAME?</v>
      </c>
      <c r="T24" s="45" t="e">
        <f>SUM(C24:J24,Q24:S24)</f>
        <v>#NULL!</v>
      </c>
      <c r="V24" s="43" t="e">
        <f>dsd("Monthly Credits &amp; Debits",19)</f>
        <v>#NAME?</v>
      </c>
    </row>
    <row r="25" ht="12.75" s="46" customFormat="true">
      <c r="A25" s="41" t="n">
        <f>IF(A24&lt;&gt;"",IF(MONTH(A24)=MONTH(A24+1),A24+1,""),"")</f>
        <v>42297.0</v>
      </c>
      <c r="B25" s="42"/>
      <c r="C25" s="43" t="e">
        <f>dsd("Monthly Opening Ledger",20)</f>
        <v>#NAME?</v>
      </c>
      <c r="D25" s="43" t="e">
        <f>dsd("Monthly Lockbox",20)</f>
        <v>#NAME?</v>
      </c>
      <c r="E25" s="43" t="e">
        <f>dsd("Monthly Incoming ACH",20)</f>
        <v>#NAME?</v>
      </c>
      <c r="F25" s="43" t="e">
        <f>dsd("Monthly Incoming Wire",20)</f>
        <v>#NAME?</v>
      </c>
      <c r="G25" s="43" t="e">
        <f>dsd("Monthly Commercial Deposit",20)</f>
        <v>#NAME?</v>
      </c>
      <c r="H25" s="43" t="e">
        <f>dsd("Monthly Loan Activity",20)</f>
        <v>#NAME?</v>
      </c>
      <c r="I25" s="43" t="e">
        <f>dsd("Monthly Outgoing ACH Other",20)</f>
        <v>#NAME?</v>
      </c>
      <c r="J25" s="43" t="e">
        <f>dsd("Monthly Outgoing ACH TMCW",20)</f>
        <v>#NAME?</v>
      </c>
      <c r="K25" s="44" t="e">
        <f>dsd("Contract Fuel",20)</f>
        <v>#NAME?</v>
      </c>
      <c r="L25" s="44" t="e">
        <f>dsd("Credit Cards",20)</f>
        <v>#NAME?</v>
      </c>
      <c r="M25" s="44" t="e">
        <f>dsd("Freight",20)</f>
        <v>#NAME?</v>
      </c>
      <c r="N25" s="44" t="e">
        <f>dsd("Tax",20)</f>
        <v>#NAME?</v>
      </c>
      <c r="O25" s="44" t="e">
        <f>dsd("Fuel Supplier",20)</f>
        <v>#NAME?</v>
      </c>
      <c r="P25" s="44" t="e">
        <f>dsd("Other",20)</f>
        <v>#NAME?</v>
      </c>
      <c r="Q25" s="43" t="e">
        <f>dsd("Monthly Outgoing Wire",20)</f>
        <v>#NAME?</v>
      </c>
      <c r="R25" s="43" t="e">
        <f>dsd("Monthly Check Paid",20)</f>
        <v>#NAME?</v>
      </c>
      <c r="S25" s="43" t="e">
        <f>dsd("Monthly Other",20)</f>
        <v>#NAME?</v>
      </c>
      <c r="T25" s="45" t="e">
        <f>SUM(C25:J25,Q25:S25)</f>
        <v>#NULL!</v>
      </c>
      <c r="V25" s="43" t="e">
        <f>dsd("Monthly Credits &amp; Debits",20)</f>
        <v>#NAME?</v>
      </c>
    </row>
    <row r="26" ht="12.75" s="46" customFormat="true">
      <c r="A26" s="41" t="n">
        <f>IF(A25&lt;&gt;"",IF(MONTH(A25)=MONTH(A25+1),A25+1,""),"")</f>
        <v>42298.0</v>
      </c>
      <c r="B26" s="42"/>
      <c r="C26" s="43" t="e">
        <f>dsd("Monthly Opening Ledger",21)</f>
        <v>#NAME?</v>
      </c>
      <c r="D26" s="43" t="e">
        <f>dsd("Monthly Lockbox",21)</f>
        <v>#NAME?</v>
      </c>
      <c r="E26" s="43" t="e">
        <f>dsd("Monthly Incoming ACH",21)</f>
        <v>#NAME?</v>
      </c>
      <c r="F26" s="43" t="e">
        <f>dsd("Monthly Incoming Wire",21)</f>
        <v>#NAME?</v>
      </c>
      <c r="G26" s="43" t="e">
        <f>dsd("Monthly Commercial Deposit",21)</f>
        <v>#NAME?</v>
      </c>
      <c r="H26" s="43" t="e">
        <f>dsd("Monthly Loan Activity",21)</f>
        <v>#NAME?</v>
      </c>
      <c r="I26" s="43" t="e">
        <f>dsd("Monthly Outgoing ACH Other",21)</f>
        <v>#NAME?</v>
      </c>
      <c r="J26" s="43" t="e">
        <f>dsd("Monthly Outgoing ACH TMCW",21)</f>
        <v>#NAME?</v>
      </c>
      <c r="K26" s="44" t="e">
        <f>dsd("Contract Fuel",21)</f>
        <v>#NAME?</v>
      </c>
      <c r="L26" s="44" t="e">
        <f>dsd("Credit Cards",21)</f>
        <v>#NAME?</v>
      </c>
      <c r="M26" s="44" t="e">
        <f>dsd("Freight",21)</f>
        <v>#NAME?</v>
      </c>
      <c r="N26" s="44" t="e">
        <f>dsd("Tax",21)</f>
        <v>#NAME?</v>
      </c>
      <c r="O26" s="44" t="e">
        <f>dsd("Fuel Supplier",21)</f>
        <v>#NAME?</v>
      </c>
      <c r="P26" s="44" t="e">
        <f>dsd("Other",21)</f>
        <v>#NAME?</v>
      </c>
      <c r="Q26" s="43" t="e">
        <f>dsd("Monthly Outgoing Wire",21)</f>
        <v>#NAME?</v>
      </c>
      <c r="R26" s="43" t="e">
        <f>dsd("Monthly Check Paid",21)</f>
        <v>#NAME?</v>
      </c>
      <c r="S26" s="43" t="e">
        <f>dsd("Monthly Other",21)</f>
        <v>#NAME?</v>
      </c>
      <c r="T26" s="45" t="e">
        <f>SUM(C26:J26,Q26:S26)</f>
        <v>#NULL!</v>
      </c>
      <c r="V26" s="43" t="e">
        <f>dsd("Monthly Credits &amp; Debits",21)</f>
        <v>#NAME?</v>
      </c>
    </row>
    <row r="27" ht="12.75" s="46" customFormat="true">
      <c r="A27" s="41" t="n">
        <f>IF(A26&lt;&gt;"",IF(MONTH(A26)=MONTH(A26+1),A26+1,""),"")</f>
        <v>42299.0</v>
      </c>
      <c r="B27" s="42"/>
      <c r="C27" s="43" t="e">
        <f>dsd("Monthly Opening Ledger",22)</f>
        <v>#NAME?</v>
      </c>
      <c r="D27" s="43" t="e">
        <f>dsd("Monthly Lockbox",22)</f>
        <v>#NAME?</v>
      </c>
      <c r="E27" s="43" t="e">
        <f>dsd("Monthly Incoming ACH",22)</f>
        <v>#NAME?</v>
      </c>
      <c r="F27" s="43" t="e">
        <f>dsd("Monthly Incoming Wire",22)</f>
        <v>#NAME?</v>
      </c>
      <c r="G27" s="43" t="e">
        <f>dsd("Monthly Commercial Deposit",22)</f>
        <v>#NAME?</v>
      </c>
      <c r="H27" s="43" t="e">
        <f>dsd("Monthly Loan Activity",22)</f>
        <v>#NAME?</v>
      </c>
      <c r="I27" s="43" t="e">
        <f>dsd("Monthly Outgoing ACH Other",22)</f>
        <v>#NAME?</v>
      </c>
      <c r="J27" s="43" t="e">
        <f>dsd("Monthly Outgoing ACH TMCW",22)</f>
        <v>#NAME?</v>
      </c>
      <c r="K27" s="44" t="e">
        <f>dsd("Contract Fuel",22)</f>
        <v>#NAME?</v>
      </c>
      <c r="L27" s="44" t="e">
        <f>dsd("Credit Cards",22)</f>
        <v>#NAME?</v>
      </c>
      <c r="M27" s="44" t="e">
        <f>dsd("Freight",22)</f>
        <v>#NAME?</v>
      </c>
      <c r="N27" s="44" t="e">
        <f>dsd("Tax",22)</f>
        <v>#NAME?</v>
      </c>
      <c r="O27" s="44" t="e">
        <f>dsd("Fuel Supplier",22)</f>
        <v>#NAME?</v>
      </c>
      <c r="P27" s="44" t="e">
        <f>dsd("Other",22)</f>
        <v>#NAME?</v>
      </c>
      <c r="Q27" s="43" t="e">
        <f>dsd("Monthly Outgoing Wire",22)</f>
        <v>#NAME?</v>
      </c>
      <c r="R27" s="43" t="e">
        <f>dsd("Monthly Check Paid",22)</f>
        <v>#NAME?</v>
      </c>
      <c r="S27" s="43" t="e">
        <f>dsd("Monthly Other",22)</f>
        <v>#NAME?</v>
      </c>
      <c r="T27" s="45" t="e">
        <f>SUM(C27:J27,Q27:S27)</f>
        <v>#NULL!</v>
      </c>
      <c r="V27" s="43" t="e">
        <f>dsd("Monthly Credits &amp; Debits",22)</f>
        <v>#NAME?</v>
      </c>
    </row>
    <row r="28" ht="12.75" s="46" customFormat="true">
      <c r="A28" s="41" t="n">
        <f>IF(A27&lt;&gt;"",IF(MONTH(A27)=MONTH(A27+1),A27+1,""),"")</f>
        <v>42300.0</v>
      </c>
      <c r="B28" s="42"/>
      <c r="C28" s="43" t="e">
        <f>dsd("Monthly Opening Ledger",23)</f>
        <v>#NAME?</v>
      </c>
      <c r="D28" s="43" t="e">
        <f>dsd("Monthly Lockbox",23)</f>
        <v>#NAME?</v>
      </c>
      <c r="E28" s="43" t="e">
        <f>dsd("Monthly Incoming ACH",23)</f>
        <v>#NAME?</v>
      </c>
      <c r="F28" s="43" t="e">
        <f>dsd("Monthly Incoming Wire",23)</f>
        <v>#NAME?</v>
      </c>
      <c r="G28" s="43" t="e">
        <f>dsd("Monthly Commercial Deposit",23)</f>
        <v>#NAME?</v>
      </c>
      <c r="H28" s="43" t="e">
        <f>dsd("Monthly Loan Activity",23)</f>
        <v>#NAME?</v>
      </c>
      <c r="I28" s="43" t="e">
        <f>dsd("Monthly Outgoing ACH Other",23)</f>
        <v>#NAME?</v>
      </c>
      <c r="J28" s="43" t="e">
        <f>dsd("Monthly Outgoing ACH TMCW",23)</f>
        <v>#NAME?</v>
      </c>
      <c r="K28" s="44" t="e">
        <f>dsd("Contract Fuel",23)</f>
        <v>#NAME?</v>
      </c>
      <c r="L28" s="44" t="e">
        <f>dsd("Credit Cards",23)</f>
        <v>#NAME?</v>
      </c>
      <c r="M28" s="44" t="e">
        <f>dsd("Freight",23)</f>
        <v>#NAME?</v>
      </c>
      <c r="N28" s="44" t="e">
        <f>dsd("Tax",23)</f>
        <v>#NAME?</v>
      </c>
      <c r="O28" s="44" t="e">
        <f>dsd("Fuel Supplier",23)</f>
        <v>#NAME?</v>
      </c>
      <c r="P28" s="44" t="e">
        <f>dsd("Other",23)</f>
        <v>#NAME?</v>
      </c>
      <c r="Q28" s="43" t="e">
        <f>dsd("Monthly Outgoing Wire",23)</f>
        <v>#NAME?</v>
      </c>
      <c r="R28" s="43" t="e">
        <f>dsd("Monthly Check Paid",23)</f>
        <v>#NAME?</v>
      </c>
      <c r="S28" s="43" t="e">
        <f>dsd("Monthly Other",23)</f>
        <v>#NAME?</v>
      </c>
      <c r="T28" s="45" t="e">
        <f>SUM(C28:J28,Q28:S28)</f>
        <v>#NULL!</v>
      </c>
      <c r="V28" s="43" t="e">
        <f>dsd("Monthly Credits &amp; Debits",23)</f>
        <v>#NAME?</v>
      </c>
    </row>
    <row r="29" ht="12.75" s="46" customFormat="true">
      <c r="A29" s="41" t="n">
        <f>IF(A28&lt;&gt;"",IF(MONTH(A28)=MONTH(A28+1),A28+1,""),"")</f>
        <v>42301.0</v>
      </c>
      <c r="B29" s="42"/>
      <c r="C29" s="43" t="e">
        <f>dsd("Monthly Opening Ledger",24)</f>
        <v>#NAME?</v>
      </c>
      <c r="D29" s="43" t="e">
        <f>dsd("Monthly Lockbox",24)</f>
        <v>#NAME?</v>
      </c>
      <c r="E29" s="43" t="e">
        <f>dsd("Monthly Incoming ACH",24)</f>
        <v>#NAME?</v>
      </c>
      <c r="F29" s="43" t="e">
        <f>dsd("Monthly Incoming Wire",24)</f>
        <v>#NAME?</v>
      </c>
      <c r="G29" s="43" t="e">
        <f>dsd("Monthly Commercial Deposit",24)</f>
        <v>#NAME?</v>
      </c>
      <c r="H29" s="43" t="e">
        <f>dsd("Monthly Loan Activity",24)</f>
        <v>#NAME?</v>
      </c>
      <c r="I29" s="43" t="e">
        <f>dsd("Monthly Outgoing ACH Other",24)</f>
        <v>#NAME?</v>
      </c>
      <c r="J29" s="43" t="e">
        <f>dsd("Monthly Outgoing ACH TMCW",24)</f>
        <v>#NAME?</v>
      </c>
      <c r="K29" s="44" t="e">
        <f>dsd("Contract Fuel",24)</f>
        <v>#NAME?</v>
      </c>
      <c r="L29" s="44" t="e">
        <f>dsd("Credit Cards",24)</f>
        <v>#NAME?</v>
      </c>
      <c r="M29" s="44" t="e">
        <f>dsd("Freight",24)</f>
        <v>#NAME?</v>
      </c>
      <c r="N29" s="44" t="e">
        <f>dsd("Tax",24)</f>
        <v>#NAME?</v>
      </c>
      <c r="O29" s="44" t="e">
        <f>dsd("Fuel Supplier",24)</f>
        <v>#NAME?</v>
      </c>
      <c r="P29" s="44" t="e">
        <f>dsd("Other",24)</f>
        <v>#NAME?</v>
      </c>
      <c r="Q29" s="43" t="e">
        <f>dsd("Monthly Outgoing Wire",24)</f>
        <v>#NAME?</v>
      </c>
      <c r="R29" s="43" t="e">
        <f>dsd("Monthly Check Paid",24)</f>
        <v>#NAME?</v>
      </c>
      <c r="S29" s="43" t="e">
        <f>dsd("Monthly Other",24)</f>
        <v>#NAME?</v>
      </c>
      <c r="T29" s="45" t="e">
        <f>SUM(C29:J29,Q29:S29)</f>
        <v>#NULL!</v>
      </c>
      <c r="V29" s="43" t="e">
        <f>dsd("Monthly Credits &amp; Debits",24)</f>
        <v>#NAME?</v>
      </c>
    </row>
    <row r="30" ht="12.75" s="46" customFormat="true">
      <c r="A30" s="41" t="n">
        <f>IF(A29&lt;&gt;"",IF(MONTH(A29)=MONTH(A29+1),A29+1,""),"")</f>
        <v>42302.0</v>
      </c>
      <c r="B30" s="42"/>
      <c r="C30" s="43" t="e">
        <f>dsd("Monthly Opening Ledger",25)</f>
        <v>#NAME?</v>
      </c>
      <c r="D30" s="43" t="e">
        <f>dsd("Monthly Lockbox",25)</f>
        <v>#NAME?</v>
      </c>
      <c r="E30" s="43" t="e">
        <f>dsd("Monthly Incoming ACH",25)</f>
        <v>#NAME?</v>
      </c>
      <c r="F30" s="43" t="e">
        <f>dsd("Monthly Incoming Wire",25)</f>
        <v>#NAME?</v>
      </c>
      <c r="G30" s="43" t="e">
        <f>dsd("Monthly Commercial Deposit",25)</f>
        <v>#NAME?</v>
      </c>
      <c r="H30" s="43" t="e">
        <f>dsd("Monthly Loan Activity",25)</f>
        <v>#NAME?</v>
      </c>
      <c r="I30" s="43" t="e">
        <f>dsd("Monthly Outgoing ACH Other",25)</f>
        <v>#NAME?</v>
      </c>
      <c r="J30" s="43" t="e">
        <f>dsd("Monthly Outgoing ACH TMCW",25)</f>
        <v>#NAME?</v>
      </c>
      <c r="K30" s="44" t="e">
        <f>dsd("Contract Fuel",25)</f>
        <v>#NAME?</v>
      </c>
      <c r="L30" s="44" t="e">
        <f>dsd("Credit Cards",25)</f>
        <v>#NAME?</v>
      </c>
      <c r="M30" s="44" t="e">
        <f>dsd("Freight",25)</f>
        <v>#NAME?</v>
      </c>
      <c r="N30" s="44" t="e">
        <f>dsd("Tax",25)</f>
        <v>#NAME?</v>
      </c>
      <c r="O30" s="44" t="e">
        <f>dsd("Fuel Supplier",25)</f>
        <v>#NAME?</v>
      </c>
      <c r="P30" s="44" t="e">
        <f>dsd("Other",25)</f>
        <v>#NAME?</v>
      </c>
      <c r="Q30" s="43" t="e">
        <f>dsd("Monthly Outgoing Wire",25)</f>
        <v>#NAME?</v>
      </c>
      <c r="R30" s="43" t="e">
        <f>dsd("Monthly Check Paid",25)</f>
        <v>#NAME?</v>
      </c>
      <c r="S30" s="43" t="e">
        <f>dsd("Monthly Other",25)</f>
        <v>#NAME?</v>
      </c>
      <c r="T30" s="45" t="e">
        <f>SUM(C30:J30,Q30:S30)</f>
        <v>#NULL!</v>
      </c>
      <c r="V30" s="43" t="e">
        <f>dsd("Monthly Credits &amp; Debits",25)</f>
        <v>#NAME?</v>
      </c>
    </row>
    <row r="31" ht="12.75" s="46" customFormat="true">
      <c r="A31" s="41" t="n">
        <f>IF(A30&lt;&gt;"",IF(MONTH(A30)=MONTH(A30+1),A30+1,""),"")</f>
        <v>42303.0</v>
      </c>
      <c r="B31" s="42"/>
      <c r="C31" s="43" t="e">
        <f>dsd("Monthly Opening Ledger",26)</f>
        <v>#NAME?</v>
      </c>
      <c r="D31" s="43" t="e">
        <f>dsd("Monthly Lockbox",26)</f>
        <v>#NAME?</v>
      </c>
      <c r="E31" s="43" t="e">
        <f>dsd("Monthly Incoming ACH",26)</f>
        <v>#NAME?</v>
      </c>
      <c r="F31" s="43" t="e">
        <f>dsd("Monthly Incoming Wire",26)</f>
        <v>#NAME?</v>
      </c>
      <c r="G31" s="43" t="e">
        <f>dsd("Monthly Commercial Deposit",26)</f>
        <v>#NAME?</v>
      </c>
      <c r="H31" s="43" t="e">
        <f>dsd("Monthly Loan Activity",26)</f>
        <v>#NAME?</v>
      </c>
      <c r="I31" s="43" t="e">
        <f>dsd("Monthly Outgoing ACH Other",26)</f>
        <v>#NAME?</v>
      </c>
      <c r="J31" s="43" t="e">
        <f>dsd("Monthly Outgoing ACH TMCW",26)</f>
        <v>#NAME?</v>
      </c>
      <c r="K31" s="44" t="e">
        <f>dsd("Contract Fuel",26)</f>
        <v>#NAME?</v>
      </c>
      <c r="L31" s="44" t="e">
        <f>dsd("Credit Cards",26)</f>
        <v>#NAME?</v>
      </c>
      <c r="M31" s="44" t="e">
        <f>dsd("Freight",26)</f>
        <v>#NAME?</v>
      </c>
      <c r="N31" s="44" t="e">
        <f>dsd("Tax",26)</f>
        <v>#NAME?</v>
      </c>
      <c r="O31" s="44" t="e">
        <f>dsd("Fuel Supplier",26)</f>
        <v>#NAME?</v>
      </c>
      <c r="P31" s="44" t="e">
        <f>dsd("Other",26)</f>
        <v>#NAME?</v>
      </c>
      <c r="Q31" s="43" t="e">
        <f>dsd("Monthly Outgoing Wire",26)</f>
        <v>#NAME?</v>
      </c>
      <c r="R31" s="43" t="e">
        <f>dsd("Monthly Check Paid",26)</f>
        <v>#NAME?</v>
      </c>
      <c r="S31" s="43" t="e">
        <f>dsd("Monthly Other",26)</f>
        <v>#NAME?</v>
      </c>
      <c r="T31" s="45" t="e">
        <f>SUM(C31:J31,Q31:S31)</f>
        <v>#NULL!</v>
      </c>
      <c r="V31" s="43" t="e">
        <f>dsd("Monthly Credits &amp; Debits",26)</f>
        <v>#NAME?</v>
      </c>
    </row>
    <row r="32" ht="12.75" s="46" customFormat="true">
      <c r="A32" s="41" t="n">
        <f>IF(A31&lt;&gt;"",IF(MONTH(A31)=MONTH(A31+1),A31+1,""),"")</f>
        <v>42304.0</v>
      </c>
      <c r="B32" s="42"/>
      <c r="C32" s="43" t="e">
        <f>dsd("Monthly Opening Ledger",27)</f>
        <v>#NAME?</v>
      </c>
      <c r="D32" s="43" t="e">
        <f>dsd("Monthly Lockbox",27)</f>
        <v>#NAME?</v>
      </c>
      <c r="E32" s="43" t="e">
        <f>dsd("Monthly Incoming ACH",27)</f>
        <v>#NAME?</v>
      </c>
      <c r="F32" s="43" t="e">
        <f>dsd("Monthly Incoming Wire",27)</f>
        <v>#NAME?</v>
      </c>
      <c r="G32" s="43" t="e">
        <f>dsd("Monthly Commercial Deposit",27)</f>
        <v>#NAME?</v>
      </c>
      <c r="H32" s="43" t="e">
        <f>dsd("Monthly Loan Activity",27)</f>
        <v>#NAME?</v>
      </c>
      <c r="I32" s="43" t="e">
        <f>dsd("Monthly Outgoing ACH Other",27)</f>
        <v>#NAME?</v>
      </c>
      <c r="J32" s="43" t="e">
        <f>dsd("Monthly Outgoing ACH TMCW",27)</f>
        <v>#NAME?</v>
      </c>
      <c r="K32" s="44" t="e">
        <f>dsd("Contract Fuel",27)</f>
        <v>#NAME?</v>
      </c>
      <c r="L32" s="44" t="e">
        <f>dsd("Credit Cards",27)</f>
        <v>#NAME?</v>
      </c>
      <c r="M32" s="44" t="e">
        <f>dsd("Freight",27)</f>
        <v>#NAME?</v>
      </c>
      <c r="N32" s="44" t="e">
        <f>dsd("Tax",27)</f>
        <v>#NAME?</v>
      </c>
      <c r="O32" s="44" t="e">
        <f>dsd("Fuel Supplier",27)</f>
        <v>#NAME?</v>
      </c>
      <c r="P32" s="44" t="e">
        <f>dsd("Other",27)</f>
        <v>#NAME?</v>
      </c>
      <c r="Q32" s="43" t="e">
        <f>dsd("Monthly Outgoing Wire",27)</f>
        <v>#NAME?</v>
      </c>
      <c r="R32" s="43" t="e">
        <f>dsd("Monthly Check Paid",27)</f>
        <v>#NAME?</v>
      </c>
      <c r="S32" s="43" t="e">
        <f>dsd("Monthly Other",27)</f>
        <v>#NAME?</v>
      </c>
      <c r="T32" s="45" t="e">
        <f>SUM(C32:J32,Q32:S32)</f>
        <v>#NULL!</v>
      </c>
      <c r="V32" s="43" t="e">
        <f>dsd("Monthly Credits &amp; Debits",27)</f>
        <v>#NAME?</v>
      </c>
    </row>
    <row r="33" ht="12.75" s="46" customFormat="true">
      <c r="A33" s="41" t="n">
        <f>IF(A32&lt;&gt;"",IF(MONTH(A32)=MONTH(A32+1),A32+1,""),"")</f>
        <v>42305.0</v>
      </c>
      <c r="B33" s="42"/>
      <c r="C33" s="43" t="e">
        <f>dsd("Monthly Opening Ledger",28)</f>
        <v>#NAME?</v>
      </c>
      <c r="D33" s="43" t="e">
        <f>dsd("Monthly Lockbox",28)</f>
        <v>#NAME?</v>
      </c>
      <c r="E33" s="43" t="e">
        <f>dsd("Monthly Incoming ACH",28)</f>
        <v>#NAME?</v>
      </c>
      <c r="F33" s="43" t="e">
        <f>dsd("Monthly Incoming Wire",28)</f>
        <v>#NAME?</v>
      </c>
      <c r="G33" s="43" t="e">
        <f>dsd("Monthly Commercial Deposit",28)</f>
        <v>#NAME?</v>
      </c>
      <c r="H33" s="43" t="e">
        <f>dsd("Monthly Loan Activity",28)</f>
        <v>#NAME?</v>
      </c>
      <c r="I33" s="43" t="e">
        <f>dsd("Monthly Outgoing ACH Other",28)</f>
        <v>#NAME?</v>
      </c>
      <c r="J33" s="43" t="e">
        <f>dsd("Monthly Outgoing ACH TMCW",28)</f>
        <v>#NAME?</v>
      </c>
      <c r="K33" s="44" t="e">
        <f>dsd("Contract Fuel",28)</f>
        <v>#NAME?</v>
      </c>
      <c r="L33" s="44" t="e">
        <f>dsd("Credit Cards",28)</f>
        <v>#NAME?</v>
      </c>
      <c r="M33" s="44" t="e">
        <f>dsd("Freight",28)</f>
        <v>#NAME?</v>
      </c>
      <c r="N33" s="44" t="e">
        <f>dsd("Tax",28)</f>
        <v>#NAME?</v>
      </c>
      <c r="O33" s="44" t="e">
        <f>dsd("Fuel Supplier",28)</f>
        <v>#NAME?</v>
      </c>
      <c r="P33" s="44" t="e">
        <f>dsd("Other",28)</f>
        <v>#NAME?</v>
      </c>
      <c r="Q33" s="43" t="e">
        <f>dsd("Monthly Outgoing Wire",28)</f>
        <v>#NAME?</v>
      </c>
      <c r="R33" s="43" t="e">
        <f>dsd("Monthly Check Paid",28)</f>
        <v>#NAME?</v>
      </c>
      <c r="S33" s="43" t="e">
        <f>dsd("Monthly Other",28)</f>
        <v>#NAME?</v>
      </c>
      <c r="T33" s="45" t="e">
        <f>SUM(C33:J33,Q33:S33)</f>
        <v>#NULL!</v>
      </c>
      <c r="V33" s="43" t="e">
        <f>dsd("Monthly Credits &amp; Debits",28)</f>
        <v>#NAME?</v>
      </c>
    </row>
    <row r="34" ht="12.75" s="46" customFormat="true">
      <c r="A34" s="41" t="n">
        <f>IF(A33&lt;&gt;"",IF(MONTH(A33)=MONTH(A33+1),A33+1,""),"")</f>
        <v>42306.0</v>
      </c>
      <c r="B34" s="42"/>
      <c r="C34" s="43" t="e">
        <f>dsd("Monthly Opening Ledger",29)</f>
        <v>#NAME?</v>
      </c>
      <c r="D34" s="43" t="e">
        <f>dsd("Monthly Lockbox",29)</f>
        <v>#NAME?</v>
      </c>
      <c r="E34" s="43" t="e">
        <f>dsd("Monthly Incoming ACH",29)</f>
        <v>#NAME?</v>
      </c>
      <c r="F34" s="43" t="e">
        <f>dsd("Monthly Incoming Wire",29)</f>
        <v>#NAME?</v>
      </c>
      <c r="G34" s="43" t="e">
        <f>dsd("Monthly Commercial Deposit",29)</f>
        <v>#NAME?</v>
      </c>
      <c r="H34" s="43" t="e">
        <f>dsd("Monthly Loan Activity",29)</f>
        <v>#NAME?</v>
      </c>
      <c r="I34" s="43" t="e">
        <f>dsd("Monthly Outgoing ACH Other",29)</f>
        <v>#NAME?</v>
      </c>
      <c r="J34" s="43" t="e">
        <f>dsd("Monthly Outgoing ACH TMCW",29)</f>
        <v>#NAME?</v>
      </c>
      <c r="K34" s="44" t="e">
        <f>dsd("Contract Fuel",29)</f>
        <v>#NAME?</v>
      </c>
      <c r="L34" s="44" t="e">
        <f>dsd("Credit Cards",29)</f>
        <v>#NAME?</v>
      </c>
      <c r="M34" s="44" t="e">
        <f>dsd("Freight",29)</f>
        <v>#NAME?</v>
      </c>
      <c r="N34" s="44" t="e">
        <f>dsd("Tax",29)</f>
        <v>#NAME?</v>
      </c>
      <c r="O34" s="44" t="e">
        <f>dsd("Fuel Supplier",29)</f>
        <v>#NAME?</v>
      </c>
      <c r="P34" s="44" t="e">
        <f>dsd("Other",29)</f>
        <v>#NAME?</v>
      </c>
      <c r="Q34" s="43" t="e">
        <f>dsd("Monthly Outgoing Wire",29)</f>
        <v>#NAME?</v>
      </c>
      <c r="R34" s="43" t="e">
        <f>dsd("Monthly Check Paid",29)</f>
        <v>#NAME?</v>
      </c>
      <c r="S34" s="43" t="e">
        <f>dsd("Monthly Other",29)</f>
        <v>#NAME?</v>
      </c>
      <c r="T34" s="45" t="e">
        <f>SUM(C34:J34,Q34:S34)</f>
        <v>#NULL!</v>
      </c>
      <c r="V34" s="43" t="e">
        <f>dsd("Monthly Credits &amp; Debits",29)</f>
        <v>#NAME?</v>
      </c>
    </row>
    <row r="35" ht="12.75" s="46" customFormat="true">
      <c r="A35" s="47" t="n">
        <f>IF(A34&lt;&gt;"",IF(MONTH(A34)=MONTH(A34+1),A34+1,""),"")</f>
        <v>42307.0</v>
      </c>
      <c r="B35" s="42"/>
      <c r="C35" s="43" t="e">
        <f>dsd("Monthly Opening Ledger",30)</f>
        <v>#NAME?</v>
      </c>
      <c r="D35" s="43" t="e">
        <f>dsd("Monthly Lockbox",30)</f>
        <v>#NAME?</v>
      </c>
      <c r="E35" s="43" t="e">
        <f>dsd("Monthly Incoming ACH",30)</f>
        <v>#NAME?</v>
      </c>
      <c r="F35" s="43" t="e">
        <f>dsd("Monthly Incoming Wire",30)</f>
        <v>#NAME?</v>
      </c>
      <c r="G35" s="43" t="e">
        <f>dsd("Monthly Commercial Deposit",30)</f>
        <v>#NAME?</v>
      </c>
      <c r="H35" s="43" t="e">
        <f>dsd("Monthly Loan Activity",30)</f>
        <v>#NAME?</v>
      </c>
      <c r="I35" s="43" t="e">
        <f>dsd("Monthly Outgoing ACH Other",30)</f>
        <v>#NAME?</v>
      </c>
      <c r="J35" s="43" t="e">
        <f>dsd("Monthly Outgoing ACH TMCW",30)</f>
        <v>#NAME?</v>
      </c>
      <c r="K35" s="44" t="e">
        <f>dsd("Contract Fuel",30)</f>
        <v>#NAME?</v>
      </c>
      <c r="L35" s="44" t="e">
        <f>dsd("Credit Cards",30)</f>
        <v>#NAME?</v>
      </c>
      <c r="M35" s="44" t="e">
        <f>dsd("Freight",30)</f>
        <v>#NAME?</v>
      </c>
      <c r="N35" s="44" t="e">
        <f>dsd("Tax",30)</f>
        <v>#NAME?</v>
      </c>
      <c r="O35" s="44" t="e">
        <f>dsd("Fuel Supplier",30)</f>
        <v>#NAME?</v>
      </c>
      <c r="P35" s="44" t="e">
        <f>dsd("Other",30)</f>
        <v>#NAME?</v>
      </c>
      <c r="Q35" s="43" t="e">
        <f>dsd("Monthly Outgoing Wire",30)</f>
        <v>#NAME?</v>
      </c>
      <c r="R35" s="43" t="e">
        <f>dsd("Monthly Check Paid",30)</f>
        <v>#NAME?</v>
      </c>
      <c r="S35" s="43" t="e">
        <f>dsd("Monthly Other",30)</f>
        <v>#NAME?</v>
      </c>
      <c r="T35" s="45" t="e">
        <f>SUM(C35:J35,Q35:S35)</f>
        <v>#NULL!</v>
      </c>
      <c r="V35" s="43" t="e">
        <f>dsd("Monthly Credits &amp; Debits",30)</f>
        <v>#NAME?</v>
      </c>
    </row>
    <row r="36" ht="12.75" s="46" customFormat="true">
      <c r="A36" s="48" t="n">
        <f>IF(A35&lt;&gt;"",IF(MONTH(A35)=MONTH(A35+1),A35+1,""),"")</f>
        <v>42308.0</v>
      </c>
      <c r="B36" s="49"/>
      <c r="C36" s="43" t="e">
        <f>dsd("Monthly Opening Ledger",31)</f>
        <v>#NAME?</v>
      </c>
      <c r="D36" s="43" t="e">
        <f>dsd("Monthly Lockbox",31)</f>
        <v>#NAME?</v>
      </c>
      <c r="E36" s="43" t="e">
        <f>dsd("Monthly Incoming ACH",31)</f>
        <v>#NAME?</v>
      </c>
      <c r="F36" s="43" t="e">
        <f>dsd("Monthly Incoming Wire",31)</f>
        <v>#NAME?</v>
      </c>
      <c r="G36" s="43" t="e">
        <f>dsd("Monthly Commercial Deposit",31)</f>
        <v>#NAME?</v>
      </c>
      <c r="H36" s="43" t="e">
        <f>dsd("Monthly Loan Activity",31)</f>
        <v>#NAME?</v>
      </c>
      <c r="I36" s="43" t="e">
        <f>dsd("Monthly Outgoing ACH Other",31)</f>
        <v>#NAME?</v>
      </c>
      <c r="J36" s="43" t="e">
        <f>dsd("Monthly Outgoing ACH TMCW",31)</f>
        <v>#NAME?</v>
      </c>
      <c r="K36" s="44" t="e">
        <f>dsd("Contract Fuel",31)</f>
        <v>#NAME?</v>
      </c>
      <c r="L36" s="44" t="e">
        <f>dsd("Credit Cards",31)</f>
        <v>#NAME?</v>
      </c>
      <c r="M36" s="44" t="e">
        <f>dsd("Freight",31)</f>
        <v>#NAME?</v>
      </c>
      <c r="N36" s="44" t="e">
        <f>dsd("Tax",31)</f>
        <v>#NAME?</v>
      </c>
      <c r="O36" s="44" t="e">
        <f>dsd("Fuel Supplier",31)</f>
        <v>#NAME?</v>
      </c>
      <c r="P36" s="44" t="e">
        <f>dsd("Other",31)</f>
        <v>#NAME?</v>
      </c>
      <c r="Q36" s="43" t="e">
        <f>dsd("Monthly Outgoing Wire",31)</f>
        <v>#NAME?</v>
      </c>
      <c r="R36" s="43" t="e">
        <f>dsd("Monthly Check Paid",31)</f>
        <v>#NAME?</v>
      </c>
      <c r="S36" s="43" t="e">
        <f>dsd("Monthly Other",31)</f>
        <v>#NAME?</v>
      </c>
      <c r="T36" s="45" t="e">
        <f>SUM(C36:J36,Q36:S36)</f>
        <v>#NULL!</v>
      </c>
      <c r="V36" s="43" t="e">
        <f>dsd("Monthly Credits &amp; Debits",31)</f>
        <v>#NAME?</v>
      </c>
    </row>
    <row r="37" ht="12.75" s="46" customFormat="true">
      <c r="A37" s="50"/>
      <c r="B37" s="42"/>
      <c r="C37" s="36"/>
      <c r="D37" s="36"/>
      <c r="E37" s="36"/>
      <c r="F37" s="36"/>
      <c r="G37" s="36"/>
      <c r="H37" s="36"/>
      <c r="I37" s="36"/>
      <c r="J37" s="36"/>
      <c r="K37" s="51"/>
      <c r="L37" s="51"/>
      <c r="M37" s="51"/>
      <c r="N37" s="51"/>
      <c r="O37" s="51"/>
      <c r="P37" s="51"/>
      <c r="Q37" s="36"/>
      <c r="R37" s="36"/>
      <c r="S37" s="36"/>
      <c r="T37" s="45"/>
      <c r="V37" s="36"/>
    </row>
    <row r="38" ht="12.75" s="46" customFormat="true">
      <c r="A38" s="52" t="s">
        <v>54</v>
      </c>
      <c r="B38" s="53"/>
      <c r="C38" s="54" t="e">
        <f>ds("Monthly Opening Ledger")</f>
        <v>#NAME?</v>
      </c>
      <c r="D38" s="54" t="e">
        <f>ds("Monthly Lockbox")</f>
        <v>#NAME?</v>
      </c>
      <c r="E38" s="54" t="e">
        <f>ds("Monthly Incoming ACH")</f>
        <v>#NAME?</v>
      </c>
      <c r="F38" s="54" t="e">
        <f>ds("Monthly Incoming Wire")</f>
        <v>#NAME?</v>
      </c>
      <c r="G38" s="54" t="e">
        <f>ds("Monthly Commercial Deposit")</f>
        <v>#NAME?</v>
      </c>
      <c r="H38" s="54" t="e">
        <f>ds("Monthly Loan Activity")</f>
        <v>#NAME?</v>
      </c>
      <c r="I38" s="54" t="e">
        <f>ds("Monthly Outgoing ACH Other")</f>
        <v>#NAME?</v>
      </c>
      <c r="J38" s="54" t="e">
        <f>ds("Monthly Outgoing ACH TMCW")</f>
        <v>#NAME?</v>
      </c>
      <c r="K38" s="55" t="e">
        <f>ds("Contract Fuel")</f>
        <v>#NAME?</v>
      </c>
      <c r="L38" s="55" t="e">
        <f>ds("Credit Cards")</f>
        <v>#NAME?</v>
      </c>
      <c r="M38" s="55" t="e">
        <f>ds("Freight")</f>
        <v>#NAME?</v>
      </c>
      <c r="N38" s="55" t="e">
        <f>ds("Tax")</f>
        <v>#NAME?</v>
      </c>
      <c r="O38" s="55" t="e">
        <f>ds("Fuel Supplier")</f>
        <v>#NAME?</v>
      </c>
      <c r="P38" s="55" t="e">
        <f>ds("Other")</f>
        <v>#NAME?</v>
      </c>
      <c r="Q38" s="54" t="e">
        <f>ds("Monthly Outgoing Wire")</f>
        <v>#NAME?</v>
      </c>
      <c r="R38" s="54" t="e">
        <f>ds("Monthly Check Paid")</f>
        <v>#NAME?</v>
      </c>
      <c r="S38" s="54" t="e">
        <f>ds("Monthly Other")</f>
        <v>#NAME?</v>
      </c>
      <c r="T38" s="45" t="e">
        <f>SUM(C38:J38,Q38:S38)</f>
        <v>#NULL!</v>
      </c>
      <c r="V38" s="54" t="e">
        <f>ds("Monthly Credits &amp; Debits")</f>
        <v>#NAME?</v>
      </c>
    </row>
    <row r="39" ht="12.75" s="46" customFormat="true">
      <c r="A39" s="56"/>
      <c r="B39" s="56"/>
      <c r="C39" s="57"/>
      <c r="D39" s="58"/>
      <c r="E39" s="58"/>
      <c r="F39" s="58"/>
      <c r="G39" s="57"/>
      <c r="H39" s="59"/>
      <c r="I39" s="58"/>
      <c r="J39" s="58"/>
      <c r="K39" s="59"/>
      <c r="L39" s="59"/>
      <c r="M39" s="59"/>
      <c r="N39" s="59"/>
      <c r="O39" s="59"/>
      <c r="P39" s="59"/>
      <c r="Q39" s="58"/>
      <c r="R39" s="60"/>
      <c r="S39" s="60"/>
      <c r="T39" s="61"/>
    </row>
  </sheetData>
  <mergeCells>
    <mergeCell ref="A1:T1"/>
    <mergeCell ref="A2:T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4296875" hidden="false"/>
    <col min="2" max="2" style="63" customWidth="true" width="2.5703125" hidden="false"/>
    <col min="3" max="3" style="62" customWidth="true" width="15.85546875" hidden="false"/>
    <col min="4" max="4" style="62" customWidth="true" width="13.85546875" hidden="false"/>
    <col min="5" max="5" style="62" customWidth="true" width="12.71484375" hidden="false"/>
    <col min="6" max="6" style="62" customWidth="true" width="12.28515625" hidden="false"/>
    <col min="7" max="7" style="62" customWidth="true" width="14.71484375" hidden="false"/>
    <col min="8" max="8" style="62" customWidth="true" width="14.71484375" hidden="false"/>
    <col min="9" max="9" style="64" customWidth="true" width="13.71484375" hidden="false"/>
    <col min="10" max="10" style="65" customWidth="true" width="13.28515625" hidden="false"/>
    <col min="11" max="16" style="65" customWidth="true" width="13.28515625" hidden="false"/>
    <col min="17" max="17" style="62" customWidth="true" width="13.5703125" hidden="false"/>
    <col min="18" max="18" style="62" customWidth="true" width="13.0" hidden="false"/>
    <col min="19" max="19" style="62" customWidth="true" width="13.4296875" hidden="false"/>
    <col min="20" max="20" style="62" customWidth="true" width="15.14453125" hidden="false"/>
    <col min="21" max="21" style="62" customWidth="false" width="9.14453125" hidden="false"/>
    <col min="22" max="22" style="62" customWidth="true" width="13.71484375" hidden="false"/>
    <col min="23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customHeight="true" ht="12.75">
      <c r="A2" s="26" t="n">
        <f>NOW()</f>
        <v>42279.99510146991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customHeight="true" ht="12.7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customHeight="true" ht="35.25" s="27" customFormat="true">
      <c r="A4" s="28" t="s">
        <v>39</v>
      </c>
      <c r="B4" s="29"/>
      <c r="C4" s="29" t="s">
        <v>40</v>
      </c>
      <c r="D4" s="29" t="s">
        <v>41</v>
      </c>
      <c r="E4" s="29" t="s">
        <v>17</v>
      </c>
      <c r="F4" s="29" t="s">
        <v>16</v>
      </c>
      <c r="G4" s="29" t="s">
        <v>42</v>
      </c>
      <c r="H4" s="29" t="s">
        <v>43</v>
      </c>
      <c r="I4" s="29" t="s">
        <v>25</v>
      </c>
      <c r="J4" s="29" t="s">
        <v>26</v>
      </c>
      <c r="K4" s="30" t="s">
        <v>44</v>
      </c>
      <c r="L4" s="30" t="s">
        <v>45</v>
      </c>
      <c r="M4" s="30" t="s">
        <v>46</v>
      </c>
      <c r="N4" s="30" t="s">
        <v>47</v>
      </c>
      <c r="O4" s="30" t="s">
        <v>48</v>
      </c>
      <c r="P4" s="30" t="s">
        <v>49</v>
      </c>
      <c r="Q4" s="29" t="s">
        <v>22</v>
      </c>
      <c r="R4" s="29" t="s">
        <v>50</v>
      </c>
      <c r="S4" s="29" t="s">
        <v>51</v>
      </c>
      <c r="T4" s="29" t="s">
        <v>52</v>
      </c>
      <c r="V4" s="31" t="s">
        <v>55</v>
      </c>
    </row>
    <row r="5" customHeight="true" ht="12.75" s="32" customFormat="true">
      <c r="A5" s="33"/>
      <c r="B5" s="33"/>
      <c r="C5" s="34"/>
      <c r="D5" s="35"/>
      <c r="E5" s="35"/>
      <c r="F5" s="35"/>
      <c r="G5" s="34"/>
      <c r="H5" s="36"/>
      <c r="I5" s="35"/>
      <c r="J5" s="35"/>
      <c r="K5" s="36"/>
      <c r="L5" s="36"/>
      <c r="M5" s="36"/>
      <c r="N5" s="36"/>
      <c r="O5" s="36"/>
      <c r="P5" s="36"/>
      <c r="Q5" s="37"/>
      <c r="R5" s="38"/>
      <c r="S5" s="38"/>
      <c r="T5" s="39"/>
    </row>
    <row r="6" ht="12.0" s="40" customFormat="true">
      <c r="A6" s="41" t="n">
        <f>DATEVALUE(MONTH(TODAY())&amp;"/1/"&amp;YEAR(TODAY()))</f>
        <v>42278.0</v>
      </c>
      <c r="B6" s="42"/>
      <c r="C6" s="43" t="e">
        <f>dsd("Avfuel Monthly Opening Ledger",1)</f>
        <v>#NAME?</v>
      </c>
      <c r="D6" s="43" t="e">
        <f>dsd("Avfuel Lockbox",1)</f>
        <v>#NAME?</v>
      </c>
      <c r="E6" s="43" t="e">
        <f>dsd("Avfuel Monthly Incoming ACH",1)</f>
        <v>#NAME?</v>
      </c>
      <c r="F6" s="43" t="e">
        <f>dsd("Avfuel Monthly Incoming Wire",1)</f>
        <v>#NAME?</v>
      </c>
      <c r="G6" s="43" t="e">
        <f>dsd("Avfuel Commercial Deposit",1)</f>
        <v>#NAME?</v>
      </c>
      <c r="H6" s="43" t="e">
        <f>dsd("Avfuel Monthly Loan Activity",1)</f>
        <v>#NAME?</v>
      </c>
      <c r="I6" s="43" t="e">
        <f>dsd("Avfuel ACH Other",1)</f>
        <v>#NAME?</v>
      </c>
      <c r="J6" s="43" t="e">
        <f>dsd("Avfuel ACH TMCW",1)</f>
        <v>#NAME?</v>
      </c>
      <c r="K6" s="44" t="e">
        <f>dsd("Avfuel Contract Fuel",1)</f>
        <v>#NAME?</v>
      </c>
      <c r="L6" s="44" t="e">
        <f>dsd("Avfuel Credit Cards",1)</f>
        <v>#NAME?</v>
      </c>
      <c r="M6" s="44" t="e">
        <f>dsd("Avfuel Freight",1)</f>
        <v>#NAME?</v>
      </c>
      <c r="N6" s="44" t="e">
        <f>dsd("Avfuel Tax",1)</f>
        <v>#NAME?</v>
      </c>
      <c r="O6" s="44" t="e">
        <f>dsd("Avfuel Fuel Supplier",1)</f>
        <v>#NAME?</v>
      </c>
      <c r="P6" s="44" t="e">
        <f>dsd("Avfuel Other",1)</f>
        <v>#NAME?</v>
      </c>
      <c r="Q6" s="43" t="e">
        <f>dsd("Avfuel Monthly Outgoing Wire",1)</f>
        <v>#NAME?</v>
      </c>
      <c r="R6" s="43" t="e">
        <f>dsd("Avfuel Check Paid",1)</f>
        <v>#NAME?</v>
      </c>
      <c r="S6" s="43" t="e">
        <f>dsd("Avfuel Monthly Other",1)</f>
        <v>#NAME?</v>
      </c>
      <c r="T6" s="45" t="e">
        <f>SUM(C6:J6,Q6:S6)</f>
        <v>#NAME?</v>
      </c>
      <c r="V6" s="43" t="e">
        <f>dsd("Avfuel Monthly Credits and Debits",1)</f>
        <v>#NAME?</v>
      </c>
    </row>
    <row r="7" ht="12.0" s="40" customFormat="true">
      <c r="A7" s="41" t="n">
        <f>IF(A6&lt;&gt;"",IF(MONTH(A6)=MONTH(A6+1),A6+1,""),"")</f>
        <v>42279.0</v>
      </c>
      <c r="B7" s="42"/>
      <c r="C7" s="43" t="e">
        <f>dsd("Avfuel Monthly Opening Ledger",2)</f>
        <v>#NAME?</v>
      </c>
      <c r="D7" s="43" t="e">
        <f>dsd("Avfuel Lockbox",2)</f>
        <v>#NAME?</v>
      </c>
      <c r="E7" s="43" t="e">
        <f>dsd("Avfuel Monthly Incoming ACH",2)</f>
        <v>#NAME?</v>
      </c>
      <c r="F7" s="43" t="e">
        <f>dsd("Avfuel Monthly Incoming Wire",2)</f>
        <v>#NAME?</v>
      </c>
      <c r="G7" s="43" t="e">
        <f>dsd("Avfuel Commercial Deposit",2)</f>
        <v>#NAME?</v>
      </c>
      <c r="H7" s="43" t="e">
        <f>dsd("Avfuel Monthly Loan Activity",2)</f>
        <v>#NAME?</v>
      </c>
      <c r="I7" s="43" t="e">
        <f>dsd("Avfuel ACH Other",2)</f>
        <v>#NAME?</v>
      </c>
      <c r="J7" s="43" t="e">
        <f>dsd("Avfuel ACH TMCW",2)</f>
        <v>#NAME?</v>
      </c>
      <c r="K7" s="44" t="e">
        <f>dsd("Avfuel Contract Fuel",2)</f>
        <v>#NAME?</v>
      </c>
      <c r="L7" s="44" t="e">
        <f>dsd("Avfuel Credit Cards",2)</f>
        <v>#NAME?</v>
      </c>
      <c r="M7" s="44" t="e">
        <f>dsd("Avfuel Freight",2)</f>
        <v>#NAME?</v>
      </c>
      <c r="N7" s="44" t="e">
        <f>dsd("Avfuel Tax",2)</f>
        <v>#NAME?</v>
      </c>
      <c r="O7" s="44" t="e">
        <f>dsd("Avfuel Fuel Supplier",2)</f>
        <v>#NAME?</v>
      </c>
      <c r="P7" s="44" t="e">
        <f>dsd("Avfuel Other",2)</f>
        <v>#NAME?</v>
      </c>
      <c r="Q7" s="43" t="e">
        <f>dsd("Avfuel Monthly Outgoing Wire",2)</f>
        <v>#NAME?</v>
      </c>
      <c r="R7" s="43" t="e">
        <f>dsd("Avfuel Check Paid",2)</f>
        <v>#NAME?</v>
      </c>
      <c r="S7" s="43" t="e">
        <f>dsd("Avfuel Monthly Other",2)</f>
        <v>#NAME?</v>
      </c>
      <c r="T7" s="45" t="e">
        <f>SUM(C7:J7,Q7:S7)</f>
        <v>#NULL!</v>
      </c>
      <c r="V7" s="43" t="e">
        <f>dsd("Avfuel Monthly Credits and Debits",2)</f>
        <v>#NAME?</v>
      </c>
    </row>
    <row r="8" ht="12.75" s="46" customFormat="true">
      <c r="A8" s="41" t="n">
        <f>IF(A7&lt;&gt;"",IF(MONTH(A7)=MONTH(A7+1),A7+1,""),"")</f>
        <v>42280.0</v>
      </c>
      <c r="B8" s="42"/>
      <c r="C8" s="43" t="e">
        <f>dsd("Avfuel Monthly Opening Ledger",3)</f>
        <v>#NAME?</v>
      </c>
      <c r="D8" s="43" t="e">
        <f>dsd("Avfuel Lockbox",3)</f>
        <v>#NAME?</v>
      </c>
      <c r="E8" s="43" t="e">
        <f>dsd("Avfuel Monthly Incoming ACH",3)</f>
        <v>#NAME?</v>
      </c>
      <c r="F8" s="43" t="e">
        <f>dsd("Avfuel Monthly Incoming Wire",3)</f>
        <v>#NAME?</v>
      </c>
      <c r="G8" s="43" t="e">
        <f>dsd("Avfuel Commercial Deposit",3)</f>
        <v>#NAME?</v>
      </c>
      <c r="H8" s="43" t="e">
        <f>dsd("Avfuel Monthly Loan Activity",3)</f>
        <v>#NAME?</v>
      </c>
      <c r="I8" s="43" t="e">
        <f>dsd("Avfuel ACH Other",3)</f>
        <v>#NAME?</v>
      </c>
      <c r="J8" s="43" t="e">
        <f>dsd("Avfuel ACH TMCW",3)</f>
        <v>#NAME?</v>
      </c>
      <c r="K8" s="44" t="e">
        <f>dsd("Avfuel Contract Fuel",3)</f>
        <v>#NAME?</v>
      </c>
      <c r="L8" s="44" t="e">
        <f>dsd("Avfuel Credit Cards",3)</f>
        <v>#NAME?</v>
      </c>
      <c r="M8" s="44" t="e">
        <f>dsd("Avfuel Freight",3)</f>
        <v>#NAME?</v>
      </c>
      <c r="N8" s="44" t="e">
        <f>dsd("Avfuel Tax",3)</f>
        <v>#NAME?</v>
      </c>
      <c r="O8" s="44" t="e">
        <f>dsd("Avfuel Fuel Supplier",3)</f>
        <v>#NAME?</v>
      </c>
      <c r="P8" s="44" t="e">
        <f>dsd("Avfuel Other",3)</f>
        <v>#NAME?</v>
      </c>
      <c r="Q8" s="43" t="e">
        <f>dsd("Avfuel Monthly Outgoing Wire",3)</f>
        <v>#NAME?</v>
      </c>
      <c r="R8" s="43" t="e">
        <f>dsd("Avfuel Check Paid",3)</f>
        <v>#NAME?</v>
      </c>
      <c r="S8" s="43" t="e">
        <f>dsd("Avfuel Monthly Other",3)</f>
        <v>#NAME?</v>
      </c>
      <c r="T8" s="45" t="e">
        <f>SUM(C8:J8,Q8:S8)</f>
        <v>#NULL!</v>
      </c>
      <c r="V8" s="43" t="e">
        <f>dsd("Avfuel Monthly Credits and Debits",3)</f>
        <v>#NAME?</v>
      </c>
    </row>
    <row r="9" ht="12.75" s="46" customFormat="true">
      <c r="A9" s="41" t="n">
        <f>IF(A8&lt;&gt;"",IF(MONTH(A8)=MONTH(A8+1),A8+1,""),"")</f>
        <v>42281.0</v>
      </c>
      <c r="B9" s="42"/>
      <c r="C9" s="43" t="e">
        <f>dsd("Avfuel Monthly Opening Ledger",4)</f>
        <v>#NAME?</v>
      </c>
      <c r="D9" s="43" t="e">
        <f>dsd("Avfuel Lockbox",4)</f>
        <v>#NAME?</v>
      </c>
      <c r="E9" s="43" t="e">
        <f>dsd("Avfuel Monthly Incoming ACH",4)</f>
        <v>#NAME?</v>
      </c>
      <c r="F9" s="43" t="e">
        <f>dsd("Avfuel Monthly Incoming Wire",4)</f>
        <v>#NAME?</v>
      </c>
      <c r="G9" s="43" t="e">
        <f>dsd("Avfuel Commercial Deposit",4)</f>
        <v>#NAME?</v>
      </c>
      <c r="H9" s="43" t="e">
        <f>dsd("Avfuel Monthly Loan Activity",4)</f>
        <v>#NAME?</v>
      </c>
      <c r="I9" s="43" t="e">
        <f>dsd("Avfuel ACH Other",4)</f>
        <v>#NAME?</v>
      </c>
      <c r="J9" s="43" t="e">
        <f>dsd("Avfuel ACH TMCW",4)</f>
        <v>#NAME?</v>
      </c>
      <c r="K9" s="44" t="e">
        <f>dsd("Avfuel Contract Fuel",4)</f>
        <v>#NAME?</v>
      </c>
      <c r="L9" s="44" t="e">
        <f>dsd("Avfuel Credit Cards",4)</f>
        <v>#NAME?</v>
      </c>
      <c r="M9" s="44" t="e">
        <f>dsd("Avfuel Freight",4)</f>
        <v>#NAME?</v>
      </c>
      <c r="N9" s="44" t="e">
        <f>dsd("Avfuel Tax",4)</f>
        <v>#NAME?</v>
      </c>
      <c r="O9" s="44" t="e">
        <f>dsd("Avfuel Fuel Supplier",4)</f>
        <v>#NAME?</v>
      </c>
      <c r="P9" s="44" t="e">
        <f>dsd("Avfuel Other",4)</f>
        <v>#NAME?</v>
      </c>
      <c r="Q9" s="43" t="e">
        <f>dsd("Avfuel Monthly Outgoing Wire",4)</f>
        <v>#NAME?</v>
      </c>
      <c r="R9" s="43" t="e">
        <f>dsd("Avfuel Check Paid",4)</f>
        <v>#NAME?</v>
      </c>
      <c r="S9" s="43" t="e">
        <f>dsd("Avfuel Monthly Other",4)</f>
        <v>#NAME?</v>
      </c>
      <c r="T9" s="45" t="e">
        <f>SUM(C9:J9,Q9:S9)</f>
        <v>#NULL!</v>
      </c>
      <c r="V9" s="43" t="e">
        <f>dsd("Avfuel Monthly Credits and Debits",4)</f>
        <v>#NAME?</v>
      </c>
    </row>
    <row r="10" ht="12.75" s="46" customFormat="true">
      <c r="A10" s="41" t="n">
        <f>IF(A9&lt;&gt;"",IF(MONTH(A9)=MONTH(A9+1),A9+1,""),"")</f>
        <v>42282.0</v>
      </c>
      <c r="B10" s="42"/>
      <c r="C10" s="43" t="e">
        <f>dsd("Avfuel Monthly Opening Ledger",5)</f>
        <v>#NAME?</v>
      </c>
      <c r="D10" s="43" t="e">
        <f>dsd("Avfuel Lockbox",5)</f>
        <v>#NAME?</v>
      </c>
      <c r="E10" s="43" t="e">
        <f>dsd("Avfuel Monthly Incoming ACH",5)</f>
        <v>#NAME?</v>
      </c>
      <c r="F10" s="43" t="e">
        <f>dsd("Avfuel Monthly Incoming Wire",5)</f>
        <v>#NAME?</v>
      </c>
      <c r="G10" s="43" t="e">
        <f>dsd("Avfuel Commercial Deposit",5)</f>
        <v>#NAME?</v>
      </c>
      <c r="H10" s="43" t="e">
        <f>dsd("Avfuel Monthly Loan Activity",5)</f>
        <v>#NAME?</v>
      </c>
      <c r="I10" s="43" t="e">
        <f>dsd("Avfuel ACH Other",5)</f>
        <v>#NAME?</v>
      </c>
      <c r="J10" s="43" t="e">
        <f>dsd("Avfuel ACH TMCW",5)</f>
        <v>#NAME?</v>
      </c>
      <c r="K10" s="44" t="e">
        <f>dsd("Avfuel Contract Fuel",5)</f>
        <v>#NAME?</v>
      </c>
      <c r="L10" s="44" t="e">
        <f>dsd("Avfuel Credit Cards",5)</f>
        <v>#NAME?</v>
      </c>
      <c r="M10" s="44" t="e">
        <f>dsd("Avfuel Freight",5)</f>
        <v>#NAME?</v>
      </c>
      <c r="N10" s="44" t="e">
        <f>dsd("Avfuel Tax",5)</f>
        <v>#NAME?</v>
      </c>
      <c r="O10" s="44" t="e">
        <f>dsd("Avfuel Fuel Supplier",5)</f>
        <v>#NAME?</v>
      </c>
      <c r="P10" s="44" t="e">
        <f>dsd("Avfuel Other",5)</f>
        <v>#NAME?</v>
      </c>
      <c r="Q10" s="43" t="e">
        <f>dsd("Avfuel Monthly Outgoing Wire",5)</f>
        <v>#NAME?</v>
      </c>
      <c r="R10" s="43" t="e">
        <f>dsd("Avfuel Check Paid",5)</f>
        <v>#NAME?</v>
      </c>
      <c r="S10" s="43" t="e">
        <f>dsd("Avfuel Monthly Other",5)</f>
        <v>#NAME?</v>
      </c>
      <c r="T10" s="45" t="e">
        <f>SUM(C10:J10,Q10:S10)</f>
        <v>#NULL!</v>
      </c>
      <c r="V10" s="43" t="e">
        <f>dsd("Avfuel Monthly Credits and Debits",5)</f>
        <v>#NAME?</v>
      </c>
    </row>
    <row r="11" ht="12.75" s="46" customFormat="true">
      <c r="A11" s="41" t="n">
        <f>IF(A10&lt;&gt;"",IF(MONTH(A10)=MONTH(A10+1),A10+1,""),"")</f>
        <v>42283.0</v>
      </c>
      <c r="B11" s="42"/>
      <c r="C11" s="43" t="e">
        <f>dsd("Avfuel Monthly Opening Ledger",6)</f>
        <v>#NAME?</v>
      </c>
      <c r="D11" s="43" t="e">
        <f>dsd("Avfuel Lockbox",6)</f>
        <v>#NAME?</v>
      </c>
      <c r="E11" s="43" t="e">
        <f>dsd("Avfuel Monthly Incoming ACH",6)</f>
        <v>#NAME?</v>
      </c>
      <c r="F11" s="43" t="e">
        <f>dsd("Avfuel Monthly Incoming Wire",6)</f>
        <v>#NAME?</v>
      </c>
      <c r="G11" s="43" t="e">
        <f>dsd("Avfuel Commercial Deposit",6)</f>
        <v>#NAME?</v>
      </c>
      <c r="H11" s="43" t="e">
        <f>dsd("Avfuel Monthly Loan Activity",6)</f>
        <v>#NAME?</v>
      </c>
      <c r="I11" s="43" t="e">
        <f>dsd("Avfuel ACH Other",6)</f>
        <v>#NAME?</v>
      </c>
      <c r="J11" s="43" t="e">
        <f>dsd("Avfuel ACH TMCW",6)</f>
        <v>#NAME?</v>
      </c>
      <c r="K11" s="44" t="e">
        <f>dsd("Avfuel Contract Fuel",6)</f>
        <v>#NAME?</v>
      </c>
      <c r="L11" s="44" t="e">
        <f>dsd("Avfuel Credit Cards",6)</f>
        <v>#NAME?</v>
      </c>
      <c r="M11" s="44" t="e">
        <f>dsd("Avfuel Freight",6)</f>
        <v>#NAME?</v>
      </c>
      <c r="N11" s="44" t="e">
        <f>dsd("Avfuel Tax",6)</f>
        <v>#NAME?</v>
      </c>
      <c r="O11" s="44" t="e">
        <f>dsd("Avfuel Fuel Supplier",6)</f>
        <v>#NAME?</v>
      </c>
      <c r="P11" s="44" t="e">
        <f>dsd("Avfuel Other",6)</f>
        <v>#NAME?</v>
      </c>
      <c r="Q11" s="43" t="e">
        <f>dsd("Avfuel Monthly Outgoing Wire",6)</f>
        <v>#NAME?</v>
      </c>
      <c r="R11" s="43" t="e">
        <f>dsd("Avfuel Check Paid",6)</f>
        <v>#NAME?</v>
      </c>
      <c r="S11" s="43" t="e">
        <f>dsd("Avfuel Monthly Other",6)</f>
        <v>#NAME?</v>
      </c>
      <c r="T11" s="45" t="e">
        <f>SUM(C11:J11,Q11:S11)</f>
        <v>#NULL!</v>
      </c>
      <c r="V11" s="43" t="e">
        <f>dsd("Avfuel Monthly Credits and Debits",6)</f>
        <v>#NAME?</v>
      </c>
    </row>
    <row r="12" ht="12.75" s="46" customFormat="true">
      <c r="A12" s="41" t="n">
        <f>IF(A11&lt;&gt;"",IF(MONTH(A11)=MONTH(A11+1),A11+1,""),"")</f>
        <v>42284.0</v>
      </c>
      <c r="B12" s="42"/>
      <c r="C12" s="43" t="e">
        <f>dsd("Avfuel Monthly Opening Ledger",7)</f>
        <v>#NAME?</v>
      </c>
      <c r="D12" s="43" t="e">
        <f>dsd("Avfuel Lockbox",7)</f>
        <v>#NAME?</v>
      </c>
      <c r="E12" s="43" t="e">
        <f>dsd("Avfuel Monthly Incoming ACH",7)</f>
        <v>#NAME?</v>
      </c>
      <c r="F12" s="43" t="e">
        <f>dsd("Avfuel Monthly Incoming Wire",7)</f>
        <v>#NAME?</v>
      </c>
      <c r="G12" s="43" t="e">
        <f>dsd("Avfuel Commercial Deposit",7)</f>
        <v>#NAME?</v>
      </c>
      <c r="H12" s="43" t="e">
        <f>dsd("Avfuel Monthly Loan Activity",7)</f>
        <v>#NAME?</v>
      </c>
      <c r="I12" s="43" t="e">
        <f>dsd("Avfuel ACH Other",7)</f>
        <v>#NAME?</v>
      </c>
      <c r="J12" s="43" t="e">
        <f>dsd("Avfuel ACH TMCW",7)</f>
        <v>#NAME?</v>
      </c>
      <c r="K12" s="44" t="e">
        <f>dsd("Avfuel Contract Fuel",7)</f>
        <v>#NAME?</v>
      </c>
      <c r="L12" s="44" t="e">
        <f>dsd("Avfuel Credit Cards",7)</f>
        <v>#NAME?</v>
      </c>
      <c r="M12" s="44" t="e">
        <f>dsd("Avfuel Freight",7)</f>
        <v>#NAME?</v>
      </c>
      <c r="N12" s="44" t="e">
        <f>dsd("Avfuel Tax",7)</f>
        <v>#NAME?</v>
      </c>
      <c r="O12" s="44" t="e">
        <f>dsd("Avfuel Fuel Supplier",7)</f>
        <v>#NAME?</v>
      </c>
      <c r="P12" s="44" t="e">
        <f>dsd("Avfuel Other",7)</f>
        <v>#NAME?</v>
      </c>
      <c r="Q12" s="43" t="e">
        <f>dsd("Avfuel Monthly Outgoing Wire",7)</f>
        <v>#NAME?</v>
      </c>
      <c r="R12" s="43" t="e">
        <f>dsd("Avfuel Check Paid",7)</f>
        <v>#NAME?</v>
      </c>
      <c r="S12" s="43" t="e">
        <f>dsd("Avfuel Monthly Other",7)</f>
        <v>#NAME?</v>
      </c>
      <c r="T12" s="45" t="e">
        <f>SUM(C12:J12,Q12:S12)</f>
        <v>#NULL!</v>
      </c>
      <c r="V12" s="43" t="e">
        <f>dsd("Avfuel Monthly Credits and Debits",7)</f>
        <v>#NAME?</v>
      </c>
    </row>
    <row r="13" ht="12.75" s="46" customFormat="true">
      <c r="A13" s="41" t="n">
        <f>IF(A12&lt;&gt;"",IF(MONTH(A12)=MONTH(A12+1),A12+1,""),"")</f>
        <v>42285.0</v>
      </c>
      <c r="B13" s="42"/>
      <c r="C13" s="43" t="e">
        <f>dsd("Avfuel Monthly Opening Ledger",8)</f>
        <v>#NAME?</v>
      </c>
      <c r="D13" s="43" t="e">
        <f>dsd("Avfuel Lockbox",8)</f>
        <v>#NAME?</v>
      </c>
      <c r="E13" s="43" t="e">
        <f>dsd("Avfuel Monthly Incoming ACH",8)</f>
        <v>#NAME?</v>
      </c>
      <c r="F13" s="43" t="e">
        <f>dsd("Avfuel Monthly Incoming Wire",8)</f>
        <v>#NAME?</v>
      </c>
      <c r="G13" s="43" t="e">
        <f>dsd("Avfuel Commercial Deposit",8)</f>
        <v>#NAME?</v>
      </c>
      <c r="H13" s="43" t="e">
        <f>dsd("Avfuel Monthly Loan Activity",8)</f>
        <v>#NAME?</v>
      </c>
      <c r="I13" s="43" t="e">
        <f>dsd("Avfuel ACH Other",8)</f>
        <v>#NAME?</v>
      </c>
      <c r="J13" s="43" t="e">
        <f>dsd("Avfuel ACH TMCW",8)</f>
        <v>#NAME?</v>
      </c>
      <c r="K13" s="44" t="e">
        <f>dsd("Avfuel Contract Fuel",8)</f>
        <v>#NAME?</v>
      </c>
      <c r="L13" s="44" t="e">
        <f>dsd("Avfuel Credit Cards",8)</f>
        <v>#NAME?</v>
      </c>
      <c r="M13" s="44" t="e">
        <f>dsd("Avfuel Freight",8)</f>
        <v>#NAME?</v>
      </c>
      <c r="N13" s="44" t="e">
        <f>dsd("Avfuel Tax",8)</f>
        <v>#NAME?</v>
      </c>
      <c r="O13" s="44" t="e">
        <f>dsd("Avfuel Fuel Supplier",8)</f>
        <v>#NAME?</v>
      </c>
      <c r="P13" s="44" t="e">
        <f>dsd("Avfuel Other",8)</f>
        <v>#NAME?</v>
      </c>
      <c r="Q13" s="43" t="e">
        <f>dsd("Avfuel Monthly Outgoing Wire",8)</f>
        <v>#NAME?</v>
      </c>
      <c r="R13" s="43" t="e">
        <f>dsd("Avfuel Check Paid",8)</f>
        <v>#NAME?</v>
      </c>
      <c r="S13" s="43" t="e">
        <f>dsd("Avfuel Monthly Other",8)</f>
        <v>#NAME?</v>
      </c>
      <c r="T13" s="45" t="e">
        <f>SUM(C13:J13,Q13:S13)</f>
        <v>#NULL!</v>
      </c>
      <c r="V13" s="43" t="e">
        <f>dsd("Avfuel Monthly Credits and Debits",8)</f>
        <v>#NAME?</v>
      </c>
    </row>
    <row r="14" ht="12.75" s="46" customFormat="true">
      <c r="A14" s="41" t="n">
        <f>IF(A13&lt;&gt;"",IF(MONTH(A13)=MONTH(A13+1),A13+1,""),"")</f>
        <v>42286.0</v>
      </c>
      <c r="B14" s="42"/>
      <c r="C14" s="43" t="e">
        <f>dsd("Avfuel Monthly Opening Ledger",9)</f>
        <v>#NAME?</v>
      </c>
      <c r="D14" s="43" t="e">
        <f>dsd("Avfuel Lockbox",9)</f>
        <v>#NAME?</v>
      </c>
      <c r="E14" s="43" t="e">
        <f>dsd("Avfuel Monthly Incoming ACH",9)</f>
        <v>#NAME?</v>
      </c>
      <c r="F14" s="43" t="e">
        <f>dsd("Avfuel Monthly Incoming Wire",9)</f>
        <v>#NAME?</v>
      </c>
      <c r="G14" s="43" t="e">
        <f>dsd("Avfuel Commercial Deposit",9)</f>
        <v>#NAME?</v>
      </c>
      <c r="H14" s="43" t="e">
        <f>dsd("Avfuel Monthly Loan Activity",9)</f>
        <v>#NAME?</v>
      </c>
      <c r="I14" s="43" t="e">
        <f>dsd("Avfuel ACH Other",9)</f>
        <v>#NAME?</v>
      </c>
      <c r="J14" s="43" t="e">
        <f>dsd("Avfuel ACH TMCW",9)</f>
        <v>#NAME?</v>
      </c>
      <c r="K14" s="44" t="e">
        <f>dsd("Avfuel Contract Fuel",9)</f>
        <v>#NAME?</v>
      </c>
      <c r="L14" s="44" t="e">
        <f>dsd("Avfuel Credit Cards",9)</f>
        <v>#NAME?</v>
      </c>
      <c r="M14" s="44" t="e">
        <f>dsd("Avfuel Freight",9)</f>
        <v>#NAME?</v>
      </c>
      <c r="N14" s="44" t="e">
        <f>dsd("Avfuel Tax",9)</f>
        <v>#NAME?</v>
      </c>
      <c r="O14" s="44" t="e">
        <f>dsd("Avfuel Fuel Supplier",9)</f>
        <v>#NAME?</v>
      </c>
      <c r="P14" s="44" t="e">
        <f>dsd("Avfuel Other",9)</f>
        <v>#NAME?</v>
      </c>
      <c r="Q14" s="43" t="e">
        <f>dsd("Avfuel Monthly Outgoing Wire",9)</f>
        <v>#NAME?</v>
      </c>
      <c r="R14" s="43" t="e">
        <f>dsd("Avfuel Check Paid",9)</f>
        <v>#NAME?</v>
      </c>
      <c r="S14" s="43" t="e">
        <f>dsd("Avfuel Monthly Other",9)</f>
        <v>#NAME?</v>
      </c>
      <c r="T14" s="45" t="e">
        <f>SUM(C14:J14,Q14:S14)</f>
        <v>#NULL!</v>
      </c>
      <c r="V14" s="43" t="e">
        <f>dsd("Avfuel Monthly Credits and Debits",9)</f>
        <v>#NAME?</v>
      </c>
    </row>
    <row r="15" ht="12.75" s="46" customFormat="true">
      <c r="A15" s="41" t="n">
        <f>IF(A14&lt;&gt;"",IF(MONTH(A14)=MONTH(A14+1),A14+1,""),"")</f>
        <v>42287.0</v>
      </c>
      <c r="B15" s="42"/>
      <c r="C15" s="43" t="e">
        <f>dsd("Avfuel Monthly Opening Ledger",10)</f>
        <v>#NAME?</v>
      </c>
      <c r="D15" s="43" t="e">
        <f>dsd("Avfuel Lockbox",10)</f>
        <v>#NAME?</v>
      </c>
      <c r="E15" s="43" t="e">
        <f>dsd("Avfuel Monthly Incoming ACH",10)</f>
        <v>#NAME?</v>
      </c>
      <c r="F15" s="43" t="e">
        <f>dsd("Avfuel Monthly Incoming Wire",10)</f>
        <v>#NAME?</v>
      </c>
      <c r="G15" s="43" t="e">
        <f>dsd("Avfuel Commercial Deposit",10)</f>
        <v>#NAME?</v>
      </c>
      <c r="H15" s="43" t="e">
        <f>dsd("Avfuel Monthly Loan Activity",10)</f>
        <v>#NAME?</v>
      </c>
      <c r="I15" s="43" t="e">
        <f>dsd("Avfuel ACH Other",10)</f>
        <v>#NAME?</v>
      </c>
      <c r="J15" s="43" t="e">
        <f>dsd("Avfuel ACH TMCW",10)</f>
        <v>#NAME?</v>
      </c>
      <c r="K15" s="44" t="e">
        <f>dsd("Avfuel Contract Fuel",10)</f>
        <v>#NAME?</v>
      </c>
      <c r="L15" s="44" t="e">
        <f>dsd("Avfuel Credit Cards",10)</f>
        <v>#NAME?</v>
      </c>
      <c r="M15" s="44" t="e">
        <f>dsd("Avfuel Freight",10)</f>
        <v>#NAME?</v>
      </c>
      <c r="N15" s="44" t="e">
        <f>dsd("Avfuel Tax",10)</f>
        <v>#NAME?</v>
      </c>
      <c r="O15" s="44" t="e">
        <f>dsd("Avfuel Fuel Supplier",10)</f>
        <v>#NAME?</v>
      </c>
      <c r="P15" s="44" t="e">
        <f>dsd("Avfuel Other",10)</f>
        <v>#NAME?</v>
      </c>
      <c r="Q15" s="43" t="e">
        <f>dsd("Avfuel Monthly Outgoing Wire",10)</f>
        <v>#NAME?</v>
      </c>
      <c r="R15" s="43" t="e">
        <f>dsd("Avfuel Check Paid",10)</f>
        <v>#NAME?</v>
      </c>
      <c r="S15" s="43" t="e">
        <f>dsd("Avfuel Monthly Other",10)</f>
        <v>#NAME?</v>
      </c>
      <c r="T15" s="45" t="e">
        <f>SUM(C15:J15,Q15:S15)</f>
        <v>#NULL!</v>
      </c>
      <c r="V15" s="43" t="e">
        <f>dsd("Avfuel Monthly Credits and Debits",10)</f>
        <v>#NAME?</v>
      </c>
    </row>
    <row r="16" ht="12.75" s="46" customFormat="true">
      <c r="A16" s="41" t="n">
        <f>IF(A15&lt;&gt;"",IF(MONTH(A15)=MONTH(A15+1),A15+1,""),"")</f>
        <v>42288.0</v>
      </c>
      <c r="B16" s="42"/>
      <c r="C16" s="43" t="e">
        <f>dsd("Avfuel Monthly Opening Ledger",11)</f>
        <v>#NAME?</v>
      </c>
      <c r="D16" s="43" t="e">
        <f>dsd("Avfuel Lockbox",11)</f>
        <v>#NAME?</v>
      </c>
      <c r="E16" s="43" t="e">
        <f>dsd("Avfuel Monthly Incoming ACH",11)</f>
        <v>#NAME?</v>
      </c>
      <c r="F16" s="43" t="e">
        <f>dsd("Avfuel Monthly Incoming Wire",11)</f>
        <v>#NAME?</v>
      </c>
      <c r="G16" s="43" t="e">
        <f>dsd("Avfuel Commercial Deposit",11)</f>
        <v>#NAME?</v>
      </c>
      <c r="H16" s="43" t="e">
        <f>dsd("Avfuel Monthly Loan Activity",11)</f>
        <v>#NAME?</v>
      </c>
      <c r="I16" s="43" t="e">
        <f>dsd("Avfuel ACH Other",11)</f>
        <v>#NAME?</v>
      </c>
      <c r="J16" s="43" t="e">
        <f>dsd("Avfuel ACH TMCW",11)</f>
        <v>#NAME?</v>
      </c>
      <c r="K16" s="44" t="e">
        <f>dsd("Avfuel Contract Fuel",11)</f>
        <v>#NAME?</v>
      </c>
      <c r="L16" s="44" t="e">
        <f>dsd("Avfuel Credit Cards",11)</f>
        <v>#NAME?</v>
      </c>
      <c r="M16" s="44" t="e">
        <f>dsd("Avfuel Freight",11)</f>
        <v>#NAME?</v>
      </c>
      <c r="N16" s="44" t="e">
        <f>dsd("Avfuel Tax",11)</f>
        <v>#NAME?</v>
      </c>
      <c r="O16" s="44" t="e">
        <f>dsd("Avfuel Fuel Supplier",11)</f>
        <v>#NAME?</v>
      </c>
      <c r="P16" s="44" t="e">
        <f>dsd("Avfuel Other",11)</f>
        <v>#NAME?</v>
      </c>
      <c r="Q16" s="43" t="e">
        <f>dsd("Avfuel Monthly Outgoing Wire",11)</f>
        <v>#NAME?</v>
      </c>
      <c r="R16" s="43" t="e">
        <f>dsd("Avfuel Check Paid",11)</f>
        <v>#NAME?</v>
      </c>
      <c r="S16" s="43" t="e">
        <f>dsd("Avfuel Monthly Other",11)</f>
        <v>#NAME?</v>
      </c>
      <c r="T16" s="45" t="e">
        <f>SUM(C16:J16,Q16:S16)</f>
        <v>#NULL!</v>
      </c>
      <c r="V16" s="43" t="e">
        <f>dsd("Avfuel Monthly Credits and Debits",11)</f>
        <v>#NAME?</v>
      </c>
    </row>
    <row r="17" ht="12.75" s="46" customFormat="true">
      <c r="A17" s="41" t="n">
        <f>IF(A16&lt;&gt;"",IF(MONTH(A16)=MONTH(A16+1),A16+1,""),"")</f>
        <v>42289.0</v>
      </c>
      <c r="B17" s="42"/>
      <c r="C17" s="43" t="e">
        <f>dsd("Avfuel Monthly Opening Ledger",12)</f>
        <v>#NAME?</v>
      </c>
      <c r="D17" s="43" t="e">
        <f>dsd("Avfuel Lockbox",12)</f>
        <v>#NAME?</v>
      </c>
      <c r="E17" s="43" t="e">
        <f>dsd("Avfuel Monthly Incoming ACH",12)</f>
        <v>#NAME?</v>
      </c>
      <c r="F17" s="43" t="e">
        <f>dsd("Avfuel Monthly Incoming Wire",12)</f>
        <v>#NAME?</v>
      </c>
      <c r="G17" s="43" t="e">
        <f>dsd("Avfuel Commercial Deposit",12)</f>
        <v>#NAME?</v>
      </c>
      <c r="H17" s="43" t="e">
        <f>dsd("Avfuel Monthly Loan Activity",12)</f>
        <v>#NAME?</v>
      </c>
      <c r="I17" s="43" t="e">
        <f>dsd("Avfuel ACH Other",12)</f>
        <v>#NAME?</v>
      </c>
      <c r="J17" s="43" t="e">
        <f>dsd("Avfuel ACH TMCW",12)</f>
        <v>#NAME?</v>
      </c>
      <c r="K17" s="44" t="e">
        <f>dsd("Avfuel Contract Fuel",12)</f>
        <v>#NAME?</v>
      </c>
      <c r="L17" s="44" t="e">
        <f>dsd("Avfuel Credit Cards",12)</f>
        <v>#NAME?</v>
      </c>
      <c r="M17" s="44" t="e">
        <f>dsd("Avfuel Freight",12)</f>
        <v>#NAME?</v>
      </c>
      <c r="N17" s="44" t="e">
        <f>dsd("Avfuel Tax",12)</f>
        <v>#NAME?</v>
      </c>
      <c r="O17" s="44" t="e">
        <f>dsd("Avfuel Fuel Supplier",12)</f>
        <v>#NAME?</v>
      </c>
      <c r="P17" s="44" t="e">
        <f>dsd("Avfuel Other",12)</f>
        <v>#NAME?</v>
      </c>
      <c r="Q17" s="43" t="e">
        <f>dsd("Avfuel Monthly Outgoing Wire",12)</f>
        <v>#NAME?</v>
      </c>
      <c r="R17" s="43" t="e">
        <f>dsd("Avfuel Check Paid",12)</f>
        <v>#NAME?</v>
      </c>
      <c r="S17" s="43" t="e">
        <f>dsd("Avfuel Monthly Other",12)</f>
        <v>#NAME?</v>
      </c>
      <c r="T17" s="45" t="e">
        <f>SUM(C17:J17,Q17:S17)</f>
        <v>#NULL!</v>
      </c>
      <c r="V17" s="43" t="e">
        <f>dsd("Avfuel Monthly Credits and Debits",12)</f>
        <v>#NAME?</v>
      </c>
    </row>
    <row r="18" ht="12.75" s="46" customFormat="true">
      <c r="A18" s="41" t="n">
        <f>IF(A17&lt;&gt;"",IF(MONTH(A17)=MONTH(A17+1),A17+1,""),"")</f>
        <v>42290.0</v>
      </c>
      <c r="B18" s="42"/>
      <c r="C18" s="43" t="e">
        <f>dsd("Avfuel Monthly Opening Ledger",13)</f>
        <v>#NAME?</v>
      </c>
      <c r="D18" s="43" t="e">
        <f>dsd("Avfuel Lockbox",13)</f>
        <v>#NAME?</v>
      </c>
      <c r="E18" s="43" t="e">
        <f>dsd("Avfuel Monthly Incoming ACH",13)</f>
        <v>#NAME?</v>
      </c>
      <c r="F18" s="43" t="e">
        <f>dsd("Avfuel Monthly Incoming Wire",13)</f>
        <v>#NAME?</v>
      </c>
      <c r="G18" s="43" t="e">
        <f>dsd("Avfuel Commercial Deposit",13)</f>
        <v>#NAME?</v>
      </c>
      <c r="H18" s="43" t="e">
        <f>dsd("Avfuel Monthly Loan Activity",13)</f>
        <v>#NAME?</v>
      </c>
      <c r="I18" s="43" t="e">
        <f>dsd("Avfuel ACH Other",13)</f>
        <v>#NAME?</v>
      </c>
      <c r="J18" s="43" t="e">
        <f>dsd("Avfuel ACH TMCW",13)</f>
        <v>#NAME?</v>
      </c>
      <c r="K18" s="44" t="e">
        <f>dsd("Avfuel Contract Fuel",13)</f>
        <v>#NAME?</v>
      </c>
      <c r="L18" s="44" t="e">
        <f>dsd("Avfuel Credit Cards",13)</f>
        <v>#NAME?</v>
      </c>
      <c r="M18" s="44" t="e">
        <f>dsd("Avfuel Freight",13)</f>
        <v>#NAME?</v>
      </c>
      <c r="N18" s="44" t="e">
        <f>dsd("Avfuel Tax",13)</f>
        <v>#NAME?</v>
      </c>
      <c r="O18" s="44" t="e">
        <f>dsd("Avfuel Fuel Supplier",13)</f>
        <v>#NAME?</v>
      </c>
      <c r="P18" s="44" t="e">
        <f>dsd("Avfuel Other",13)</f>
        <v>#NAME?</v>
      </c>
      <c r="Q18" s="43" t="e">
        <f>dsd("Avfuel Monthly Outgoing Wire",13)</f>
        <v>#NAME?</v>
      </c>
      <c r="R18" s="43" t="e">
        <f>dsd("Avfuel Check Paid",13)</f>
        <v>#NAME?</v>
      </c>
      <c r="S18" s="43" t="e">
        <f>dsd("Avfuel Monthly Other",13)</f>
        <v>#NAME?</v>
      </c>
      <c r="T18" s="45" t="e">
        <f>SUM(C18:J18,Q18:S18)</f>
        <v>#NULL!</v>
      </c>
      <c r="V18" s="43" t="e">
        <f>dsd("Avfuel Monthly Credits and Debits",13)</f>
        <v>#NAME?</v>
      </c>
    </row>
    <row r="19" ht="12.75" s="46" customFormat="true">
      <c r="A19" s="41" t="n">
        <f>IF(A18&lt;&gt;"",IF(MONTH(A18)=MONTH(A18+1),A18+1,""),"")</f>
        <v>42291.0</v>
      </c>
      <c r="B19" s="42"/>
      <c r="C19" s="43" t="e">
        <f>dsd("Avfuel Monthly Opening Ledger",14)</f>
        <v>#NAME?</v>
      </c>
      <c r="D19" s="43" t="e">
        <f>dsd("Avfuel Lockbox",14)</f>
        <v>#NAME?</v>
      </c>
      <c r="E19" s="43" t="e">
        <f>dsd("Avfuel Monthly Incoming ACH",14)</f>
        <v>#NAME?</v>
      </c>
      <c r="F19" s="43" t="e">
        <f>dsd("Avfuel Monthly Incoming Wire",14)</f>
        <v>#NAME?</v>
      </c>
      <c r="G19" s="43" t="e">
        <f>dsd("Avfuel Commercial Deposit",14)</f>
        <v>#NAME?</v>
      </c>
      <c r="H19" s="43" t="e">
        <f>dsd("Avfuel Monthly Loan Activity",14)</f>
        <v>#NAME?</v>
      </c>
      <c r="I19" s="43" t="e">
        <f>dsd("Avfuel ACH Other",14)</f>
        <v>#NAME?</v>
      </c>
      <c r="J19" s="43" t="e">
        <f>dsd("Avfuel ACH TMCW",14)</f>
        <v>#NAME?</v>
      </c>
      <c r="K19" s="44" t="e">
        <f>dsd("Avfuel Contract Fuel",14)</f>
        <v>#NAME?</v>
      </c>
      <c r="L19" s="44" t="e">
        <f>dsd("Avfuel Credit Cards",14)</f>
        <v>#NAME?</v>
      </c>
      <c r="M19" s="44" t="e">
        <f>dsd("Avfuel Freight",14)</f>
        <v>#NAME?</v>
      </c>
      <c r="N19" s="44" t="e">
        <f>dsd("Avfuel Tax",14)</f>
        <v>#NAME?</v>
      </c>
      <c r="O19" s="44" t="e">
        <f>dsd("Avfuel Fuel Supplier",14)</f>
        <v>#NAME?</v>
      </c>
      <c r="P19" s="44" t="e">
        <f>dsd("Avfuel Other",14)</f>
        <v>#NAME?</v>
      </c>
      <c r="Q19" s="43" t="e">
        <f>dsd("Avfuel Monthly Outgoing Wire",14)</f>
        <v>#NAME?</v>
      </c>
      <c r="R19" s="43" t="e">
        <f>dsd("Avfuel Check Paid",14)</f>
        <v>#NAME?</v>
      </c>
      <c r="S19" s="43" t="e">
        <f>dsd("Avfuel Monthly Other",14)</f>
        <v>#NAME?</v>
      </c>
      <c r="T19" s="45" t="e">
        <f>SUM(C19:J19,Q19:S19)</f>
        <v>#NULL!</v>
      </c>
      <c r="V19" s="43" t="e">
        <f>dsd("Avfuel Monthly Credits and Debits",14)</f>
        <v>#NAME?</v>
      </c>
    </row>
    <row r="20" ht="12.75" s="46" customFormat="true">
      <c r="A20" s="41" t="n">
        <f>IF(A19&lt;&gt;"",IF(MONTH(A19)=MONTH(A19+1),A19+1,""),"")</f>
        <v>42292.0</v>
      </c>
      <c r="B20" s="42"/>
      <c r="C20" s="43" t="e">
        <f>dsd("Avfuel Monthly Opening Ledger",15)</f>
        <v>#NAME?</v>
      </c>
      <c r="D20" s="43" t="e">
        <f>dsd("Avfuel Lockbox",15)</f>
        <v>#NAME?</v>
      </c>
      <c r="E20" s="43" t="e">
        <f>dsd("Avfuel Monthly Incoming ACH",15)</f>
        <v>#NAME?</v>
      </c>
      <c r="F20" s="43" t="e">
        <f>dsd("Avfuel Monthly Incoming Wire",15)</f>
        <v>#NAME?</v>
      </c>
      <c r="G20" s="43" t="e">
        <f>dsd("Avfuel Commercial Deposit",15)</f>
        <v>#NAME?</v>
      </c>
      <c r="H20" s="43" t="e">
        <f>dsd("Avfuel Monthly Loan Activity",15)</f>
        <v>#NAME?</v>
      </c>
      <c r="I20" s="43" t="e">
        <f>dsd("Avfuel ACH Other",15)</f>
        <v>#NAME?</v>
      </c>
      <c r="J20" s="43" t="e">
        <f>dsd("Avfuel ACH TMCW",15)</f>
        <v>#NAME?</v>
      </c>
      <c r="K20" s="44" t="e">
        <f>dsd("Avfuel Contract Fuel",15)</f>
        <v>#NAME?</v>
      </c>
      <c r="L20" s="44" t="e">
        <f>dsd("Avfuel Credit Cards",15)</f>
        <v>#NAME?</v>
      </c>
      <c r="M20" s="44" t="e">
        <f>dsd("Avfuel Freight",15)</f>
        <v>#NAME?</v>
      </c>
      <c r="N20" s="44" t="e">
        <f>dsd("Avfuel Tax",15)</f>
        <v>#NAME?</v>
      </c>
      <c r="O20" s="44" t="e">
        <f>dsd("Avfuel Fuel Supplier",15)</f>
        <v>#NAME?</v>
      </c>
      <c r="P20" s="44" t="e">
        <f>dsd("Avfuel Other",15)</f>
        <v>#NAME?</v>
      </c>
      <c r="Q20" s="43" t="e">
        <f>dsd("Avfuel Monthly Outgoing Wire",15)</f>
        <v>#NAME?</v>
      </c>
      <c r="R20" s="43" t="e">
        <f>dsd("Avfuel Check Paid",15)</f>
        <v>#NAME?</v>
      </c>
      <c r="S20" s="43" t="e">
        <f>dsd("Avfuel Monthly Other",15)</f>
        <v>#NAME?</v>
      </c>
      <c r="T20" s="45" t="e">
        <f>SUM(C20:J20,Q20:S20)</f>
        <v>#NULL!</v>
      </c>
      <c r="V20" s="43" t="e">
        <f>dsd("Avfuel Monthly Credits and Debits",15)</f>
        <v>#NAME?</v>
      </c>
    </row>
    <row r="21" ht="12.75" s="46" customFormat="true">
      <c r="A21" s="41" t="n">
        <f>IF(A20&lt;&gt;"",IF(MONTH(A20)=MONTH(A20+1),A20+1,""),"")</f>
        <v>42293.0</v>
      </c>
      <c r="B21" s="42"/>
      <c r="C21" s="43" t="e">
        <f>dsd("Avfuel Monthly Opening Ledger",16)</f>
        <v>#NAME?</v>
      </c>
      <c r="D21" s="43" t="e">
        <f>dsd("Avfuel Lockbox",16)</f>
        <v>#NAME?</v>
      </c>
      <c r="E21" s="43" t="e">
        <f>dsd("Avfuel Monthly Incoming ACH",16)</f>
        <v>#NAME?</v>
      </c>
      <c r="F21" s="43" t="e">
        <f>dsd("Avfuel Monthly Incoming Wire",16)</f>
        <v>#NAME?</v>
      </c>
      <c r="G21" s="43" t="e">
        <f>dsd("Avfuel Commercial Deposit",16)</f>
        <v>#NAME?</v>
      </c>
      <c r="H21" s="43" t="e">
        <f>dsd("Avfuel Monthly Loan Activity",16)</f>
        <v>#NAME?</v>
      </c>
      <c r="I21" s="43" t="e">
        <f>dsd("Avfuel ACH Other",16)</f>
        <v>#NAME?</v>
      </c>
      <c r="J21" s="43" t="e">
        <f>dsd("Avfuel ACH TMCW",16)</f>
        <v>#NAME?</v>
      </c>
      <c r="K21" s="44" t="e">
        <f>dsd("Avfuel Contract Fuel",16)</f>
        <v>#NAME?</v>
      </c>
      <c r="L21" s="44" t="e">
        <f>dsd("Avfuel Credit Cards",16)</f>
        <v>#NAME?</v>
      </c>
      <c r="M21" s="44" t="e">
        <f>dsd("Avfuel Freight",16)</f>
        <v>#NAME?</v>
      </c>
      <c r="N21" s="44" t="e">
        <f>dsd("Avfuel Tax",16)</f>
        <v>#NAME?</v>
      </c>
      <c r="O21" s="44" t="e">
        <f>dsd("Avfuel Fuel Supplier",16)</f>
        <v>#NAME?</v>
      </c>
      <c r="P21" s="44" t="e">
        <f>dsd("Avfuel Other",16)</f>
        <v>#NAME?</v>
      </c>
      <c r="Q21" s="43" t="e">
        <f>dsd("Avfuel Monthly Outgoing Wire",16)</f>
        <v>#NAME?</v>
      </c>
      <c r="R21" s="43" t="e">
        <f>dsd("Avfuel Check Paid",16)</f>
        <v>#NAME?</v>
      </c>
      <c r="S21" s="43" t="e">
        <f>dsd("Avfuel Monthly Other",16)</f>
        <v>#NAME?</v>
      </c>
      <c r="T21" s="45" t="e">
        <f>SUM(C21:J21,Q21:S21)</f>
        <v>#NULL!</v>
      </c>
      <c r="V21" s="43" t="e">
        <f>dsd("Avfuel Monthly Credits and Debits",16)</f>
        <v>#NAME?</v>
      </c>
    </row>
    <row r="22" ht="12.75" s="46" customFormat="true">
      <c r="A22" s="41" t="n">
        <f>IF(A21&lt;&gt;"",IF(MONTH(A21)=MONTH(A21+1),A21+1,""),"")</f>
        <v>42294.0</v>
      </c>
      <c r="B22" s="42"/>
      <c r="C22" s="43" t="e">
        <f>dsd("Avfuel Monthly Opening Ledger",17)</f>
        <v>#NAME?</v>
      </c>
      <c r="D22" s="43" t="e">
        <f>dsd("Avfuel Lockbox",17)</f>
        <v>#NAME?</v>
      </c>
      <c r="E22" s="43" t="e">
        <f>dsd("Avfuel Monthly Incoming ACH",17)</f>
        <v>#NAME?</v>
      </c>
      <c r="F22" s="43" t="e">
        <f>dsd("Avfuel Monthly Incoming Wire",17)</f>
        <v>#NAME?</v>
      </c>
      <c r="G22" s="43" t="e">
        <f>dsd("Avfuel Commercial Deposit",17)</f>
        <v>#NAME?</v>
      </c>
      <c r="H22" s="43" t="e">
        <f>dsd("Avfuel Monthly Loan Activity",17)</f>
        <v>#NAME?</v>
      </c>
      <c r="I22" s="43" t="e">
        <f>dsd("Avfuel ACH Other",17)</f>
        <v>#NAME?</v>
      </c>
      <c r="J22" s="43" t="e">
        <f>dsd("Avfuel ACH TMCW",17)</f>
        <v>#NAME?</v>
      </c>
      <c r="K22" s="44" t="e">
        <f>dsd("Avfuel Contract Fuel",17)</f>
        <v>#NAME?</v>
      </c>
      <c r="L22" s="44" t="e">
        <f>dsd("Avfuel Credit Cards",17)</f>
        <v>#NAME?</v>
      </c>
      <c r="M22" s="44" t="e">
        <f>dsd("Avfuel Freight",17)</f>
        <v>#NAME?</v>
      </c>
      <c r="N22" s="44" t="e">
        <f>dsd("Avfuel Tax",17)</f>
        <v>#NAME?</v>
      </c>
      <c r="O22" s="44" t="e">
        <f>dsd("Avfuel Fuel Supplier",17)</f>
        <v>#NAME?</v>
      </c>
      <c r="P22" s="44" t="e">
        <f>dsd("Avfuel Other",17)</f>
        <v>#NAME?</v>
      </c>
      <c r="Q22" s="43" t="e">
        <f>dsd("Avfuel Monthly Outgoing Wire",17)</f>
        <v>#NAME?</v>
      </c>
      <c r="R22" s="43" t="e">
        <f>dsd("Avfuel Check Paid",17)</f>
        <v>#NAME?</v>
      </c>
      <c r="S22" s="43" t="e">
        <f>dsd("Avfuel Monthly Other",17)</f>
        <v>#NAME?</v>
      </c>
      <c r="T22" s="45" t="e">
        <f>SUM(C22:J22,Q22:S22)</f>
        <v>#NULL!</v>
      </c>
      <c r="V22" s="43" t="e">
        <f>dsd("Avfuel Monthly Credits and Debits",17)</f>
        <v>#NAME?</v>
      </c>
    </row>
    <row r="23" ht="12.75" s="46" customFormat="true">
      <c r="A23" s="41" t="n">
        <f>IF(A22&lt;&gt;"",IF(MONTH(A22)=MONTH(A22+1),A22+1,""),"")</f>
        <v>42295.0</v>
      </c>
      <c r="B23" s="42"/>
      <c r="C23" s="43" t="e">
        <f>dsd("Avfuel Monthly Opening Ledger",18)</f>
        <v>#NAME?</v>
      </c>
      <c r="D23" s="43" t="e">
        <f>dsd("Avfuel Lockbox",18)</f>
        <v>#NAME?</v>
      </c>
      <c r="E23" s="43" t="e">
        <f>dsd("Avfuel Monthly Incoming ACH",18)</f>
        <v>#NAME?</v>
      </c>
      <c r="F23" s="43" t="e">
        <f>dsd("Avfuel Monthly Incoming Wire",18)</f>
        <v>#NAME?</v>
      </c>
      <c r="G23" s="43" t="e">
        <f>dsd("Avfuel Commercial Deposit",18)</f>
        <v>#NAME?</v>
      </c>
      <c r="H23" s="43" t="e">
        <f>dsd("Avfuel Monthly Loan Activity",18)</f>
        <v>#NAME?</v>
      </c>
      <c r="I23" s="43" t="e">
        <f>dsd("Avfuel ACH Other",18)</f>
        <v>#NAME?</v>
      </c>
      <c r="J23" s="43" t="e">
        <f>dsd("Avfuel ACH TMCW",18)</f>
        <v>#NAME?</v>
      </c>
      <c r="K23" s="44" t="e">
        <f>dsd("Avfuel Contract Fuel",18)</f>
        <v>#NAME?</v>
      </c>
      <c r="L23" s="44" t="e">
        <f>dsd("Avfuel Credit Cards",18)</f>
        <v>#NAME?</v>
      </c>
      <c r="M23" s="44" t="e">
        <f>dsd("Avfuel Freight",18)</f>
        <v>#NAME?</v>
      </c>
      <c r="N23" s="44" t="e">
        <f>dsd("Avfuel Tax",18)</f>
        <v>#NAME?</v>
      </c>
      <c r="O23" s="44" t="e">
        <f>dsd("Avfuel Fuel Supplier",18)</f>
        <v>#NAME?</v>
      </c>
      <c r="P23" s="44" t="e">
        <f>dsd("Avfuel Other",18)</f>
        <v>#NAME?</v>
      </c>
      <c r="Q23" s="43" t="e">
        <f>dsd("Avfuel Monthly Outgoing Wire",18)</f>
        <v>#NAME?</v>
      </c>
      <c r="R23" s="43" t="e">
        <f>dsd("Avfuel Check Paid",18)</f>
        <v>#NAME?</v>
      </c>
      <c r="S23" s="43" t="e">
        <f>dsd("Avfuel Monthly Other",18)</f>
        <v>#NAME?</v>
      </c>
      <c r="T23" s="45" t="e">
        <f>SUM(C23:J23,Q23:S23)</f>
        <v>#NULL!</v>
      </c>
      <c r="V23" s="43" t="e">
        <f>dsd("Avfuel Monthly Credits and Debits",18)</f>
        <v>#NAME?</v>
      </c>
    </row>
    <row r="24" ht="12.75" s="46" customFormat="true">
      <c r="A24" s="41" t="n">
        <f>IF(A23&lt;&gt;"",IF(MONTH(A23)=MONTH(A23+1),A23+1,""),"")</f>
        <v>42296.0</v>
      </c>
      <c r="B24" s="42"/>
      <c r="C24" s="43" t="e">
        <f>dsd("Avfuel Monthly Opening Ledger",19)</f>
        <v>#NAME?</v>
      </c>
      <c r="D24" s="43" t="e">
        <f>dsd("Avfuel Lockbox",19)</f>
        <v>#NAME?</v>
      </c>
      <c r="E24" s="43" t="e">
        <f>dsd("Avfuel Monthly Incoming ACH",19)</f>
        <v>#NAME?</v>
      </c>
      <c r="F24" s="43" t="e">
        <f>dsd("Avfuel Monthly Incoming Wire",19)</f>
        <v>#NAME?</v>
      </c>
      <c r="G24" s="43" t="e">
        <f>dsd("Avfuel Commercial Deposit",19)</f>
        <v>#NAME?</v>
      </c>
      <c r="H24" s="43" t="e">
        <f>dsd("Avfuel Monthly Loan Activity",19)</f>
        <v>#NAME?</v>
      </c>
      <c r="I24" s="43" t="e">
        <f>dsd("Avfuel ACH Other",19)</f>
        <v>#NAME?</v>
      </c>
      <c r="J24" s="43" t="e">
        <f>dsd("Avfuel ACH TMCW",19)</f>
        <v>#NAME?</v>
      </c>
      <c r="K24" s="44" t="e">
        <f>dsd("Avfuel Contract Fuel",19)</f>
        <v>#NAME?</v>
      </c>
      <c r="L24" s="44" t="e">
        <f>dsd("Avfuel Credit Cards",19)</f>
        <v>#NAME?</v>
      </c>
      <c r="M24" s="44" t="e">
        <f>dsd("Avfuel Freight",19)</f>
        <v>#NAME?</v>
      </c>
      <c r="N24" s="44" t="e">
        <f>dsd("Avfuel Tax",19)</f>
        <v>#NAME?</v>
      </c>
      <c r="O24" s="44" t="e">
        <f>dsd("Avfuel Fuel Supplier",19)</f>
        <v>#NAME?</v>
      </c>
      <c r="P24" s="44" t="e">
        <f>dsd("Avfuel Other",19)</f>
        <v>#NAME?</v>
      </c>
      <c r="Q24" s="43" t="e">
        <f>dsd("Avfuel Monthly Outgoing Wire",19)</f>
        <v>#NAME?</v>
      </c>
      <c r="R24" s="43" t="e">
        <f>dsd("Avfuel Check Paid",19)</f>
        <v>#NAME?</v>
      </c>
      <c r="S24" s="43" t="e">
        <f>dsd("Avfuel Monthly Other",19)</f>
        <v>#NAME?</v>
      </c>
      <c r="T24" s="45" t="e">
        <f>SUM(C24:J24,Q24:S24)</f>
        <v>#NULL!</v>
      </c>
      <c r="V24" s="43" t="e">
        <f>dsd("Avfuel Monthly Credits and Debits",19)</f>
        <v>#NAME?</v>
      </c>
    </row>
    <row r="25" ht="12.75" s="46" customFormat="true">
      <c r="A25" s="41" t="n">
        <f>IF(A24&lt;&gt;"",IF(MONTH(A24)=MONTH(A24+1),A24+1,""),"")</f>
        <v>42297.0</v>
      </c>
      <c r="B25" s="42"/>
      <c r="C25" s="43" t="e">
        <f>dsd("Avfuel Monthly Opening Ledger",20)</f>
        <v>#NAME?</v>
      </c>
      <c r="D25" s="43" t="e">
        <f>dsd("Avfuel Lockbox",20)</f>
        <v>#NAME?</v>
      </c>
      <c r="E25" s="43" t="e">
        <f>dsd("Avfuel Monthly Incoming ACH",20)</f>
        <v>#NAME?</v>
      </c>
      <c r="F25" s="43" t="e">
        <f>dsd("Avfuel Monthly Incoming Wire",20)</f>
        <v>#NAME?</v>
      </c>
      <c r="G25" s="43" t="e">
        <f>dsd("Avfuel Commercial Deposit",20)</f>
        <v>#NAME?</v>
      </c>
      <c r="H25" s="43" t="e">
        <f>dsd("Avfuel Monthly Loan Activity",20)</f>
        <v>#NAME?</v>
      </c>
      <c r="I25" s="43" t="e">
        <f>dsd("Avfuel ACH Other",20)</f>
        <v>#NAME?</v>
      </c>
      <c r="J25" s="43" t="e">
        <f>dsd("Avfuel ACH TMCW",20)</f>
        <v>#NAME?</v>
      </c>
      <c r="K25" s="44" t="e">
        <f>dsd("Avfuel Contract Fuel",20)</f>
        <v>#NAME?</v>
      </c>
      <c r="L25" s="44" t="e">
        <f>dsd("Avfuel Credit Cards",20)</f>
        <v>#NAME?</v>
      </c>
      <c r="M25" s="44" t="e">
        <f>dsd("Avfuel Freight",20)</f>
        <v>#NAME?</v>
      </c>
      <c r="N25" s="44" t="e">
        <f>dsd("Avfuel Tax",20)</f>
        <v>#NAME?</v>
      </c>
      <c r="O25" s="44" t="e">
        <f>dsd("Avfuel Fuel Supplier",20)</f>
        <v>#NAME?</v>
      </c>
      <c r="P25" s="44" t="e">
        <f>dsd("Avfuel Other",20)</f>
        <v>#NAME?</v>
      </c>
      <c r="Q25" s="43" t="e">
        <f>dsd("Avfuel Monthly Outgoing Wire",20)</f>
        <v>#NAME?</v>
      </c>
      <c r="R25" s="43" t="e">
        <f>dsd("Avfuel Check Paid",20)</f>
        <v>#NAME?</v>
      </c>
      <c r="S25" s="43" t="e">
        <f>dsd("Avfuel Monthly Other",20)</f>
        <v>#NAME?</v>
      </c>
      <c r="T25" s="45" t="e">
        <f>SUM(C25:J25,Q25:S25)</f>
        <v>#NULL!</v>
      </c>
      <c r="V25" s="43" t="e">
        <f>dsd("Avfuel Monthly Credits and Debits",20)</f>
        <v>#NAME?</v>
      </c>
    </row>
    <row r="26" ht="12.75" s="46" customFormat="true">
      <c r="A26" s="41" t="n">
        <f>IF(A25&lt;&gt;"",IF(MONTH(A25)=MONTH(A25+1),A25+1,""),"")</f>
        <v>42298.0</v>
      </c>
      <c r="B26" s="42"/>
      <c r="C26" s="43" t="e">
        <f>dsd("Avfuel Monthly Opening Ledger",21)</f>
        <v>#NAME?</v>
      </c>
      <c r="D26" s="43" t="e">
        <f>dsd("Avfuel Lockbox",21)</f>
        <v>#NAME?</v>
      </c>
      <c r="E26" s="43" t="e">
        <f>dsd("Avfuel Monthly Incoming ACH",21)</f>
        <v>#NAME?</v>
      </c>
      <c r="F26" s="43" t="e">
        <f>dsd("Avfuel Monthly Incoming Wire",21)</f>
        <v>#NAME?</v>
      </c>
      <c r="G26" s="43" t="e">
        <f>dsd("Avfuel Commercial Deposit",21)</f>
        <v>#NAME?</v>
      </c>
      <c r="H26" s="43" t="e">
        <f>dsd("Avfuel Monthly Loan Activity",21)</f>
        <v>#NAME?</v>
      </c>
      <c r="I26" s="43" t="e">
        <f>dsd("Avfuel ACH Other",21)</f>
        <v>#NAME?</v>
      </c>
      <c r="J26" s="43" t="e">
        <f>dsd("Avfuel ACH TMCW",21)</f>
        <v>#NAME?</v>
      </c>
      <c r="K26" s="44" t="e">
        <f>dsd("Avfuel Contract Fuel",21)</f>
        <v>#NAME?</v>
      </c>
      <c r="L26" s="44" t="e">
        <f>dsd("Avfuel Credit Cards",21)</f>
        <v>#NAME?</v>
      </c>
      <c r="M26" s="44" t="e">
        <f>dsd("Avfuel Freight",21)</f>
        <v>#NAME?</v>
      </c>
      <c r="N26" s="44" t="e">
        <f>dsd("Avfuel Tax",21)</f>
        <v>#NAME?</v>
      </c>
      <c r="O26" s="44" t="e">
        <f>dsd("Avfuel Fuel Supplier",21)</f>
        <v>#NAME?</v>
      </c>
      <c r="P26" s="44" t="e">
        <f>dsd("Avfuel Other",21)</f>
        <v>#NAME?</v>
      </c>
      <c r="Q26" s="43" t="e">
        <f>dsd("Avfuel Monthly Outgoing Wire",21)</f>
        <v>#NAME?</v>
      </c>
      <c r="R26" s="43" t="e">
        <f>dsd("Avfuel Check Paid",21)</f>
        <v>#NAME?</v>
      </c>
      <c r="S26" s="43" t="e">
        <f>dsd("Avfuel Monthly Other",21)</f>
        <v>#NAME?</v>
      </c>
      <c r="T26" s="45" t="e">
        <f>SUM(C26:J26,Q26:S26)</f>
        <v>#NULL!</v>
      </c>
      <c r="V26" s="43" t="e">
        <f>dsd("Avfuel Monthly Credits and Debits",21)</f>
        <v>#NAME?</v>
      </c>
    </row>
    <row r="27" ht="12.75" s="46" customFormat="true">
      <c r="A27" s="41" t="n">
        <f>IF(A26&lt;&gt;"",IF(MONTH(A26)=MONTH(A26+1),A26+1,""),"")</f>
        <v>42299.0</v>
      </c>
      <c r="B27" s="42"/>
      <c r="C27" s="43" t="e">
        <f>dsd("Avfuel Monthly Opening Ledger",22)</f>
        <v>#NAME?</v>
      </c>
      <c r="D27" s="43" t="e">
        <f>dsd("Avfuel Lockbox",22)</f>
        <v>#NAME?</v>
      </c>
      <c r="E27" s="43" t="e">
        <f>dsd("Avfuel Monthly Incoming ACH",22)</f>
        <v>#NAME?</v>
      </c>
      <c r="F27" s="43" t="e">
        <f>dsd("Avfuel Monthly Incoming Wire",22)</f>
        <v>#NAME?</v>
      </c>
      <c r="G27" s="43" t="e">
        <f>dsd("Avfuel Commercial Deposit",22)</f>
        <v>#NAME?</v>
      </c>
      <c r="H27" s="43" t="e">
        <f>dsd("Avfuel Monthly Loan Activity",22)</f>
        <v>#NAME?</v>
      </c>
      <c r="I27" s="43" t="e">
        <f>dsd("Avfuel ACH Other",22)</f>
        <v>#NAME?</v>
      </c>
      <c r="J27" s="43" t="e">
        <f>dsd("Avfuel ACH TMCW",22)</f>
        <v>#NAME?</v>
      </c>
      <c r="K27" s="44" t="e">
        <f>dsd("Avfuel Contract Fuel",22)</f>
        <v>#NAME?</v>
      </c>
      <c r="L27" s="44" t="e">
        <f>dsd("Avfuel Credit Cards",22)</f>
        <v>#NAME?</v>
      </c>
      <c r="M27" s="44" t="e">
        <f>dsd("Avfuel Freight",22)</f>
        <v>#NAME?</v>
      </c>
      <c r="N27" s="44" t="e">
        <f>dsd("Avfuel Tax",22)</f>
        <v>#NAME?</v>
      </c>
      <c r="O27" s="44" t="e">
        <f>dsd("Avfuel Fuel Supplier",22)</f>
        <v>#NAME?</v>
      </c>
      <c r="P27" s="44" t="e">
        <f>dsd("Avfuel Other",22)</f>
        <v>#NAME?</v>
      </c>
      <c r="Q27" s="43" t="e">
        <f>dsd("Avfuel Monthly Outgoing Wire",22)</f>
        <v>#NAME?</v>
      </c>
      <c r="R27" s="43" t="e">
        <f>dsd("Avfuel Check Paid",22)</f>
        <v>#NAME?</v>
      </c>
      <c r="S27" s="43" t="e">
        <f>dsd("Avfuel Monthly Other",22)</f>
        <v>#NAME?</v>
      </c>
      <c r="T27" s="45" t="e">
        <f>SUM(C27:J27,Q27:S27)</f>
        <v>#NULL!</v>
      </c>
      <c r="V27" s="43" t="e">
        <f>dsd("Avfuel Monthly Credits and Debits",22)</f>
        <v>#NAME?</v>
      </c>
    </row>
    <row r="28" ht="12.75" s="46" customFormat="true">
      <c r="A28" s="41" t="n">
        <f>IF(A27&lt;&gt;"",IF(MONTH(A27)=MONTH(A27+1),A27+1,""),"")</f>
        <v>42300.0</v>
      </c>
      <c r="B28" s="42"/>
      <c r="C28" s="43" t="e">
        <f>dsd("Avfuel Monthly Opening Ledger",23)</f>
        <v>#NAME?</v>
      </c>
      <c r="D28" s="43" t="e">
        <f>dsd("Avfuel Lockbox",23)</f>
        <v>#NAME?</v>
      </c>
      <c r="E28" s="43" t="e">
        <f>dsd("Avfuel Monthly Incoming ACH",23)</f>
        <v>#NAME?</v>
      </c>
      <c r="F28" s="43" t="e">
        <f>dsd("Avfuel Monthly Incoming Wire",23)</f>
        <v>#NAME?</v>
      </c>
      <c r="G28" s="43" t="e">
        <f>dsd("Avfuel Commercial Deposit",23)</f>
        <v>#NAME?</v>
      </c>
      <c r="H28" s="43" t="e">
        <f>dsd("Avfuel Monthly Loan Activity",23)</f>
        <v>#NAME?</v>
      </c>
      <c r="I28" s="43" t="e">
        <f>dsd("Avfuel ACH Other",23)</f>
        <v>#NAME?</v>
      </c>
      <c r="J28" s="43" t="e">
        <f>dsd("Avfuel ACH TMCW",23)</f>
        <v>#NAME?</v>
      </c>
      <c r="K28" s="44" t="e">
        <f>dsd("Avfuel Contract Fuel",23)</f>
        <v>#NAME?</v>
      </c>
      <c r="L28" s="44" t="e">
        <f>dsd("Avfuel Credit Cards",23)</f>
        <v>#NAME?</v>
      </c>
      <c r="M28" s="44" t="e">
        <f>dsd("Avfuel Freight",23)</f>
        <v>#NAME?</v>
      </c>
      <c r="N28" s="44" t="e">
        <f>dsd("Avfuel Tax",23)</f>
        <v>#NAME?</v>
      </c>
      <c r="O28" s="44" t="e">
        <f>dsd("Avfuel Fuel Supplier",23)</f>
        <v>#NAME?</v>
      </c>
      <c r="P28" s="44" t="e">
        <f>dsd("Avfuel Other",23)</f>
        <v>#NAME?</v>
      </c>
      <c r="Q28" s="43" t="e">
        <f>dsd("Avfuel Monthly Outgoing Wire",23)</f>
        <v>#NAME?</v>
      </c>
      <c r="R28" s="43" t="e">
        <f>dsd("Avfuel Check Paid",23)</f>
        <v>#NAME?</v>
      </c>
      <c r="S28" s="43" t="e">
        <f>dsd("Avfuel Monthly Other",23)</f>
        <v>#NAME?</v>
      </c>
      <c r="T28" s="45" t="e">
        <f>SUM(C28:J28,Q28:S28)</f>
        <v>#NULL!</v>
      </c>
      <c r="V28" s="43" t="e">
        <f>dsd("Avfuel Monthly Credits and Debits",23)</f>
        <v>#NAME?</v>
      </c>
    </row>
    <row r="29" ht="12.75" s="46" customFormat="true">
      <c r="A29" s="41" t="n">
        <f>IF(A28&lt;&gt;"",IF(MONTH(A28)=MONTH(A28+1),A28+1,""),"")</f>
        <v>42301.0</v>
      </c>
      <c r="B29" s="42"/>
      <c r="C29" s="43" t="e">
        <f>dsd("Avfuel Monthly Opening Ledger",24)</f>
        <v>#NAME?</v>
      </c>
      <c r="D29" s="43" t="e">
        <f>dsd("Avfuel Lockbox",24)</f>
        <v>#NAME?</v>
      </c>
      <c r="E29" s="43" t="e">
        <f>dsd("Avfuel Monthly Incoming ACH",24)</f>
        <v>#NAME?</v>
      </c>
      <c r="F29" s="43" t="e">
        <f>dsd("Avfuel Monthly Incoming Wire",24)</f>
        <v>#NAME?</v>
      </c>
      <c r="G29" s="43" t="e">
        <f>dsd("Avfuel Commercial Deposit",24)</f>
        <v>#NAME?</v>
      </c>
      <c r="H29" s="43" t="e">
        <f>dsd("Avfuel Monthly Loan Activity",24)</f>
        <v>#NAME?</v>
      </c>
      <c r="I29" s="43" t="e">
        <f>dsd("Avfuel ACH Other",24)</f>
        <v>#NAME?</v>
      </c>
      <c r="J29" s="43" t="e">
        <f>dsd("Avfuel ACH TMCW",24)</f>
        <v>#NAME?</v>
      </c>
      <c r="K29" s="44" t="e">
        <f>dsd("Avfuel Contract Fuel",24)</f>
        <v>#NAME?</v>
      </c>
      <c r="L29" s="44" t="e">
        <f>dsd("Avfuel Credit Cards",24)</f>
        <v>#NAME?</v>
      </c>
      <c r="M29" s="44" t="e">
        <f>dsd("Avfuel Freight",24)</f>
        <v>#NAME?</v>
      </c>
      <c r="N29" s="44" t="e">
        <f>dsd("Avfuel Tax",24)</f>
        <v>#NAME?</v>
      </c>
      <c r="O29" s="44" t="e">
        <f>dsd("Avfuel Fuel Supplier",24)</f>
        <v>#NAME?</v>
      </c>
      <c r="P29" s="44" t="e">
        <f>dsd("Avfuel Other",24)</f>
        <v>#NAME?</v>
      </c>
      <c r="Q29" s="43" t="e">
        <f>dsd("Avfuel Monthly Outgoing Wire",24)</f>
        <v>#NAME?</v>
      </c>
      <c r="R29" s="43" t="e">
        <f>dsd("Avfuel Check Paid",24)</f>
        <v>#NAME?</v>
      </c>
      <c r="S29" s="43" t="e">
        <f>dsd("Avfuel Monthly Other",24)</f>
        <v>#NAME?</v>
      </c>
      <c r="T29" s="45" t="e">
        <f>SUM(C29:J29,Q29:S29)</f>
        <v>#NULL!</v>
      </c>
      <c r="V29" s="43" t="e">
        <f>dsd("Avfuel Monthly Credits and Debits",24)</f>
        <v>#NAME?</v>
      </c>
    </row>
    <row r="30" ht="12.75" s="46" customFormat="true">
      <c r="A30" s="41" t="n">
        <f>IF(A29&lt;&gt;"",IF(MONTH(A29)=MONTH(A29+1),A29+1,""),"")</f>
        <v>42302.0</v>
      </c>
      <c r="B30" s="42"/>
      <c r="C30" s="43" t="e">
        <f>dsd("Avfuel Monthly Opening Ledger",25)</f>
        <v>#NAME?</v>
      </c>
      <c r="D30" s="43" t="e">
        <f>dsd("Avfuel Lockbox",25)</f>
        <v>#NAME?</v>
      </c>
      <c r="E30" s="43" t="e">
        <f>dsd("Avfuel Monthly Incoming ACH",25)</f>
        <v>#NAME?</v>
      </c>
      <c r="F30" s="43" t="e">
        <f>dsd("Avfuel Monthly Incoming Wire",25)</f>
        <v>#NAME?</v>
      </c>
      <c r="G30" s="43" t="e">
        <f>dsd("Avfuel Commercial Deposit",25)</f>
        <v>#NAME?</v>
      </c>
      <c r="H30" s="43" t="e">
        <f>dsd("Avfuel Monthly Loan Activity",25)</f>
        <v>#NAME?</v>
      </c>
      <c r="I30" s="43" t="e">
        <f>dsd("Avfuel ACH Other",25)</f>
        <v>#NAME?</v>
      </c>
      <c r="J30" s="43" t="e">
        <f>dsd("Avfuel ACH TMCW",25)</f>
        <v>#NAME?</v>
      </c>
      <c r="K30" s="44" t="e">
        <f>dsd("Avfuel Contract Fuel",25)</f>
        <v>#NAME?</v>
      </c>
      <c r="L30" s="44" t="e">
        <f>dsd("Avfuel Credit Cards",25)</f>
        <v>#NAME?</v>
      </c>
      <c r="M30" s="44" t="e">
        <f>dsd("Avfuel Freight",25)</f>
        <v>#NAME?</v>
      </c>
      <c r="N30" s="44" t="e">
        <f>dsd("Avfuel Tax",25)</f>
        <v>#NAME?</v>
      </c>
      <c r="O30" s="44" t="e">
        <f>dsd("Avfuel Fuel Supplier",25)</f>
        <v>#NAME?</v>
      </c>
      <c r="P30" s="44" t="e">
        <f>dsd("Avfuel Other",25)</f>
        <v>#NAME?</v>
      </c>
      <c r="Q30" s="43" t="e">
        <f>dsd("Avfuel Monthly Outgoing Wire",25)</f>
        <v>#NAME?</v>
      </c>
      <c r="R30" s="43" t="e">
        <f>dsd("Avfuel Check Paid",25)</f>
        <v>#NAME?</v>
      </c>
      <c r="S30" s="43" t="e">
        <f>dsd("Avfuel Monthly Other",25)</f>
        <v>#NAME?</v>
      </c>
      <c r="T30" s="45" t="e">
        <f>SUM(C30:J30,Q30:S30)</f>
        <v>#NULL!</v>
      </c>
      <c r="V30" s="43" t="e">
        <f>dsd("Avfuel Monthly Credits and Debits",25)</f>
        <v>#NAME?</v>
      </c>
    </row>
    <row r="31" ht="12.75" s="46" customFormat="true">
      <c r="A31" s="41" t="n">
        <f>IF(A30&lt;&gt;"",IF(MONTH(A30)=MONTH(A30+1),A30+1,""),"")</f>
        <v>42303.0</v>
      </c>
      <c r="B31" s="42"/>
      <c r="C31" s="43" t="e">
        <f>dsd("Avfuel Monthly Opening Ledger",26)</f>
        <v>#NAME?</v>
      </c>
      <c r="D31" s="43" t="e">
        <f>dsd("Avfuel Lockbox",26)</f>
        <v>#NAME?</v>
      </c>
      <c r="E31" s="43" t="e">
        <f>dsd("Avfuel Monthly Incoming ACH",26)</f>
        <v>#NAME?</v>
      </c>
      <c r="F31" s="43" t="e">
        <f>dsd("Avfuel Monthly Incoming Wire",26)</f>
        <v>#NAME?</v>
      </c>
      <c r="G31" s="43" t="e">
        <f>dsd("Avfuel Commercial Deposit",26)</f>
        <v>#NAME?</v>
      </c>
      <c r="H31" s="43" t="e">
        <f>dsd("Avfuel Monthly Loan Activity",26)</f>
        <v>#NAME?</v>
      </c>
      <c r="I31" s="43" t="e">
        <f>dsd("Avfuel ACH Other",26)</f>
        <v>#NAME?</v>
      </c>
      <c r="J31" s="43" t="e">
        <f>dsd("Avfuel ACH TMCW",26)</f>
        <v>#NAME?</v>
      </c>
      <c r="K31" s="44" t="e">
        <f>dsd("Avfuel Contract Fuel",26)</f>
        <v>#NAME?</v>
      </c>
      <c r="L31" s="44" t="e">
        <f>dsd("Avfuel Credit Cards",26)</f>
        <v>#NAME?</v>
      </c>
      <c r="M31" s="44" t="e">
        <f>dsd("Avfuel Freight",26)</f>
        <v>#NAME?</v>
      </c>
      <c r="N31" s="44" t="e">
        <f>dsd("Avfuel Tax",26)</f>
        <v>#NAME?</v>
      </c>
      <c r="O31" s="44" t="e">
        <f>dsd("Avfuel Fuel Supplier",26)</f>
        <v>#NAME?</v>
      </c>
      <c r="P31" s="44" t="e">
        <f>dsd("Avfuel Other",26)</f>
        <v>#NAME?</v>
      </c>
      <c r="Q31" s="43" t="e">
        <f>dsd("Avfuel Monthly Outgoing Wire",26)</f>
        <v>#NAME?</v>
      </c>
      <c r="R31" s="43" t="e">
        <f>dsd("Avfuel Check Paid",26)</f>
        <v>#NAME?</v>
      </c>
      <c r="S31" s="43" t="e">
        <f>dsd("Avfuel Monthly Other",26)</f>
        <v>#NAME?</v>
      </c>
      <c r="T31" s="45" t="e">
        <f>SUM(C31:J31,Q31:S31)</f>
        <v>#NULL!</v>
      </c>
      <c r="V31" s="43" t="e">
        <f>dsd("Avfuel Monthly Credits and Debits",26)</f>
        <v>#NAME?</v>
      </c>
    </row>
    <row r="32" ht="12.75" s="46" customFormat="true">
      <c r="A32" s="41" t="n">
        <f>IF(A31&lt;&gt;"",IF(MONTH(A31)=MONTH(A31+1),A31+1,""),"")</f>
        <v>42304.0</v>
      </c>
      <c r="B32" s="42"/>
      <c r="C32" s="43" t="e">
        <f>dsd("Avfuel Monthly Opening Ledger",27)</f>
        <v>#NAME?</v>
      </c>
      <c r="D32" s="43" t="e">
        <f>dsd("Avfuel Lockbox",27)</f>
        <v>#NAME?</v>
      </c>
      <c r="E32" s="43" t="e">
        <f>dsd("Avfuel Monthly Incoming ACH",27)</f>
        <v>#NAME?</v>
      </c>
      <c r="F32" s="43" t="e">
        <f>dsd("Avfuel Monthly Incoming Wire",27)</f>
        <v>#NAME?</v>
      </c>
      <c r="G32" s="43" t="e">
        <f>dsd("Avfuel Commercial Deposit",27)</f>
        <v>#NAME?</v>
      </c>
      <c r="H32" s="43" t="e">
        <f>dsd("Avfuel Monthly Loan Activity",27)</f>
        <v>#NAME?</v>
      </c>
      <c r="I32" s="43" t="e">
        <f>dsd("Avfuel ACH Other",27)</f>
        <v>#NAME?</v>
      </c>
      <c r="J32" s="43" t="e">
        <f>dsd("Avfuel ACH TMCW",27)</f>
        <v>#NAME?</v>
      </c>
      <c r="K32" s="44" t="e">
        <f>dsd("Avfuel Contract Fuel",27)</f>
        <v>#NAME?</v>
      </c>
      <c r="L32" s="44" t="e">
        <f>dsd("Avfuel Credit Cards",27)</f>
        <v>#NAME?</v>
      </c>
      <c r="M32" s="44" t="e">
        <f>dsd("Avfuel Freight",27)</f>
        <v>#NAME?</v>
      </c>
      <c r="N32" s="44" t="e">
        <f>dsd("Avfuel Tax",27)</f>
        <v>#NAME?</v>
      </c>
      <c r="O32" s="44" t="e">
        <f>dsd("Avfuel Fuel Supplier",27)</f>
        <v>#NAME?</v>
      </c>
      <c r="P32" s="44" t="e">
        <f>dsd("Avfuel Other",27)</f>
        <v>#NAME?</v>
      </c>
      <c r="Q32" s="43" t="e">
        <f>dsd("Avfuel Monthly Outgoing Wire",27)</f>
        <v>#NAME?</v>
      </c>
      <c r="R32" s="43" t="e">
        <f>dsd("Avfuel Check Paid",27)</f>
        <v>#NAME?</v>
      </c>
      <c r="S32" s="43" t="e">
        <f>dsd("Avfuel Monthly Other",27)</f>
        <v>#NAME?</v>
      </c>
      <c r="T32" s="45" t="e">
        <f>SUM(C32:J32,Q32:S32)</f>
        <v>#NULL!</v>
      </c>
      <c r="V32" s="43" t="e">
        <f>dsd("Avfuel Monthly Credits and Debits",27)</f>
        <v>#NAME?</v>
      </c>
    </row>
    <row r="33" ht="12.75" s="46" customFormat="true">
      <c r="A33" s="41" t="n">
        <f>IF(A32&lt;&gt;"",IF(MONTH(A32)=MONTH(A32+1),A32+1,""),"")</f>
        <v>42305.0</v>
      </c>
      <c r="B33" s="42"/>
      <c r="C33" s="43" t="e">
        <f>dsd("Avfuel Monthly Opening Ledger",28)</f>
        <v>#NAME?</v>
      </c>
      <c r="D33" s="43" t="e">
        <f>dsd("Avfuel Lockbox",28)</f>
        <v>#NAME?</v>
      </c>
      <c r="E33" s="43" t="e">
        <f>dsd("Avfuel Monthly Incoming ACH",28)</f>
        <v>#NAME?</v>
      </c>
      <c r="F33" s="43" t="e">
        <f>dsd("Avfuel Monthly Incoming Wire",28)</f>
        <v>#NAME?</v>
      </c>
      <c r="G33" s="43" t="e">
        <f>dsd("Avfuel Commercial Deposit",28)</f>
        <v>#NAME?</v>
      </c>
      <c r="H33" s="43" t="e">
        <f>dsd("Avfuel Monthly Loan Activity",28)</f>
        <v>#NAME?</v>
      </c>
      <c r="I33" s="43" t="e">
        <f>dsd("Avfuel ACH Other",28)</f>
        <v>#NAME?</v>
      </c>
      <c r="J33" s="43" t="e">
        <f>dsd("Avfuel ACH TMCW",28)</f>
        <v>#NAME?</v>
      </c>
      <c r="K33" s="44" t="e">
        <f>dsd("Avfuel Contract Fuel",28)</f>
        <v>#NAME?</v>
      </c>
      <c r="L33" s="44" t="e">
        <f>dsd("Avfuel Credit Cards",28)</f>
        <v>#NAME?</v>
      </c>
      <c r="M33" s="44" t="e">
        <f>dsd("Avfuel Freight",28)</f>
        <v>#NAME?</v>
      </c>
      <c r="N33" s="44" t="e">
        <f>dsd("Avfuel Tax",28)</f>
        <v>#NAME?</v>
      </c>
      <c r="O33" s="44" t="e">
        <f>dsd("Avfuel Fuel Supplier",28)</f>
        <v>#NAME?</v>
      </c>
      <c r="P33" s="44" t="e">
        <f>dsd("Avfuel Other",28)</f>
        <v>#NAME?</v>
      </c>
      <c r="Q33" s="43" t="e">
        <f>dsd("Avfuel Monthly Outgoing Wire",28)</f>
        <v>#NAME?</v>
      </c>
      <c r="R33" s="43" t="e">
        <f>dsd("Avfuel Check Paid",28)</f>
        <v>#NAME?</v>
      </c>
      <c r="S33" s="43" t="e">
        <f>dsd("Avfuel Monthly Other",28)</f>
        <v>#NAME?</v>
      </c>
      <c r="T33" s="45" t="e">
        <f>SUM(C33:J33,Q33:S33)</f>
        <v>#NULL!</v>
      </c>
      <c r="V33" s="43" t="e">
        <f>dsd("Avfuel Monthly Credits and Debits",28)</f>
        <v>#NAME?</v>
      </c>
    </row>
    <row r="34" ht="12.75" s="46" customFormat="true">
      <c r="A34" s="41" t="n">
        <f>IF(A33&lt;&gt;"",IF(MONTH(A33)=MONTH(A33+1),A33+1,""),"")</f>
        <v>42306.0</v>
      </c>
      <c r="B34" s="42"/>
      <c r="C34" s="43" t="e">
        <f>dsd("Avfuel Monthly Opening Ledger",29)</f>
        <v>#NAME?</v>
      </c>
      <c r="D34" s="43" t="e">
        <f>dsd("Avfuel Lockbox",29)</f>
        <v>#NAME?</v>
      </c>
      <c r="E34" s="43" t="e">
        <f>dsd("Avfuel Monthly Incoming ACH",29)</f>
        <v>#NAME?</v>
      </c>
      <c r="F34" s="43" t="e">
        <f>dsd("Avfuel Monthly Incoming Wire",29)</f>
        <v>#NAME?</v>
      </c>
      <c r="G34" s="43" t="e">
        <f>dsd("Avfuel Commercial Deposit",29)</f>
        <v>#NAME?</v>
      </c>
      <c r="H34" s="43" t="e">
        <f>dsd("Avfuel Monthly Loan Activity",29)</f>
        <v>#NAME?</v>
      </c>
      <c r="I34" s="43" t="e">
        <f>dsd("Avfuel ACH Other",29)</f>
        <v>#NAME?</v>
      </c>
      <c r="J34" s="43" t="e">
        <f>dsd("Avfuel ACH TMCW",29)</f>
        <v>#NAME?</v>
      </c>
      <c r="K34" s="44" t="e">
        <f>dsd("Avfuel Contract Fuel",29)</f>
        <v>#NAME?</v>
      </c>
      <c r="L34" s="44" t="e">
        <f>dsd("Avfuel Credit Cards",29)</f>
        <v>#NAME?</v>
      </c>
      <c r="M34" s="44" t="e">
        <f>dsd("Avfuel Freight",29)</f>
        <v>#NAME?</v>
      </c>
      <c r="N34" s="44" t="e">
        <f>dsd("Avfuel Tax",29)</f>
        <v>#NAME?</v>
      </c>
      <c r="O34" s="44" t="e">
        <f>dsd("Avfuel Fuel Supplier",29)</f>
        <v>#NAME?</v>
      </c>
      <c r="P34" s="44" t="e">
        <f>dsd("Avfuel Other",29)</f>
        <v>#NAME?</v>
      </c>
      <c r="Q34" s="43" t="e">
        <f>dsd("Avfuel Monthly Outgoing Wire",29)</f>
        <v>#NAME?</v>
      </c>
      <c r="R34" s="43" t="e">
        <f>dsd("Avfuel Check Paid",29)</f>
        <v>#NAME?</v>
      </c>
      <c r="S34" s="43" t="e">
        <f>dsd("Avfuel Monthly Other",29)</f>
        <v>#NAME?</v>
      </c>
      <c r="T34" s="45" t="e">
        <f>SUM(C34:J34,Q34:S34)</f>
        <v>#NULL!</v>
      </c>
      <c r="V34" s="43" t="e">
        <f>dsd("Avfuel Monthly Credits and Debits",29)</f>
        <v>#NAME?</v>
      </c>
    </row>
    <row r="35" ht="12.75" s="46" customFormat="true">
      <c r="A35" s="47" t="n">
        <f>IF(A34&lt;&gt;"",IF(MONTH(A34)=MONTH(A34+1),A34+1,""),"")</f>
        <v>42307.0</v>
      </c>
      <c r="B35" s="42"/>
      <c r="C35" s="43" t="e">
        <f>dsd("Avfuel Monthly Opening Ledger",30)</f>
        <v>#NAME?</v>
      </c>
      <c r="D35" s="43" t="e">
        <f>dsd("Avfuel Lockbox",30)</f>
        <v>#NAME?</v>
      </c>
      <c r="E35" s="43" t="e">
        <f>dsd("Avfuel Monthly Incoming ACH",30)</f>
        <v>#NAME?</v>
      </c>
      <c r="F35" s="43" t="e">
        <f>dsd("Avfuel Monthly Incoming Wire",30)</f>
        <v>#NAME?</v>
      </c>
      <c r="G35" s="43" t="e">
        <f>dsd("Avfuel Commercial Deposit",30)</f>
        <v>#NAME?</v>
      </c>
      <c r="H35" s="43" t="e">
        <f>dsd("Avfuel Monthly Loan Activity",30)</f>
        <v>#NAME?</v>
      </c>
      <c r="I35" s="43" t="e">
        <f>dsd("Avfuel ACH Other",30)</f>
        <v>#NAME?</v>
      </c>
      <c r="J35" s="43" t="e">
        <f>dsd("Avfuel ACH TMCW",30)</f>
        <v>#NAME?</v>
      </c>
      <c r="K35" s="44" t="e">
        <f>dsd("Avfuel Contract Fuel",30)</f>
        <v>#NAME?</v>
      </c>
      <c r="L35" s="44" t="e">
        <f>dsd("Avfuel Credit Cards",30)</f>
        <v>#NAME?</v>
      </c>
      <c r="M35" s="44" t="e">
        <f>dsd("Avfuel Freight",30)</f>
        <v>#NAME?</v>
      </c>
      <c r="N35" s="44" t="e">
        <f>dsd("Avfuel Tax",30)</f>
        <v>#NAME?</v>
      </c>
      <c r="O35" s="44" t="e">
        <f>dsd("Avfuel Fuel Supplier",30)</f>
        <v>#NAME?</v>
      </c>
      <c r="P35" s="44" t="e">
        <f>dsd("Avfuel Other",30)</f>
        <v>#NAME?</v>
      </c>
      <c r="Q35" s="43" t="e">
        <f>dsd("Avfuel Monthly Outgoing Wire",30)</f>
        <v>#NAME?</v>
      </c>
      <c r="R35" s="43" t="e">
        <f>dsd("Avfuel Check Paid",30)</f>
        <v>#NAME?</v>
      </c>
      <c r="S35" s="43" t="e">
        <f>dsd("Avfuel Monthly Other",30)</f>
        <v>#NAME?</v>
      </c>
      <c r="T35" s="45" t="e">
        <f>SUM(C35:J35,Q35:S35)</f>
        <v>#NULL!</v>
      </c>
      <c r="V35" s="43" t="e">
        <f>dsd("Avfuel Monthly Credits and Debits",30)</f>
        <v>#NAME?</v>
      </c>
    </row>
    <row r="36" ht="12.75" s="46" customFormat="true">
      <c r="A36" s="48" t="n">
        <f>IF(A35&lt;&gt;"",IF(MONTH(A35)=MONTH(A35+1),A35+1,""),"")</f>
        <v>42308.0</v>
      </c>
      <c r="B36" s="49"/>
      <c r="C36" s="43" t="e">
        <f>dsd("Avfuel Monthly Opening Ledger",31)</f>
        <v>#NAME?</v>
      </c>
      <c r="D36" s="43" t="e">
        <f>dsd("Avfuel Lockbox",31)</f>
        <v>#NAME?</v>
      </c>
      <c r="E36" s="43" t="e">
        <f>dsd("Avfuel Monthly Incoming ACH",31)</f>
        <v>#NAME?</v>
      </c>
      <c r="F36" s="43" t="e">
        <f>dsd("Avfuel Monthly Incoming Wire",31)</f>
        <v>#NAME?</v>
      </c>
      <c r="G36" s="43" t="e">
        <f>dsd("Avfuel Commercial Deposit",31)</f>
        <v>#NAME?</v>
      </c>
      <c r="H36" s="43" t="e">
        <f>dsd("Avfuel Monthly Loan Activity",31)</f>
        <v>#NAME?</v>
      </c>
      <c r="I36" s="43" t="e">
        <f>dsd("Avfuel ACH Other",31)</f>
        <v>#NAME?</v>
      </c>
      <c r="J36" s="43" t="e">
        <f>dsd("Avfuel ACH TMCW",31)</f>
        <v>#NAME?</v>
      </c>
      <c r="K36" s="44" t="e">
        <f>dsd("Avfuel Contract Fuel",31)</f>
        <v>#NAME?</v>
      </c>
      <c r="L36" s="44" t="e">
        <f>dsd("Avfuel Credit Cards",31)</f>
        <v>#NAME?</v>
      </c>
      <c r="M36" s="44" t="e">
        <f>dsd("Avfuel Freight",31)</f>
        <v>#NAME?</v>
      </c>
      <c r="N36" s="44" t="e">
        <f>dsd("Avfuel Tax",31)</f>
        <v>#NAME?</v>
      </c>
      <c r="O36" s="44" t="e">
        <f>dsd("Avfuel Fuel Supplier",31)</f>
        <v>#NAME?</v>
      </c>
      <c r="P36" s="44" t="e">
        <f>dsd("Avfuel Other",31)</f>
        <v>#NAME?</v>
      </c>
      <c r="Q36" s="43" t="e">
        <f>dsd("Avfuel Monthly Outgoing Wire",31)</f>
        <v>#NAME?</v>
      </c>
      <c r="R36" s="43" t="e">
        <f>dsd("Avfuel Check Paid",31)</f>
        <v>#NAME?</v>
      </c>
      <c r="S36" s="43" t="e">
        <f>dsd("Avfuel Monthly Other",31)</f>
        <v>#NAME?</v>
      </c>
      <c r="T36" s="45" t="e">
        <f>SUM(C36:J36,Q36:S36)</f>
        <v>#NULL!</v>
      </c>
      <c r="V36" s="43" t="e">
        <f>dsd("Avfuel Monthly Credits and Debits",31)</f>
        <v>#NAME?</v>
      </c>
    </row>
    <row r="37" ht="12.75" s="46" customFormat="true">
      <c r="A37" s="50"/>
      <c r="B37" s="42"/>
      <c r="C37" s="36"/>
      <c r="D37" s="36"/>
      <c r="E37" s="36"/>
      <c r="F37" s="36"/>
      <c r="G37" s="36"/>
      <c r="H37" s="36"/>
      <c r="I37" s="36"/>
      <c r="J37" s="36"/>
      <c r="K37" s="51"/>
      <c r="L37" s="51"/>
      <c r="M37" s="51"/>
      <c r="N37" s="51"/>
      <c r="O37" s="51"/>
      <c r="P37" s="51"/>
      <c r="Q37" s="36"/>
      <c r="R37" s="36"/>
      <c r="S37" s="36"/>
      <c r="T37" s="45"/>
      <c r="V37" s="36"/>
    </row>
    <row r="38" ht="12.75" s="46" customFormat="true">
      <c r="A38" s="52" t="s">
        <v>54</v>
      </c>
      <c r="B38" s="53"/>
      <c r="C38" s="54" t="e">
        <f>ds("Avfuel Monthly Opening Ledger")</f>
        <v>#NAME?</v>
      </c>
      <c r="D38" s="54" t="e">
        <f>ds("Avfuel Lockbox")</f>
        <v>#NAME?</v>
      </c>
      <c r="E38" s="54" t="e">
        <f>ds("Avfuel Monthly Incoming ACH")</f>
        <v>#NAME?</v>
      </c>
      <c r="F38" s="54" t="e">
        <f>ds("Avfuel Monthly Incoming Wire")</f>
        <v>#NAME?</v>
      </c>
      <c r="G38" s="54" t="e">
        <f>ds("Avfuel Commercial Deposit")</f>
        <v>#NAME?</v>
      </c>
      <c r="H38" s="54" t="e">
        <f>ds("Avfuel Monthly Loan Activity")</f>
        <v>#NAME?</v>
      </c>
      <c r="I38" s="54" t="e">
        <f>ds("Avfuel ACH Other")</f>
        <v>#NAME?</v>
      </c>
      <c r="J38" s="54" t="e">
        <f>ds("Avfuel ACH TMCW")</f>
        <v>#NAME?</v>
      </c>
      <c r="K38" s="55" t="e">
        <f>ds("Avfuel Contract Fuel")</f>
        <v>#NAME?</v>
      </c>
      <c r="L38" s="55" t="e">
        <f>ds("Avfuel Credit Cards")</f>
        <v>#NAME?</v>
      </c>
      <c r="M38" s="55" t="e">
        <f>ds("Avfuel Freight")</f>
        <v>#NAME?</v>
      </c>
      <c r="N38" s="55" t="e">
        <f>ds("Avfuel Tax")</f>
        <v>#NAME?</v>
      </c>
      <c r="O38" s="55" t="e">
        <f>ds("Avfuel Fuel Supplier")</f>
        <v>#NAME?</v>
      </c>
      <c r="P38" s="55" t="e">
        <f>ds("Avfuel Other")</f>
        <v>#NAME?</v>
      </c>
      <c r="Q38" s="54" t="e">
        <f>ds("Avfuel Monthly Outgoing Wire")</f>
        <v>#NAME?</v>
      </c>
      <c r="R38" s="54" t="e">
        <f>ds("Avfuel Check Paid")</f>
        <v>#NAME?</v>
      </c>
      <c r="S38" s="54" t="e">
        <f>ds("Avfuel Monthly Other")</f>
        <v>#NAME?</v>
      </c>
      <c r="T38" s="45" t="e">
        <f>SUM(C38:J38,Q38:S38)</f>
        <v>#NULL!</v>
      </c>
      <c r="V38" s="54" t="e">
        <f>ds("Avfuel Monthly Credits and Debits")</f>
        <v>#NAME?</v>
      </c>
    </row>
    <row r="39" ht="12.75" s="46" customFormat="true">
      <c r="A39" s="56"/>
      <c r="B39" s="56"/>
      <c r="C39" s="57"/>
      <c r="D39" s="58"/>
      <c r="E39" s="58"/>
      <c r="F39" s="58"/>
      <c r="G39" s="57"/>
      <c r="H39" s="59"/>
      <c r="I39" s="58"/>
      <c r="J39" s="58"/>
      <c r="K39" s="59"/>
      <c r="L39" s="59"/>
      <c r="M39" s="59"/>
      <c r="N39" s="59"/>
      <c r="O39" s="59"/>
      <c r="P39" s="59"/>
      <c r="Q39" s="58"/>
      <c r="R39" s="60"/>
      <c r="S39" s="60"/>
      <c r="T39" s="61"/>
    </row>
    <row r="40" ht="12.75" s="46" customFormat="true">
      <c r="B40" s="56"/>
      <c r="H40" s="66"/>
      <c r="K40" s="66"/>
      <c r="L40" s="66"/>
      <c r="M40" s="66"/>
      <c r="N40" s="66"/>
      <c r="O40" s="66"/>
      <c r="P40" s="66"/>
      <c r="Q40" s="58"/>
      <c r="R40" s="60"/>
      <c r="S40" s="60"/>
      <c r="T40" s="61"/>
    </row>
    <row r="41" ht="12.75" s="46" customFormat="true">
      <c r="B41" s="56"/>
      <c r="H41" s="66"/>
      <c r="K41" s="66"/>
      <c r="L41" s="66"/>
      <c r="M41" s="66"/>
      <c r="N41" s="66"/>
      <c r="O41" s="66"/>
      <c r="P41" s="66"/>
      <c r="Q41" s="58"/>
      <c r="R41" s="60"/>
      <c r="S41" s="60"/>
      <c r="T41" s="61"/>
    </row>
    <row r="42" ht="12.75" s="46" customFormat="true">
      <c r="B42" s="56"/>
      <c r="H42" s="66"/>
      <c r="K42" s="66"/>
      <c r="L42" s="66"/>
      <c r="M42" s="66"/>
      <c r="N42" s="66"/>
      <c r="O42" s="66"/>
      <c r="P42" s="66"/>
      <c r="Q42" s="58"/>
      <c r="R42" s="60"/>
      <c r="S42" s="60"/>
      <c r="T42" s="61"/>
    </row>
    <row r="43" ht="12.75" s="46" customFormat="true">
      <c r="B43" s="56"/>
      <c r="H43" s="66"/>
      <c r="K43" s="66"/>
      <c r="L43" s="66"/>
      <c r="M43" s="66"/>
      <c r="N43" s="66"/>
      <c r="O43" s="66"/>
      <c r="P43" s="66"/>
      <c r="Q43" s="58"/>
      <c r="R43" s="60"/>
      <c r="S43" s="60"/>
      <c r="T43" s="61"/>
    </row>
  </sheetData>
  <mergeCells>
    <mergeCell ref="A1:T1"/>
    <mergeCell ref="A2:T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0" hidden="false"/>
    <col min="2" max="2" style="63" customWidth="true" width="2.5703125" hidden="false"/>
    <col min="3" max="3" style="62" customWidth="true" width="15.85546875" hidden="false"/>
    <col min="4" max="4" style="62" customWidth="true" width="12.71484375" hidden="false"/>
    <col min="5" max="5" style="62" customWidth="true" width="12.28515625" hidden="false"/>
    <col min="6" max="6" style="62" customWidth="true" width="14.71484375" hidden="false"/>
    <col min="7" max="7" style="62" customWidth="true" width="14.71484375" hidden="false"/>
    <col min="8" max="8" style="64" customWidth="true" width="13.71484375" hidden="false"/>
    <col min="9" max="9" style="65" customWidth="true" width="13.28515625" hidden="false"/>
    <col min="10" max="14" style="65" customWidth="true" width="13.28515625" hidden="false"/>
    <col min="15" max="15" style="65" customWidth="true" width="14.85546875" hidden="false"/>
    <col min="16" max="16" style="62" customWidth="true" width="13.5703125" hidden="false"/>
    <col min="17" max="17" style="62" customWidth="true" width="13.0" hidden="false"/>
    <col min="18" max="18" style="62" customWidth="true" width="13.4296875" hidden="false"/>
    <col min="19" max="19" style="62" customWidth="true" width="15.14453125" hidden="false"/>
    <col min="20" max="20" style="62" customWidth="false" width="9.14453125" hidden="false"/>
    <col min="21" max="21" style="62" customWidth="true" width="13.71484375" hidden="false"/>
    <col min="22" max="22" style="62" customWidth="false" width="9.14453125" hidden="false"/>
    <col min="23" max="23" style="62" customWidth="false" width="9.14453125" hidden="false"/>
    <col min="24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customHeight="true" ht="12.75">
      <c r="A2" s="26" t="n">
        <f>NOW()</f>
        <v>42279.99510251157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customHeight="true" ht="12.7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customHeight="true" ht="35.25" s="27" customFormat="true">
      <c r="A4" s="28" t="s">
        <v>39</v>
      </c>
      <c r="B4" s="29"/>
      <c r="C4" s="29" t="s">
        <v>40</v>
      </c>
      <c r="D4" s="29" t="s">
        <v>17</v>
      </c>
      <c r="E4" s="29" t="s">
        <v>16</v>
      </c>
      <c r="F4" s="29" t="s">
        <v>42</v>
      </c>
      <c r="G4" s="29" t="s">
        <v>43</v>
      </c>
      <c r="H4" s="29" t="s">
        <v>25</v>
      </c>
      <c r="I4" s="29" t="s">
        <v>26</v>
      </c>
      <c r="J4" s="30" t="s">
        <v>44</v>
      </c>
      <c r="K4" s="30" t="s">
        <v>45</v>
      </c>
      <c r="L4" s="30" t="s">
        <v>46</v>
      </c>
      <c r="M4" s="30" t="s">
        <v>47</v>
      </c>
      <c r="N4" s="30" t="s">
        <v>48</v>
      </c>
      <c r="O4" s="30" t="s">
        <v>49</v>
      </c>
      <c r="P4" s="29" t="s">
        <v>22</v>
      </c>
      <c r="Q4" s="29" t="s">
        <v>50</v>
      </c>
      <c r="R4" s="29" t="s">
        <v>51</v>
      </c>
      <c r="S4" s="29" t="s">
        <v>52</v>
      </c>
      <c r="U4" s="31" t="s">
        <v>55</v>
      </c>
    </row>
    <row r="5" customHeight="true" ht="12.75" s="32" customFormat="true">
      <c r="A5" s="33"/>
      <c r="B5" s="33"/>
      <c r="C5" s="34"/>
      <c r="D5" s="35"/>
      <c r="E5" s="35"/>
      <c r="F5" s="34"/>
      <c r="G5" s="36"/>
      <c r="H5" s="35"/>
      <c r="I5" s="35"/>
      <c r="J5" s="36"/>
      <c r="K5" s="36"/>
      <c r="L5" s="36"/>
      <c r="M5" s="36"/>
      <c r="N5" s="36"/>
      <c r="O5" s="36"/>
      <c r="P5" s="37"/>
      <c r="Q5" s="38"/>
      <c r="R5" s="38"/>
      <c r="S5" s="39"/>
    </row>
    <row r="6" ht="12.0" s="40" customFormat="true">
      <c r="A6" s="41" t="n">
        <f>DATEVALUE(MONTH(TODAY())&amp;"/1/"&amp;YEAR(TODAY()))</f>
        <v>42278.0</v>
      </c>
      <c r="B6" s="42"/>
      <c r="C6" s="43" t="e">
        <f>dsd("Avsurance Monthly Opening Ledger",1)</f>
        <v>#NAME?</v>
      </c>
      <c r="D6" s="43" t="e">
        <f>dsd("Avsurance Monthly Incoming ACH",1)</f>
        <v>#NAME?</v>
      </c>
      <c r="E6" s="43" t="e">
        <f>dsd("Avsurance Monthly Incoming Wire",1)</f>
        <v>#NAME?</v>
      </c>
      <c r="F6" s="43" t="e">
        <f>dsd("Avsurance Commercial Deposit",1)</f>
        <v>#NAME?</v>
      </c>
      <c r="G6" s="43" t="e">
        <f>dsd("Avsurance Monthly Loan Activity",1)</f>
        <v>#NAME?</v>
      </c>
      <c r="H6" s="43" t="e">
        <f>dsd("Avsurance ACH Other",1)</f>
        <v>#NAME?</v>
      </c>
      <c r="I6" s="43" t="e">
        <f>dsd("Avsurance ACH TMCW",1)</f>
        <v>#NAME?</v>
      </c>
      <c r="J6" s="44" t="e">
        <f>dsd("Avsurance Contract Fuel",1)</f>
        <v>#NAME?</v>
      </c>
      <c r="K6" s="44" t="e">
        <f>dsd("Avsurance Credit Cards",1)</f>
        <v>#NAME?</v>
      </c>
      <c r="L6" s="44" t="e">
        <f>dsd("Avsurance Freight",1)</f>
        <v>#NAME?</v>
      </c>
      <c r="M6" s="44" t="e">
        <f>dsd("Avsurance Tax",1)</f>
        <v>#NAME?</v>
      </c>
      <c r="N6" s="44" t="e">
        <f>dsd("Avsurance Fuel Supplier",1)</f>
        <v>#NAME?</v>
      </c>
      <c r="O6" s="44" t="e">
        <f>dsd("Avsurance Other",1)</f>
        <v>#NAME?</v>
      </c>
      <c r="P6" s="43" t="e">
        <f>dsd("Avsurance Monthly Outgoing Wire",1)</f>
        <v>#NAME?</v>
      </c>
      <c r="Q6" s="43" t="e">
        <f>dsd("Avsurance Check Paid",1)</f>
        <v>#NAME?</v>
      </c>
      <c r="R6" s="43" t="e">
        <f>dsd("Avsurance Monthly Other",1)</f>
        <v>#NAME?</v>
      </c>
      <c r="S6" s="45" t="e">
        <f>SUM(C6:I6,P6:R6)</f>
        <v>#NULL!</v>
      </c>
      <c r="U6" s="43" t="e">
        <f>dsd("Avsurance Monthly Credits and Debits",1)</f>
        <v>#NAME?</v>
      </c>
    </row>
    <row r="7" ht="12.0" s="40" customFormat="true">
      <c r="A7" s="41" t="n">
        <f>IF(A6&lt;&gt;"",IF(MONTH(A6)=MONTH(A6+1),A6+1,""),"")</f>
        <v>42279.0</v>
      </c>
      <c r="B7" s="42"/>
      <c r="C7" s="43" t="e">
        <f>dsd("Avsurance Monthly Opening Ledger",2)</f>
        <v>#NAME?</v>
      </c>
      <c r="D7" s="43" t="e">
        <f>dsd("Avsurance Monthly Incoming ACH",2)</f>
        <v>#NAME?</v>
      </c>
      <c r="E7" s="43" t="e">
        <f>dsd("Avsurance Monthly Incoming Wire",2)</f>
        <v>#NAME?</v>
      </c>
      <c r="F7" s="43" t="e">
        <f>dsd("Avsurance Commercial Deposit",2)</f>
        <v>#NAME?</v>
      </c>
      <c r="G7" s="43" t="e">
        <f>dsd("Avsurance Monthly Loan Activity",2)</f>
        <v>#NAME?</v>
      </c>
      <c r="H7" s="43" t="e">
        <f>dsd("Avsurance ACH Other",2)</f>
        <v>#NAME?</v>
      </c>
      <c r="I7" s="43" t="e">
        <f>dsd("Avsurance ACH TMCW",2)</f>
        <v>#NAME?</v>
      </c>
      <c r="J7" s="44" t="e">
        <f>dsd("Avsurance Contract Fuel",2)</f>
        <v>#NAME?</v>
      </c>
      <c r="K7" s="44" t="e">
        <f>dsd("Avsurance Credit Cards",2)</f>
        <v>#NAME?</v>
      </c>
      <c r="L7" s="44" t="e">
        <f>dsd("Avsurance Freight",2)</f>
        <v>#NAME?</v>
      </c>
      <c r="M7" s="44" t="e">
        <f>dsd("Avsurance Tax",2)</f>
        <v>#NAME?</v>
      </c>
      <c r="N7" s="44" t="e">
        <f>dsd("Avsurance Fuel Supplier",2)</f>
        <v>#NAME?</v>
      </c>
      <c r="O7" s="44" t="e">
        <f>dsd("Avsurance Other",2)</f>
        <v>#NAME?</v>
      </c>
      <c r="P7" s="43" t="e">
        <f>dsd("Avsurance Monthly Outgoing Wire",2)</f>
        <v>#NAME?</v>
      </c>
      <c r="Q7" s="43" t="e">
        <f>dsd("Avsurance Check Paid",2)</f>
        <v>#NAME?</v>
      </c>
      <c r="R7" s="43" t="e">
        <f>dsd("Avsurance Monthly Other",2)</f>
        <v>#NAME?</v>
      </c>
      <c r="S7" s="45" t="e">
        <f>SUM(C7:I7,P7:R7)</f>
        <v>#NULL!</v>
      </c>
      <c r="U7" s="43" t="e">
        <f>dsd("Avsurance Monthly Credits and Debits",2)</f>
        <v>#NAME?</v>
      </c>
    </row>
    <row r="8" ht="12.75" s="46" customFormat="true">
      <c r="A8" s="41" t="n">
        <f>IF(A7&lt;&gt;"",IF(MONTH(A7)=MONTH(A7+1),A7+1,""),"")</f>
        <v>42280.0</v>
      </c>
      <c r="B8" s="42"/>
      <c r="C8" s="43" t="e">
        <f>dsd("Avsurance Monthly Opening Ledger",3)</f>
        <v>#NAME?</v>
      </c>
      <c r="D8" s="43" t="e">
        <f>dsd("Avsurance Monthly Incoming ACH",3)</f>
        <v>#NAME?</v>
      </c>
      <c r="E8" s="43" t="e">
        <f>dsd("Avsurance Monthly Incoming Wire",3)</f>
        <v>#NAME?</v>
      </c>
      <c r="F8" s="43" t="e">
        <f>dsd("Avsurance Commercial Deposit",3)</f>
        <v>#NAME?</v>
      </c>
      <c r="G8" s="43" t="e">
        <f>dsd("Avsurance Monthly Loan Activity",3)</f>
        <v>#NAME?</v>
      </c>
      <c r="H8" s="43" t="e">
        <f>dsd("Avsurance ACH Other",3)</f>
        <v>#NAME?</v>
      </c>
      <c r="I8" s="43" t="e">
        <f>dsd("Avsurance ACH TMCW",3)</f>
        <v>#NAME?</v>
      </c>
      <c r="J8" s="44" t="e">
        <f>dsd("Avsurance Contract Fuel",3)</f>
        <v>#NAME?</v>
      </c>
      <c r="K8" s="44" t="e">
        <f>dsd("Avsurance Credit Cards",3)</f>
        <v>#NAME?</v>
      </c>
      <c r="L8" s="44" t="e">
        <f>dsd("Avsurance Freight",3)</f>
        <v>#NAME?</v>
      </c>
      <c r="M8" s="44" t="e">
        <f>dsd("Avsurance Tax",3)</f>
        <v>#NAME?</v>
      </c>
      <c r="N8" s="44" t="e">
        <f>dsd("Avsurance Fuel Supplier",3)</f>
        <v>#NAME?</v>
      </c>
      <c r="O8" s="44" t="e">
        <f>dsd("Avsurance Other",3)</f>
        <v>#NAME?</v>
      </c>
      <c r="P8" s="43" t="e">
        <f>dsd("Avsurance Monthly Outgoing Wire",3)</f>
        <v>#NAME?</v>
      </c>
      <c r="Q8" s="43" t="e">
        <f>dsd("Avsurance Check Paid",3)</f>
        <v>#NAME?</v>
      </c>
      <c r="R8" s="43" t="e">
        <f>dsd("Avsurance Monthly Other",3)</f>
        <v>#NAME?</v>
      </c>
      <c r="S8" s="45" t="e">
        <f>SUM(C8:I8,P8:R8)</f>
        <v>#NULL!</v>
      </c>
      <c r="U8" s="43" t="e">
        <f>dsd("Avsurance Monthly Credits and Debits",3)</f>
        <v>#NAME?</v>
      </c>
    </row>
    <row r="9" ht="12.75" s="46" customFormat="true">
      <c r="A9" s="41" t="n">
        <f>IF(A8&lt;&gt;"",IF(MONTH(A8)=MONTH(A8+1),A8+1,""),"")</f>
        <v>42281.0</v>
      </c>
      <c r="B9" s="42"/>
      <c r="C9" s="43" t="e">
        <f>dsd("Avsurance Monthly Opening Ledger",4)</f>
        <v>#NAME?</v>
      </c>
      <c r="D9" s="43" t="e">
        <f>dsd("Avsurance Monthly Incoming ACH",4)</f>
        <v>#NAME?</v>
      </c>
      <c r="E9" s="43" t="e">
        <f>dsd("Avsurance Monthly Incoming Wire",4)</f>
        <v>#NAME?</v>
      </c>
      <c r="F9" s="43" t="e">
        <f>dsd("Avsurance Commercial Deposit",4)</f>
        <v>#NAME?</v>
      </c>
      <c r="G9" s="43" t="e">
        <f>dsd("Avsurance Monthly Loan Activity",4)</f>
        <v>#NAME?</v>
      </c>
      <c r="H9" s="43" t="e">
        <f>dsd("Avsurance ACH Other",4)</f>
        <v>#NAME?</v>
      </c>
      <c r="I9" s="43" t="e">
        <f>dsd("Avsurance ACH TMCW",4)</f>
        <v>#NAME?</v>
      </c>
      <c r="J9" s="44" t="e">
        <f>dsd("Avsurance Contract Fuel",4)</f>
        <v>#NAME?</v>
      </c>
      <c r="K9" s="44" t="e">
        <f>dsd("Avsurance Credit Cards",4)</f>
        <v>#NAME?</v>
      </c>
      <c r="L9" s="44" t="e">
        <f>dsd("Avsurance Freight",4)</f>
        <v>#NAME?</v>
      </c>
      <c r="M9" s="44" t="e">
        <f>dsd("Avsurance Tax",4)</f>
        <v>#NAME?</v>
      </c>
      <c r="N9" s="44" t="e">
        <f>dsd("Avsurance Fuel Supplier",4)</f>
        <v>#NAME?</v>
      </c>
      <c r="O9" s="44" t="e">
        <f>dsd("Avsurance Other",4)</f>
        <v>#NAME?</v>
      </c>
      <c r="P9" s="43" t="e">
        <f>dsd("Avsurance Monthly Outgoing Wire",4)</f>
        <v>#NAME?</v>
      </c>
      <c r="Q9" s="43" t="e">
        <f>dsd("Avsurance Check Paid",4)</f>
        <v>#NAME?</v>
      </c>
      <c r="R9" s="43" t="e">
        <f>dsd("Avsurance Monthly Other",4)</f>
        <v>#NAME?</v>
      </c>
      <c r="S9" s="45" t="e">
        <f>SUM(C9:I9,P9:R9)</f>
        <v>#NULL!</v>
      </c>
      <c r="U9" s="43" t="e">
        <f>dsd("Avsurance Monthly Credits and Debits",4)</f>
        <v>#NAME?</v>
      </c>
    </row>
    <row r="10" ht="12.75" s="46" customFormat="true">
      <c r="A10" s="41" t="n">
        <f>IF(A9&lt;&gt;"",IF(MONTH(A9)=MONTH(A9+1),A9+1,""),"")</f>
        <v>42282.0</v>
      </c>
      <c r="B10" s="42"/>
      <c r="C10" s="43" t="e">
        <f>dsd("Avsurance Monthly Opening Ledger",5)</f>
        <v>#NAME?</v>
      </c>
      <c r="D10" s="43" t="e">
        <f>dsd("Avsurance Monthly Incoming ACH",5)</f>
        <v>#NAME?</v>
      </c>
      <c r="E10" s="43" t="e">
        <f>dsd("Avsurance Monthly Incoming Wire",5)</f>
        <v>#NAME?</v>
      </c>
      <c r="F10" s="43" t="e">
        <f>dsd("Avsurance Commercial Deposit",5)</f>
        <v>#NAME?</v>
      </c>
      <c r="G10" s="43" t="e">
        <f>dsd("Avsurance Monthly Loan Activity",5)</f>
        <v>#NAME?</v>
      </c>
      <c r="H10" s="43" t="e">
        <f>dsd("Avsurance ACH Other",5)</f>
        <v>#NAME?</v>
      </c>
      <c r="I10" s="43" t="e">
        <f>dsd("Avsurance ACH TMCW",5)</f>
        <v>#NAME?</v>
      </c>
      <c r="J10" s="44" t="e">
        <f>dsd("Avsurance Contract Fuel",5)</f>
        <v>#NAME?</v>
      </c>
      <c r="K10" s="44" t="e">
        <f>dsd("Avsurance Credit Cards",5)</f>
        <v>#NAME?</v>
      </c>
      <c r="L10" s="44" t="e">
        <f>dsd("Avsurance Freight",5)</f>
        <v>#NAME?</v>
      </c>
      <c r="M10" s="44" t="e">
        <f>dsd("Avsurance Tax",5)</f>
        <v>#NAME?</v>
      </c>
      <c r="N10" s="44" t="e">
        <f>dsd("Avsurance Fuel Supplier",5)</f>
        <v>#NAME?</v>
      </c>
      <c r="O10" s="44" t="e">
        <f>dsd("Avsurance Other",5)</f>
        <v>#NAME?</v>
      </c>
      <c r="P10" s="43" t="e">
        <f>dsd("Avsurance Monthly Outgoing Wire",5)</f>
        <v>#NAME?</v>
      </c>
      <c r="Q10" s="43" t="e">
        <f>dsd("Avsurance Check Paid",5)</f>
        <v>#NAME?</v>
      </c>
      <c r="R10" s="43" t="e">
        <f>dsd("Avsurance Monthly Other",5)</f>
        <v>#NAME?</v>
      </c>
      <c r="S10" s="45" t="e">
        <f>SUM(C10:I10,P10:R10)</f>
        <v>#NULL!</v>
      </c>
      <c r="U10" s="43" t="e">
        <f>dsd("Avsurance Monthly Credits and Debits",5)</f>
        <v>#NAME?</v>
      </c>
    </row>
    <row r="11" ht="12.75" s="46" customFormat="true">
      <c r="A11" s="41" t="n">
        <f>IF(A10&lt;&gt;"",IF(MONTH(A10)=MONTH(A10+1),A10+1,""),"")</f>
        <v>42283.0</v>
      </c>
      <c r="B11" s="42"/>
      <c r="C11" s="43" t="e">
        <f>dsd("Avsurance Monthly Opening Ledger",6)</f>
        <v>#NAME?</v>
      </c>
      <c r="D11" s="43" t="e">
        <f>dsd("Avsurance Monthly Incoming ACH",6)</f>
        <v>#NAME?</v>
      </c>
      <c r="E11" s="43" t="e">
        <f>dsd("Avsurance Monthly Incoming Wire",6)</f>
        <v>#NAME?</v>
      </c>
      <c r="F11" s="43" t="e">
        <f>dsd("Avsurance Commercial Deposit",6)</f>
        <v>#NAME?</v>
      </c>
      <c r="G11" s="43" t="e">
        <f>dsd("Avsurance Monthly Loan Activity",6)</f>
        <v>#NAME?</v>
      </c>
      <c r="H11" s="43" t="e">
        <f>dsd("Avsurance ACH Other",6)</f>
        <v>#NAME?</v>
      </c>
      <c r="I11" s="43" t="e">
        <f>dsd("Avsurance ACH TMCW",6)</f>
        <v>#NAME?</v>
      </c>
      <c r="J11" s="44" t="e">
        <f>dsd("Avsurance Contract Fuel",6)</f>
        <v>#NAME?</v>
      </c>
      <c r="K11" s="44" t="e">
        <f>dsd("Avsurance Credit Cards",6)</f>
        <v>#NAME?</v>
      </c>
      <c r="L11" s="44" t="e">
        <f>dsd("Avsurance Freight",6)</f>
        <v>#NAME?</v>
      </c>
      <c r="M11" s="44" t="e">
        <f>dsd("Avsurance Tax",6)</f>
        <v>#NAME?</v>
      </c>
      <c r="N11" s="44" t="e">
        <f>dsd("Avsurance Fuel Supplier",6)</f>
        <v>#NAME?</v>
      </c>
      <c r="O11" s="44" t="e">
        <f>dsd("Avsurance Other",6)</f>
        <v>#NAME?</v>
      </c>
      <c r="P11" s="43" t="e">
        <f>dsd("Avsurance Monthly Outgoing Wire",6)</f>
        <v>#NAME?</v>
      </c>
      <c r="Q11" s="43" t="e">
        <f>dsd("Avsurance Check Paid",6)</f>
        <v>#NAME?</v>
      </c>
      <c r="R11" s="43" t="e">
        <f>dsd("Avsurance Monthly Other",6)</f>
        <v>#NAME?</v>
      </c>
      <c r="S11" s="45" t="e">
        <f>SUM(C11:I11,P11:R11)</f>
        <v>#NULL!</v>
      </c>
      <c r="U11" s="43" t="e">
        <f>dsd("Avsurance Monthly Credits and Debits",6)</f>
        <v>#NAME?</v>
      </c>
    </row>
    <row r="12" ht="12.75" s="46" customFormat="true">
      <c r="A12" s="41" t="n">
        <f>IF(A11&lt;&gt;"",IF(MONTH(A11)=MONTH(A11+1),A11+1,""),"")</f>
        <v>42284.0</v>
      </c>
      <c r="B12" s="42"/>
      <c r="C12" s="43" t="e">
        <f>dsd("Avsurance Monthly Opening Ledger",7)</f>
        <v>#NAME?</v>
      </c>
      <c r="D12" s="43" t="e">
        <f>dsd("Avsurance Monthly Incoming ACH",7)</f>
        <v>#NAME?</v>
      </c>
      <c r="E12" s="43" t="e">
        <f>dsd("Avsurance Monthly Incoming Wire",7)</f>
        <v>#NAME?</v>
      </c>
      <c r="F12" s="43" t="e">
        <f>dsd("Avsurance Commercial Deposit",7)</f>
        <v>#NAME?</v>
      </c>
      <c r="G12" s="43" t="e">
        <f>dsd("Avsurance Monthly Loan Activity",7)</f>
        <v>#NAME?</v>
      </c>
      <c r="H12" s="43" t="e">
        <f>dsd("Avsurance ACH Other",7)</f>
        <v>#NAME?</v>
      </c>
      <c r="I12" s="43" t="e">
        <f>dsd("Avsurance ACH TMCW",7)</f>
        <v>#NAME?</v>
      </c>
      <c r="J12" s="44" t="e">
        <f>dsd("Avsurance Contract Fuel",7)</f>
        <v>#NAME?</v>
      </c>
      <c r="K12" s="44" t="e">
        <f>dsd("Avsurance Credit Cards",7)</f>
        <v>#NAME?</v>
      </c>
      <c r="L12" s="44" t="e">
        <f>dsd("Avsurance Freight",7)</f>
        <v>#NAME?</v>
      </c>
      <c r="M12" s="44" t="e">
        <f>dsd("Avsurance Tax",7)</f>
        <v>#NAME?</v>
      </c>
      <c r="N12" s="44" t="e">
        <f>dsd("Avsurance Fuel Supplier",7)</f>
        <v>#NAME?</v>
      </c>
      <c r="O12" s="44" t="e">
        <f>dsd("Avsurance Other",7)</f>
        <v>#NAME?</v>
      </c>
      <c r="P12" s="43" t="e">
        <f>dsd("Avsurance Monthly Outgoing Wire",7)</f>
        <v>#NAME?</v>
      </c>
      <c r="Q12" s="43" t="e">
        <f>dsd("Avsurance Check Paid",7)</f>
        <v>#NAME?</v>
      </c>
      <c r="R12" s="43" t="e">
        <f>dsd("Avsurance Monthly Other",7)</f>
        <v>#NAME?</v>
      </c>
      <c r="S12" s="45" t="e">
        <f>SUM(C12:I12,P12:R12)</f>
        <v>#NULL!</v>
      </c>
      <c r="U12" s="43" t="e">
        <f>dsd("Avsurance Monthly Credits and Debits",7)</f>
        <v>#NAME?</v>
      </c>
    </row>
    <row r="13" ht="12.75" s="46" customFormat="true">
      <c r="A13" s="41" t="n">
        <f>IF(A12&lt;&gt;"",IF(MONTH(A12)=MONTH(A12+1),A12+1,""),"")</f>
        <v>42285.0</v>
      </c>
      <c r="B13" s="42"/>
      <c r="C13" s="43" t="e">
        <f>dsd("Avsurance Monthly Opening Ledger",8)</f>
        <v>#NAME?</v>
      </c>
      <c r="D13" s="43" t="e">
        <f>dsd("Avsurance Monthly Incoming ACH",8)</f>
        <v>#NAME?</v>
      </c>
      <c r="E13" s="43" t="e">
        <f>dsd("Avsurance Monthly Incoming Wire",8)</f>
        <v>#NAME?</v>
      </c>
      <c r="F13" s="43" t="e">
        <f>dsd("Avsurance Commercial Deposit",8)</f>
        <v>#NAME?</v>
      </c>
      <c r="G13" s="43" t="e">
        <f>dsd("Avsurance Monthly Loan Activity",8)</f>
        <v>#NAME?</v>
      </c>
      <c r="H13" s="43" t="e">
        <f>dsd("Avsurance ACH Other",8)</f>
        <v>#NAME?</v>
      </c>
      <c r="I13" s="43" t="e">
        <f>dsd("Avsurance ACH TMCW",8)</f>
        <v>#NAME?</v>
      </c>
      <c r="J13" s="44" t="e">
        <f>dsd("Avsurance Contract Fuel",8)</f>
        <v>#NAME?</v>
      </c>
      <c r="K13" s="44" t="e">
        <f>dsd("Avsurance Credit Cards",8)</f>
        <v>#NAME?</v>
      </c>
      <c r="L13" s="44" t="e">
        <f>dsd("Avsurance Freight",8)</f>
        <v>#NAME?</v>
      </c>
      <c r="M13" s="44" t="e">
        <f>dsd("Avsurance Tax",8)</f>
        <v>#NAME?</v>
      </c>
      <c r="N13" s="44" t="e">
        <f>dsd("Avsurance Fuel Supplier",8)</f>
        <v>#NAME?</v>
      </c>
      <c r="O13" s="44" t="e">
        <f>dsd("Avsurance Other",8)</f>
        <v>#NAME?</v>
      </c>
      <c r="P13" s="43" t="e">
        <f>dsd("Avsurance Monthly Outgoing Wire",8)</f>
        <v>#NAME?</v>
      </c>
      <c r="Q13" s="43" t="e">
        <f>dsd("Avsurance Check Paid",8)</f>
        <v>#NAME?</v>
      </c>
      <c r="R13" s="43" t="e">
        <f>dsd("Avsurance Monthly Other",8)</f>
        <v>#NAME?</v>
      </c>
      <c r="S13" s="45" t="e">
        <f>SUM(C13:I13,P13:R13)</f>
        <v>#NULL!</v>
      </c>
      <c r="U13" s="43" t="e">
        <f>dsd("Avsurance Monthly Credits and Debits",8)</f>
        <v>#NAME?</v>
      </c>
    </row>
    <row r="14" ht="12.75" s="46" customFormat="true">
      <c r="A14" s="41" t="n">
        <f>IF(A13&lt;&gt;"",IF(MONTH(A13)=MONTH(A13+1),A13+1,""),"")</f>
        <v>42286.0</v>
      </c>
      <c r="B14" s="42"/>
      <c r="C14" s="43" t="e">
        <f>dsd("Avsurance Monthly Opening Ledger",9)</f>
        <v>#NAME?</v>
      </c>
      <c r="D14" s="43" t="e">
        <f>dsd("Avsurance Monthly Incoming ACH",9)</f>
        <v>#NAME?</v>
      </c>
      <c r="E14" s="43" t="e">
        <f>dsd("Avsurance Monthly Incoming Wire",9)</f>
        <v>#NAME?</v>
      </c>
      <c r="F14" s="43" t="e">
        <f>dsd("Avsurance Commercial Deposit",9)</f>
        <v>#NAME?</v>
      </c>
      <c r="G14" s="43" t="e">
        <f>dsd("Avsurance Monthly Loan Activity",9)</f>
        <v>#NAME?</v>
      </c>
      <c r="H14" s="43" t="e">
        <f>dsd("Avsurance ACH Other",9)</f>
        <v>#NAME?</v>
      </c>
      <c r="I14" s="43" t="e">
        <f>dsd("Avsurance ACH TMCW",9)</f>
        <v>#NAME?</v>
      </c>
      <c r="J14" s="44" t="e">
        <f>dsd("Avsurance Contract Fuel",9)</f>
        <v>#NAME?</v>
      </c>
      <c r="K14" s="44" t="e">
        <f>dsd("Avsurance Credit Cards",9)</f>
        <v>#NAME?</v>
      </c>
      <c r="L14" s="44" t="e">
        <f>dsd("Avsurance Freight",9)</f>
        <v>#NAME?</v>
      </c>
      <c r="M14" s="44" t="e">
        <f>dsd("Avsurance Tax",9)</f>
        <v>#NAME?</v>
      </c>
      <c r="N14" s="44" t="e">
        <f>dsd("Avsurance Fuel Supplier",9)</f>
        <v>#NAME?</v>
      </c>
      <c r="O14" s="44" t="e">
        <f>dsd("Avsurance Other",9)</f>
        <v>#NAME?</v>
      </c>
      <c r="P14" s="43" t="e">
        <f>dsd("Avsurance Monthly Outgoing Wire",9)</f>
        <v>#NAME?</v>
      </c>
      <c r="Q14" s="43" t="e">
        <f>dsd("Avsurance Check Paid",9)</f>
        <v>#NAME?</v>
      </c>
      <c r="R14" s="43" t="e">
        <f>dsd("Avsurance Monthly Other",9)</f>
        <v>#NAME?</v>
      </c>
      <c r="S14" s="45" t="e">
        <f>SUM(C14:I14,P14:R14)</f>
        <v>#NULL!</v>
      </c>
      <c r="U14" s="43" t="e">
        <f>dsd("Avsurance Monthly Credits and Debits",9)</f>
        <v>#NAME?</v>
      </c>
    </row>
    <row r="15" ht="12.75" s="46" customFormat="true">
      <c r="A15" s="41" t="n">
        <f>IF(A14&lt;&gt;"",IF(MONTH(A14)=MONTH(A14+1),A14+1,""),"")</f>
        <v>42287.0</v>
      </c>
      <c r="B15" s="42"/>
      <c r="C15" s="43" t="e">
        <f>dsd("Avsurance Monthly Opening Ledger",10)</f>
        <v>#NAME?</v>
      </c>
      <c r="D15" s="43" t="e">
        <f>dsd("Avsurance Monthly Incoming ACH",10)</f>
        <v>#NAME?</v>
      </c>
      <c r="E15" s="43" t="e">
        <f>dsd("Avsurance Monthly Incoming Wire",10)</f>
        <v>#NAME?</v>
      </c>
      <c r="F15" s="43" t="e">
        <f>dsd("Avsurance Commercial Deposit",10)</f>
        <v>#NAME?</v>
      </c>
      <c r="G15" s="43" t="e">
        <f>dsd("Avsurance Monthly Loan Activity",10)</f>
        <v>#NAME?</v>
      </c>
      <c r="H15" s="43" t="e">
        <f>dsd("Avsurance ACH Other",10)</f>
        <v>#NAME?</v>
      </c>
      <c r="I15" s="43" t="e">
        <f>dsd("Avsurance ACH TMCW",10)</f>
        <v>#NAME?</v>
      </c>
      <c r="J15" s="44" t="e">
        <f>dsd("Avsurance Contract Fuel",10)</f>
        <v>#NAME?</v>
      </c>
      <c r="K15" s="44" t="e">
        <f>dsd("Avsurance Credit Cards",10)</f>
        <v>#NAME?</v>
      </c>
      <c r="L15" s="44" t="e">
        <f>dsd("Avsurance Freight",10)</f>
        <v>#NAME?</v>
      </c>
      <c r="M15" s="44" t="e">
        <f>dsd("Avsurance Tax",10)</f>
        <v>#NAME?</v>
      </c>
      <c r="N15" s="44" t="e">
        <f>dsd("Avsurance Fuel Supplier",10)</f>
        <v>#NAME?</v>
      </c>
      <c r="O15" s="44" t="e">
        <f>dsd("Avsurance Other",10)</f>
        <v>#NAME?</v>
      </c>
      <c r="P15" s="43" t="e">
        <f>dsd("Avsurance Monthly Outgoing Wire",10)</f>
        <v>#NAME?</v>
      </c>
      <c r="Q15" s="43" t="e">
        <f>dsd("Avsurance Check Paid",10)</f>
        <v>#NAME?</v>
      </c>
      <c r="R15" s="43" t="e">
        <f>dsd("Avsurance Monthly Other",10)</f>
        <v>#NAME?</v>
      </c>
      <c r="S15" s="45" t="e">
        <f>SUM(C15:I15,P15:R15)</f>
        <v>#NULL!</v>
      </c>
      <c r="U15" s="43" t="e">
        <f>dsd("Avsurance Monthly Credits and Debits",10)</f>
        <v>#NAME?</v>
      </c>
    </row>
    <row r="16" ht="12.75" s="46" customFormat="true">
      <c r="A16" s="41" t="n">
        <f>IF(A15&lt;&gt;"",IF(MONTH(A15)=MONTH(A15+1),A15+1,""),"")</f>
        <v>42288.0</v>
      </c>
      <c r="B16" s="42"/>
      <c r="C16" s="43" t="e">
        <f>dsd("Avsurance Monthly Opening Ledger",11)</f>
        <v>#NAME?</v>
      </c>
      <c r="D16" s="43" t="e">
        <f>dsd("Avsurance Monthly Incoming ACH",11)</f>
        <v>#NAME?</v>
      </c>
      <c r="E16" s="43" t="e">
        <f>dsd("Avsurance Monthly Incoming Wire",11)</f>
        <v>#NAME?</v>
      </c>
      <c r="F16" s="43" t="e">
        <f>dsd("Avsurance Commercial Deposit",11)</f>
        <v>#NAME?</v>
      </c>
      <c r="G16" s="43" t="e">
        <f>dsd("Avsurance Monthly Loan Activity",11)</f>
        <v>#NAME?</v>
      </c>
      <c r="H16" s="43" t="e">
        <f>dsd("Avsurance ACH Other",11)</f>
        <v>#NAME?</v>
      </c>
      <c r="I16" s="43" t="e">
        <f>dsd("Avsurance ACH TMCW",11)</f>
        <v>#NAME?</v>
      </c>
      <c r="J16" s="44" t="e">
        <f>dsd("Avsurance Contract Fuel",11)</f>
        <v>#NAME?</v>
      </c>
      <c r="K16" s="44" t="e">
        <f>dsd("Avsurance Credit Cards",11)</f>
        <v>#NAME?</v>
      </c>
      <c r="L16" s="44" t="e">
        <f>dsd("Avsurance Freight",11)</f>
        <v>#NAME?</v>
      </c>
      <c r="M16" s="44" t="e">
        <f>dsd("Avsurance Tax",11)</f>
        <v>#NAME?</v>
      </c>
      <c r="N16" s="44" t="e">
        <f>dsd("Avsurance Fuel Supplier",11)</f>
        <v>#NAME?</v>
      </c>
      <c r="O16" s="44" t="e">
        <f>dsd("Avsurance Other",11)</f>
        <v>#NAME?</v>
      </c>
      <c r="P16" s="43" t="e">
        <f>dsd("Avsurance Monthly Outgoing Wire",11)</f>
        <v>#NAME?</v>
      </c>
      <c r="Q16" s="43" t="e">
        <f>dsd("Avsurance Check Paid",11)</f>
        <v>#NAME?</v>
      </c>
      <c r="R16" s="43" t="e">
        <f>dsd("Avsurance Monthly Other",11)</f>
        <v>#NAME?</v>
      </c>
      <c r="S16" s="45" t="e">
        <f>SUM(C16:I16,P16:R16)</f>
        <v>#NULL!</v>
      </c>
      <c r="U16" s="43" t="e">
        <f>dsd("Avsurance Monthly Credits and Debits",11)</f>
        <v>#NAME?</v>
      </c>
    </row>
    <row r="17" ht="12.75" s="46" customFormat="true">
      <c r="A17" s="41" t="n">
        <f>IF(A16&lt;&gt;"",IF(MONTH(A16)=MONTH(A16+1),A16+1,""),"")</f>
        <v>42289.0</v>
      </c>
      <c r="B17" s="42"/>
      <c r="C17" s="43" t="e">
        <f>dsd("Avsurance Monthly Opening Ledger",12)</f>
        <v>#NAME?</v>
      </c>
      <c r="D17" s="43" t="e">
        <f>dsd("Avsurance Monthly Incoming ACH",12)</f>
        <v>#NAME?</v>
      </c>
      <c r="E17" s="43" t="e">
        <f>dsd("Avsurance Monthly Incoming Wire",12)</f>
        <v>#NAME?</v>
      </c>
      <c r="F17" s="43" t="e">
        <f>dsd("Avsurance Commercial Deposit",12)</f>
        <v>#NAME?</v>
      </c>
      <c r="G17" s="43" t="e">
        <f>dsd("Avsurance Monthly Loan Activity",12)</f>
        <v>#NAME?</v>
      </c>
      <c r="H17" s="43" t="e">
        <f>dsd("Avsurance ACH Other",12)</f>
        <v>#NAME?</v>
      </c>
      <c r="I17" s="43" t="e">
        <f>dsd("Avsurance ACH TMCW",12)</f>
        <v>#NAME?</v>
      </c>
      <c r="J17" s="44" t="e">
        <f>dsd("Avsurance Contract Fuel",12)</f>
        <v>#NAME?</v>
      </c>
      <c r="K17" s="44" t="e">
        <f>dsd("Avsurance Credit Cards",12)</f>
        <v>#NAME?</v>
      </c>
      <c r="L17" s="44" t="e">
        <f>dsd("Avsurance Freight",12)</f>
        <v>#NAME?</v>
      </c>
      <c r="M17" s="44" t="e">
        <f>dsd("Avsurance Tax",12)</f>
        <v>#NAME?</v>
      </c>
      <c r="N17" s="44" t="e">
        <f>dsd("Avsurance Fuel Supplier",12)</f>
        <v>#NAME?</v>
      </c>
      <c r="O17" s="44" t="e">
        <f>dsd("Avsurance Other",12)</f>
        <v>#NAME?</v>
      </c>
      <c r="P17" s="43" t="e">
        <f>dsd("Avsurance Monthly Outgoing Wire",12)</f>
        <v>#NAME?</v>
      </c>
      <c r="Q17" s="43" t="e">
        <f>dsd("Avsurance Check Paid",12)</f>
        <v>#NAME?</v>
      </c>
      <c r="R17" s="43" t="e">
        <f>dsd("Avsurance Monthly Other",12)</f>
        <v>#NAME?</v>
      </c>
      <c r="S17" s="45" t="e">
        <f>SUM(C17:I17,P17:R17)</f>
        <v>#NULL!</v>
      </c>
      <c r="U17" s="43" t="e">
        <f>dsd("Avsurance Monthly Credits and Debits",12)</f>
        <v>#NAME?</v>
      </c>
    </row>
    <row r="18" ht="12.75" s="46" customFormat="true">
      <c r="A18" s="41" t="n">
        <f>IF(A17&lt;&gt;"",IF(MONTH(A17)=MONTH(A17+1),A17+1,""),"")</f>
        <v>42290.0</v>
      </c>
      <c r="B18" s="42"/>
      <c r="C18" s="43" t="e">
        <f>dsd("Avsurance Monthly Opening Ledger",13)</f>
        <v>#NAME?</v>
      </c>
      <c r="D18" s="43" t="e">
        <f>dsd("Avsurance Monthly Incoming ACH",13)</f>
        <v>#NAME?</v>
      </c>
      <c r="E18" s="43" t="e">
        <f>dsd("Avsurance Monthly Incoming Wire",13)</f>
        <v>#NAME?</v>
      </c>
      <c r="F18" s="43" t="e">
        <f>dsd("Avsurance Commercial Deposit",13)</f>
        <v>#NAME?</v>
      </c>
      <c r="G18" s="43" t="e">
        <f>dsd("Avsurance Monthly Loan Activity",13)</f>
        <v>#NAME?</v>
      </c>
      <c r="H18" s="43" t="e">
        <f>dsd("Avsurance ACH Other",13)</f>
        <v>#NAME?</v>
      </c>
      <c r="I18" s="43" t="e">
        <f>dsd("Avsurance ACH TMCW",13)</f>
        <v>#NAME?</v>
      </c>
      <c r="J18" s="44" t="e">
        <f>dsd("Avsurance Contract Fuel",13)</f>
        <v>#NAME?</v>
      </c>
      <c r="K18" s="44" t="e">
        <f>dsd("Avsurance Credit Cards",13)</f>
        <v>#NAME?</v>
      </c>
      <c r="L18" s="44" t="e">
        <f>dsd("Avsurance Freight",13)</f>
        <v>#NAME?</v>
      </c>
      <c r="M18" s="44" t="e">
        <f>dsd("Avsurance Tax",13)</f>
        <v>#NAME?</v>
      </c>
      <c r="N18" s="44" t="e">
        <f>dsd("Avsurance Fuel Supplier",13)</f>
        <v>#NAME?</v>
      </c>
      <c r="O18" s="44" t="e">
        <f>dsd("Avsurance Other",13)</f>
        <v>#NAME?</v>
      </c>
      <c r="P18" s="43" t="e">
        <f>dsd("Avsurance Monthly Outgoing Wire",13)</f>
        <v>#NAME?</v>
      </c>
      <c r="Q18" s="43" t="e">
        <f>dsd("Avsurance Check Paid",13)</f>
        <v>#NAME?</v>
      </c>
      <c r="R18" s="43" t="e">
        <f>dsd("Avsurance Monthly Other",13)</f>
        <v>#NAME?</v>
      </c>
      <c r="S18" s="45" t="e">
        <f>SUM(C18:I18,P18:R18)</f>
        <v>#NULL!</v>
      </c>
      <c r="U18" s="43" t="e">
        <f>dsd("Avsurance Monthly Credits and Debits",13)</f>
        <v>#NAME?</v>
      </c>
    </row>
    <row r="19" ht="12.75" s="46" customFormat="true">
      <c r="A19" s="41" t="n">
        <f>IF(A18&lt;&gt;"",IF(MONTH(A18)=MONTH(A18+1),A18+1,""),"")</f>
        <v>42291.0</v>
      </c>
      <c r="B19" s="42"/>
      <c r="C19" s="43" t="e">
        <f>dsd("Avsurance Monthly Opening Ledger",14)</f>
        <v>#NAME?</v>
      </c>
      <c r="D19" s="43" t="e">
        <f>dsd("Avsurance Monthly Incoming ACH",14)</f>
        <v>#NAME?</v>
      </c>
      <c r="E19" s="43" t="e">
        <f>dsd("Avsurance Monthly Incoming Wire",14)</f>
        <v>#NAME?</v>
      </c>
      <c r="F19" s="43" t="e">
        <f>dsd("Avsurance Commercial Deposit",14)</f>
        <v>#NAME?</v>
      </c>
      <c r="G19" s="43" t="e">
        <f>dsd("Avsurance Monthly Loan Activity",14)</f>
        <v>#NAME?</v>
      </c>
      <c r="H19" s="43" t="e">
        <f>dsd("Avsurance ACH Other",14)</f>
        <v>#NAME?</v>
      </c>
      <c r="I19" s="43" t="e">
        <f>dsd("Avsurance ACH TMCW",14)</f>
        <v>#NAME?</v>
      </c>
      <c r="J19" s="44" t="e">
        <f>dsd("Avsurance Contract Fuel",14)</f>
        <v>#NAME?</v>
      </c>
      <c r="K19" s="44" t="e">
        <f>dsd("Avsurance Credit Cards",14)</f>
        <v>#NAME?</v>
      </c>
      <c r="L19" s="44" t="e">
        <f>dsd("Avsurance Freight",14)</f>
        <v>#NAME?</v>
      </c>
      <c r="M19" s="44" t="e">
        <f>dsd("Avsurance Tax",14)</f>
        <v>#NAME?</v>
      </c>
      <c r="N19" s="44" t="e">
        <f>dsd("Avsurance Fuel Supplier",14)</f>
        <v>#NAME?</v>
      </c>
      <c r="O19" s="44" t="e">
        <f>dsd("Avsurance Other",14)</f>
        <v>#NAME?</v>
      </c>
      <c r="P19" s="43" t="e">
        <f>dsd("Avsurance Monthly Outgoing Wire",14)</f>
        <v>#NAME?</v>
      </c>
      <c r="Q19" s="43" t="e">
        <f>dsd("Avsurance Check Paid",14)</f>
        <v>#NAME?</v>
      </c>
      <c r="R19" s="43" t="e">
        <f>dsd("Avsurance Monthly Other",14)</f>
        <v>#NAME?</v>
      </c>
      <c r="S19" s="45" t="e">
        <f>SUM(C19:I19,P19:R19)</f>
        <v>#NULL!</v>
      </c>
      <c r="U19" s="43" t="e">
        <f>dsd("Avsurance Monthly Credits and Debits",14)</f>
        <v>#NAME?</v>
      </c>
    </row>
    <row r="20" ht="12.75" s="46" customFormat="true">
      <c r="A20" s="41" t="n">
        <f>IF(A19&lt;&gt;"",IF(MONTH(A19)=MONTH(A19+1),A19+1,""),"")</f>
        <v>42292.0</v>
      </c>
      <c r="B20" s="42"/>
      <c r="C20" s="43" t="e">
        <f>dsd("Avsurance Monthly Opening Ledger",15)</f>
        <v>#NAME?</v>
      </c>
      <c r="D20" s="43" t="e">
        <f>dsd("Avsurance Monthly Incoming ACH",15)</f>
        <v>#NAME?</v>
      </c>
      <c r="E20" s="43" t="e">
        <f>dsd("Avsurance Monthly Incoming Wire",15)</f>
        <v>#NAME?</v>
      </c>
      <c r="F20" s="43" t="e">
        <f>dsd("Avsurance Commercial Deposit",15)</f>
        <v>#NAME?</v>
      </c>
      <c r="G20" s="43" t="e">
        <f>dsd("Avsurance Monthly Loan Activity",15)</f>
        <v>#NAME?</v>
      </c>
      <c r="H20" s="43" t="e">
        <f>dsd("Avsurance ACH Other",15)</f>
        <v>#NAME?</v>
      </c>
      <c r="I20" s="43" t="e">
        <f>dsd("Avsurance ACH TMCW",15)</f>
        <v>#NAME?</v>
      </c>
      <c r="J20" s="44" t="e">
        <f>dsd("Avsurance Contract Fuel",15)</f>
        <v>#NAME?</v>
      </c>
      <c r="K20" s="44" t="e">
        <f>dsd("Avsurance Credit Cards",15)</f>
        <v>#NAME?</v>
      </c>
      <c r="L20" s="44" t="e">
        <f>dsd("Avsurance Freight",15)</f>
        <v>#NAME?</v>
      </c>
      <c r="M20" s="44" t="e">
        <f>dsd("Avsurance Tax",15)</f>
        <v>#NAME?</v>
      </c>
      <c r="N20" s="44" t="e">
        <f>dsd("Avsurance Fuel Supplier",15)</f>
        <v>#NAME?</v>
      </c>
      <c r="O20" s="44" t="e">
        <f>dsd("Avsurance Other",15)</f>
        <v>#NAME?</v>
      </c>
      <c r="P20" s="43" t="e">
        <f>dsd("Avsurance Monthly Outgoing Wire",15)</f>
        <v>#NAME?</v>
      </c>
      <c r="Q20" s="43" t="e">
        <f>dsd("Avsurance Check Paid",15)</f>
        <v>#NAME?</v>
      </c>
      <c r="R20" s="43" t="e">
        <f>dsd("Avsurance Monthly Other",15)</f>
        <v>#NAME?</v>
      </c>
      <c r="S20" s="45" t="e">
        <f>SUM(C20:I20,P20:R20)</f>
        <v>#NULL!</v>
      </c>
      <c r="U20" s="43" t="e">
        <f>dsd("Avsurance Monthly Credits and Debits",15)</f>
        <v>#NAME?</v>
      </c>
    </row>
    <row r="21" ht="12.75" s="46" customFormat="true">
      <c r="A21" s="41" t="n">
        <f>IF(A20&lt;&gt;"",IF(MONTH(A20)=MONTH(A20+1),A20+1,""),"")</f>
        <v>42293.0</v>
      </c>
      <c r="B21" s="42"/>
      <c r="C21" s="43" t="e">
        <f>dsd("Avsurance Monthly Opening Ledger",16)</f>
        <v>#NAME?</v>
      </c>
      <c r="D21" s="43" t="e">
        <f>dsd("Avsurance Monthly Incoming ACH",16)</f>
        <v>#NAME?</v>
      </c>
      <c r="E21" s="43" t="e">
        <f>dsd("Avsurance Monthly Incoming Wire",16)</f>
        <v>#NAME?</v>
      </c>
      <c r="F21" s="43" t="e">
        <f>dsd("Avsurance Commercial Deposit",16)</f>
        <v>#NAME?</v>
      </c>
      <c r="G21" s="43" t="e">
        <f>dsd("Avsurance Monthly Loan Activity",16)</f>
        <v>#NAME?</v>
      </c>
      <c r="H21" s="43" t="e">
        <f>dsd("Avsurance ACH Other",16)</f>
        <v>#NAME?</v>
      </c>
      <c r="I21" s="43" t="e">
        <f>dsd("Avsurance ACH TMCW",16)</f>
        <v>#NAME?</v>
      </c>
      <c r="J21" s="44" t="e">
        <f>dsd("Avsurance Contract Fuel",16)</f>
        <v>#NAME?</v>
      </c>
      <c r="K21" s="44" t="e">
        <f>dsd("Avsurance Credit Cards",16)</f>
        <v>#NAME?</v>
      </c>
      <c r="L21" s="44" t="e">
        <f>dsd("Avsurance Freight",16)</f>
        <v>#NAME?</v>
      </c>
      <c r="M21" s="44" t="e">
        <f>dsd("Avsurance Tax",16)</f>
        <v>#NAME?</v>
      </c>
      <c r="N21" s="44" t="e">
        <f>dsd("Avsurance Fuel Supplier",16)</f>
        <v>#NAME?</v>
      </c>
      <c r="O21" s="44" t="e">
        <f>dsd("Avsurance Other",16)</f>
        <v>#NAME?</v>
      </c>
      <c r="P21" s="43" t="e">
        <f>dsd("Avsurance Monthly Outgoing Wire",16)</f>
        <v>#NAME?</v>
      </c>
      <c r="Q21" s="43" t="e">
        <f>dsd("Avsurance Check Paid",16)</f>
        <v>#NAME?</v>
      </c>
      <c r="R21" s="43" t="e">
        <f>dsd("Avsurance Monthly Other",16)</f>
        <v>#NAME?</v>
      </c>
      <c r="S21" s="45" t="e">
        <f>SUM(C21:I21,P21:R21)</f>
        <v>#NULL!</v>
      </c>
      <c r="U21" s="43" t="e">
        <f>dsd("Avsurance Monthly Credits and Debits",16)</f>
        <v>#NAME?</v>
      </c>
    </row>
    <row r="22" ht="12.75" s="46" customFormat="true">
      <c r="A22" s="41" t="n">
        <f>IF(A21&lt;&gt;"",IF(MONTH(A21)=MONTH(A21+1),A21+1,""),"")</f>
        <v>42294.0</v>
      </c>
      <c r="B22" s="42"/>
      <c r="C22" s="43" t="e">
        <f>dsd("Avsurance Monthly Opening Ledger",17)</f>
        <v>#NAME?</v>
      </c>
      <c r="D22" s="43" t="e">
        <f>dsd("Avsurance Monthly Incoming ACH",17)</f>
        <v>#NAME?</v>
      </c>
      <c r="E22" s="43" t="e">
        <f>dsd("Avsurance Monthly Incoming Wire",17)</f>
        <v>#NAME?</v>
      </c>
      <c r="F22" s="43" t="e">
        <f>dsd("Avsurance Commercial Deposit",17)</f>
        <v>#NAME?</v>
      </c>
      <c r="G22" s="43" t="e">
        <f>dsd("Avsurance Monthly Loan Activity",17)</f>
        <v>#NAME?</v>
      </c>
      <c r="H22" s="43" t="e">
        <f>dsd("Avsurance ACH Other",17)</f>
        <v>#NAME?</v>
      </c>
      <c r="I22" s="43" t="e">
        <f>dsd("Avsurance ACH TMCW",17)</f>
        <v>#NAME?</v>
      </c>
      <c r="J22" s="44" t="e">
        <f>dsd("Avsurance Contract Fuel",17)</f>
        <v>#NAME?</v>
      </c>
      <c r="K22" s="44" t="e">
        <f>dsd("Avsurance Credit Cards",17)</f>
        <v>#NAME?</v>
      </c>
      <c r="L22" s="44" t="e">
        <f>dsd("Avsurance Freight",17)</f>
        <v>#NAME?</v>
      </c>
      <c r="M22" s="44" t="e">
        <f>dsd("Avsurance Tax",17)</f>
        <v>#NAME?</v>
      </c>
      <c r="N22" s="44" t="e">
        <f>dsd("Avsurance Fuel Supplier",17)</f>
        <v>#NAME?</v>
      </c>
      <c r="O22" s="44" t="e">
        <f>dsd("Avsurance Other",17)</f>
        <v>#NAME?</v>
      </c>
      <c r="P22" s="43" t="e">
        <f>dsd("Avsurance Monthly Outgoing Wire",17)</f>
        <v>#NAME?</v>
      </c>
      <c r="Q22" s="43" t="e">
        <f>dsd("Avsurance Check Paid",17)</f>
        <v>#NAME?</v>
      </c>
      <c r="R22" s="43" t="e">
        <f>dsd("Avsurance Monthly Other",17)</f>
        <v>#NAME?</v>
      </c>
      <c r="S22" s="45" t="e">
        <f>SUM(C22:I22,P22:R22)</f>
        <v>#NULL!</v>
      </c>
      <c r="U22" s="43" t="e">
        <f>dsd("Avsurance Monthly Credits and Debits",17)</f>
        <v>#NAME?</v>
      </c>
    </row>
    <row r="23" ht="12.75" s="46" customFormat="true">
      <c r="A23" s="41" t="n">
        <f>IF(A22&lt;&gt;"",IF(MONTH(A22)=MONTH(A22+1),A22+1,""),"")</f>
        <v>42295.0</v>
      </c>
      <c r="B23" s="42"/>
      <c r="C23" s="43" t="e">
        <f>dsd("Avsurance Monthly Opening Ledger",18)</f>
        <v>#NAME?</v>
      </c>
      <c r="D23" s="43" t="e">
        <f>dsd("Avsurance Monthly Incoming ACH",18)</f>
        <v>#NAME?</v>
      </c>
      <c r="E23" s="43" t="e">
        <f>dsd("Avsurance Monthly Incoming Wire",18)</f>
        <v>#NAME?</v>
      </c>
      <c r="F23" s="43" t="e">
        <f>dsd("Avsurance Commercial Deposit",18)</f>
        <v>#NAME?</v>
      </c>
      <c r="G23" s="43" t="e">
        <f>dsd("Avsurance Monthly Loan Activity",18)</f>
        <v>#NAME?</v>
      </c>
      <c r="H23" s="43" t="e">
        <f>dsd("Avsurance ACH Other",18)</f>
        <v>#NAME?</v>
      </c>
      <c r="I23" s="43" t="e">
        <f>dsd("Avsurance ACH TMCW",18)</f>
        <v>#NAME?</v>
      </c>
      <c r="J23" s="44" t="e">
        <f>dsd("Avsurance Contract Fuel",18)</f>
        <v>#NAME?</v>
      </c>
      <c r="K23" s="44" t="e">
        <f>dsd("Avsurance Credit Cards",18)</f>
        <v>#NAME?</v>
      </c>
      <c r="L23" s="44" t="e">
        <f>dsd("Avsurance Freight",18)</f>
        <v>#NAME?</v>
      </c>
      <c r="M23" s="44" t="e">
        <f>dsd("Avsurance Tax",18)</f>
        <v>#NAME?</v>
      </c>
      <c r="N23" s="44" t="e">
        <f>dsd("Avsurance Fuel Supplier",18)</f>
        <v>#NAME?</v>
      </c>
      <c r="O23" s="44" t="e">
        <f>dsd("Avsurance Other",18)</f>
        <v>#NAME?</v>
      </c>
      <c r="P23" s="43" t="e">
        <f>dsd("Avsurance Monthly Outgoing Wire",18)</f>
        <v>#NAME?</v>
      </c>
      <c r="Q23" s="43" t="e">
        <f>dsd("Avsurance Check Paid",18)</f>
        <v>#NAME?</v>
      </c>
      <c r="R23" s="43" t="e">
        <f>dsd("Avsurance Monthly Other",18)</f>
        <v>#NAME?</v>
      </c>
      <c r="S23" s="45" t="e">
        <f>SUM(C23:I23,P23:R23)</f>
        <v>#NULL!</v>
      </c>
      <c r="U23" s="43" t="e">
        <f>dsd("Avsurance Monthly Credits and Debits",18)</f>
        <v>#NAME?</v>
      </c>
    </row>
    <row r="24" ht="12.75" s="46" customFormat="true">
      <c r="A24" s="41" t="n">
        <f>IF(A23&lt;&gt;"",IF(MONTH(A23)=MONTH(A23+1),A23+1,""),"")</f>
        <v>42296.0</v>
      </c>
      <c r="B24" s="42"/>
      <c r="C24" s="43" t="e">
        <f>dsd("Avsurance Monthly Opening Ledger",19)</f>
        <v>#NAME?</v>
      </c>
      <c r="D24" s="43" t="e">
        <f>dsd("Avsurance Monthly Incoming ACH",19)</f>
        <v>#NAME?</v>
      </c>
      <c r="E24" s="43" t="e">
        <f>dsd("Avsurance Monthly Incoming Wire",19)</f>
        <v>#NAME?</v>
      </c>
      <c r="F24" s="43" t="e">
        <f>dsd("Avsurance Commercial Deposit",19)</f>
        <v>#NAME?</v>
      </c>
      <c r="G24" s="43" t="e">
        <f>dsd("Avsurance Monthly Loan Activity",19)</f>
        <v>#NAME?</v>
      </c>
      <c r="H24" s="43" t="e">
        <f>dsd("Avsurance ACH Other",19)</f>
        <v>#NAME?</v>
      </c>
      <c r="I24" s="43" t="e">
        <f>dsd("Avsurance ACH TMCW",19)</f>
        <v>#NAME?</v>
      </c>
      <c r="J24" s="44" t="e">
        <f>dsd("Avsurance Contract Fuel",19)</f>
        <v>#NAME?</v>
      </c>
      <c r="K24" s="44" t="e">
        <f>dsd("Avsurance Credit Cards",19)</f>
        <v>#NAME?</v>
      </c>
      <c r="L24" s="44" t="e">
        <f>dsd("Avsurance Freight",19)</f>
        <v>#NAME?</v>
      </c>
      <c r="M24" s="44" t="e">
        <f>dsd("Avsurance Tax",19)</f>
        <v>#NAME?</v>
      </c>
      <c r="N24" s="44" t="e">
        <f>dsd("Avsurance Fuel Supplier",19)</f>
        <v>#NAME?</v>
      </c>
      <c r="O24" s="44" t="e">
        <f>dsd("Avsurance Other",19)</f>
        <v>#NAME?</v>
      </c>
      <c r="P24" s="43" t="e">
        <f>dsd("Avsurance Monthly Outgoing Wire",19)</f>
        <v>#NAME?</v>
      </c>
      <c r="Q24" s="43" t="e">
        <f>dsd("Avsurance Check Paid",19)</f>
        <v>#NAME?</v>
      </c>
      <c r="R24" s="43" t="e">
        <f>dsd("Avsurance Monthly Other",19)</f>
        <v>#NAME?</v>
      </c>
      <c r="S24" s="45" t="e">
        <f>SUM(C24:I24,P24:R24)</f>
        <v>#NULL!</v>
      </c>
      <c r="U24" s="43" t="e">
        <f>dsd("Avsurance Monthly Credits and Debits",19)</f>
        <v>#NAME?</v>
      </c>
    </row>
    <row r="25" ht="12.75" s="46" customFormat="true">
      <c r="A25" s="41" t="n">
        <f>IF(A24&lt;&gt;"",IF(MONTH(A24)=MONTH(A24+1),A24+1,""),"")</f>
        <v>42297.0</v>
      </c>
      <c r="B25" s="42"/>
      <c r="C25" s="43" t="e">
        <f>dsd("Avsurance Monthly Opening Ledger",20)</f>
        <v>#NAME?</v>
      </c>
      <c r="D25" s="43" t="e">
        <f>dsd("Avsurance Monthly Incoming ACH",20)</f>
        <v>#NAME?</v>
      </c>
      <c r="E25" s="43" t="e">
        <f>dsd("Avsurance Monthly Incoming Wire",20)</f>
        <v>#NAME?</v>
      </c>
      <c r="F25" s="43" t="e">
        <f>dsd("Avsurance Commercial Deposit",20)</f>
        <v>#NAME?</v>
      </c>
      <c r="G25" s="43" t="e">
        <f>dsd("Avsurance Monthly Loan Activity",20)</f>
        <v>#NAME?</v>
      </c>
      <c r="H25" s="43" t="e">
        <f>dsd("Avsurance ACH Other",20)</f>
        <v>#NAME?</v>
      </c>
      <c r="I25" s="43" t="e">
        <f>dsd("Avsurance ACH TMCW",20)</f>
        <v>#NAME?</v>
      </c>
      <c r="J25" s="44" t="e">
        <f>dsd("Avsurance Contract Fuel",20)</f>
        <v>#NAME?</v>
      </c>
      <c r="K25" s="44" t="e">
        <f>dsd("Avsurance Credit Cards",20)</f>
        <v>#NAME?</v>
      </c>
      <c r="L25" s="44" t="e">
        <f>dsd("Avsurance Freight",20)</f>
        <v>#NAME?</v>
      </c>
      <c r="M25" s="44" t="e">
        <f>dsd("Avsurance Tax",20)</f>
        <v>#NAME?</v>
      </c>
      <c r="N25" s="44" t="e">
        <f>dsd("Avsurance Fuel Supplier",20)</f>
        <v>#NAME?</v>
      </c>
      <c r="O25" s="44" t="e">
        <f>dsd("Avsurance Other",20)</f>
        <v>#NAME?</v>
      </c>
      <c r="P25" s="43" t="e">
        <f>dsd("Avsurance Monthly Outgoing Wire",20)</f>
        <v>#NAME?</v>
      </c>
      <c r="Q25" s="43" t="e">
        <f>dsd("Avsurance Check Paid",20)</f>
        <v>#NAME?</v>
      </c>
      <c r="R25" s="43" t="e">
        <f>dsd("Avsurance Monthly Other",20)</f>
        <v>#NAME?</v>
      </c>
      <c r="S25" s="45" t="e">
        <f>SUM(C25:I25,P25:R25)</f>
        <v>#NULL!</v>
      </c>
      <c r="U25" s="43" t="e">
        <f>dsd("Avsurance Monthly Credits and Debits",20)</f>
        <v>#NAME?</v>
      </c>
    </row>
    <row r="26" ht="12.75" s="46" customFormat="true">
      <c r="A26" s="41" t="n">
        <f>IF(A25&lt;&gt;"",IF(MONTH(A25)=MONTH(A25+1),A25+1,""),"")</f>
        <v>42298.0</v>
      </c>
      <c r="B26" s="42"/>
      <c r="C26" s="43" t="e">
        <f>dsd("Avsurance Monthly Opening Ledger",21)</f>
        <v>#NAME?</v>
      </c>
      <c r="D26" s="43" t="e">
        <f>dsd("Avsurance Monthly Incoming ACH",21)</f>
        <v>#NAME?</v>
      </c>
      <c r="E26" s="43" t="e">
        <f>dsd("Avsurance Monthly Incoming Wire",21)</f>
        <v>#NAME?</v>
      </c>
      <c r="F26" s="43" t="e">
        <f>dsd("Avsurance Commercial Deposit",21)</f>
        <v>#NAME?</v>
      </c>
      <c r="G26" s="43" t="e">
        <f>dsd("Avsurance Monthly Loan Activity",21)</f>
        <v>#NAME?</v>
      </c>
      <c r="H26" s="43" t="e">
        <f>dsd("Avsurance ACH Other",21)</f>
        <v>#NAME?</v>
      </c>
      <c r="I26" s="43" t="e">
        <f>dsd("Avsurance ACH TMCW",21)</f>
        <v>#NAME?</v>
      </c>
      <c r="J26" s="44" t="e">
        <f>dsd("Avsurance Contract Fuel",21)</f>
        <v>#NAME?</v>
      </c>
      <c r="K26" s="44" t="e">
        <f>dsd("Avsurance Credit Cards",21)</f>
        <v>#NAME?</v>
      </c>
      <c r="L26" s="44" t="e">
        <f>dsd("Avsurance Freight",21)</f>
        <v>#NAME?</v>
      </c>
      <c r="M26" s="44" t="e">
        <f>dsd("Avsurance Tax",21)</f>
        <v>#NAME?</v>
      </c>
      <c r="N26" s="44" t="e">
        <f>dsd("Avsurance Fuel Supplier",21)</f>
        <v>#NAME?</v>
      </c>
      <c r="O26" s="44" t="e">
        <f>dsd("Avsurance Other",21)</f>
        <v>#NAME?</v>
      </c>
      <c r="P26" s="43" t="e">
        <f>dsd("Avsurance Monthly Outgoing Wire",21)</f>
        <v>#NAME?</v>
      </c>
      <c r="Q26" s="43" t="e">
        <f>dsd("Avsurance Check Paid",21)</f>
        <v>#NAME?</v>
      </c>
      <c r="R26" s="43" t="e">
        <f>dsd("Avsurance Monthly Other",21)</f>
        <v>#NAME?</v>
      </c>
      <c r="S26" s="45" t="e">
        <f>SUM(C26:I26,P26:R26)</f>
        <v>#NULL!</v>
      </c>
      <c r="U26" s="43" t="e">
        <f>dsd("Avsurance Monthly Credits and Debits",21)</f>
        <v>#NAME?</v>
      </c>
    </row>
    <row r="27" ht="12.75" s="46" customFormat="true">
      <c r="A27" s="41" t="n">
        <f>IF(A26&lt;&gt;"",IF(MONTH(A26)=MONTH(A26+1),A26+1,""),"")</f>
        <v>42299.0</v>
      </c>
      <c r="B27" s="42"/>
      <c r="C27" s="43" t="e">
        <f>dsd("Avsurance Monthly Opening Ledger",22)</f>
        <v>#NAME?</v>
      </c>
      <c r="D27" s="43" t="e">
        <f>dsd("Avsurance Monthly Incoming ACH",22)</f>
        <v>#NAME?</v>
      </c>
      <c r="E27" s="43" t="e">
        <f>dsd("Avsurance Monthly Incoming Wire",22)</f>
        <v>#NAME?</v>
      </c>
      <c r="F27" s="43" t="e">
        <f>dsd("Avsurance Commercial Deposit",22)</f>
        <v>#NAME?</v>
      </c>
      <c r="G27" s="43" t="e">
        <f>dsd("Avsurance Monthly Loan Activity",22)</f>
        <v>#NAME?</v>
      </c>
      <c r="H27" s="43" t="e">
        <f>dsd("Avsurance ACH Other",22)</f>
        <v>#NAME?</v>
      </c>
      <c r="I27" s="43" t="e">
        <f>dsd("Avsurance ACH TMCW",22)</f>
        <v>#NAME?</v>
      </c>
      <c r="J27" s="44" t="e">
        <f>dsd("Avsurance Contract Fuel",22)</f>
        <v>#NAME?</v>
      </c>
      <c r="K27" s="44" t="e">
        <f>dsd("Avsurance Credit Cards",22)</f>
        <v>#NAME?</v>
      </c>
      <c r="L27" s="44" t="e">
        <f>dsd("Avsurance Freight",22)</f>
        <v>#NAME?</v>
      </c>
      <c r="M27" s="44" t="e">
        <f>dsd("Avsurance Tax",22)</f>
        <v>#NAME?</v>
      </c>
      <c r="N27" s="44" t="e">
        <f>dsd("Avsurance Fuel Supplier",22)</f>
        <v>#NAME?</v>
      </c>
      <c r="O27" s="44" t="e">
        <f>dsd("Avsurance Other",22)</f>
        <v>#NAME?</v>
      </c>
      <c r="P27" s="43" t="e">
        <f>dsd("Avsurance Monthly Outgoing Wire",22)</f>
        <v>#NAME?</v>
      </c>
      <c r="Q27" s="43" t="e">
        <f>dsd("Avsurance Check Paid",22)</f>
        <v>#NAME?</v>
      </c>
      <c r="R27" s="43" t="e">
        <f>dsd("Avsurance Monthly Other",22)</f>
        <v>#NAME?</v>
      </c>
      <c r="S27" s="45" t="e">
        <f>SUM(C27:I27,P27:R27)</f>
        <v>#NULL!</v>
      </c>
      <c r="U27" s="43" t="e">
        <f>dsd("Avsurance Monthly Credits and Debits",22)</f>
        <v>#NAME?</v>
      </c>
    </row>
    <row r="28" ht="12.75" s="46" customFormat="true">
      <c r="A28" s="41" t="n">
        <f>IF(A27&lt;&gt;"",IF(MONTH(A27)=MONTH(A27+1),A27+1,""),"")</f>
        <v>42300.0</v>
      </c>
      <c r="B28" s="42"/>
      <c r="C28" s="43" t="e">
        <f>dsd("Avsurance Monthly Opening Ledger",23)</f>
        <v>#NAME?</v>
      </c>
      <c r="D28" s="43" t="e">
        <f>dsd("Avsurance Monthly Incoming ACH",23)</f>
        <v>#NAME?</v>
      </c>
      <c r="E28" s="43" t="e">
        <f>dsd("Avsurance Monthly Incoming Wire",23)</f>
        <v>#NAME?</v>
      </c>
      <c r="F28" s="43" t="e">
        <f>dsd("Avsurance Commercial Deposit",23)</f>
        <v>#NAME?</v>
      </c>
      <c r="G28" s="43" t="e">
        <f>dsd("Avsurance Monthly Loan Activity",23)</f>
        <v>#NAME?</v>
      </c>
      <c r="H28" s="43" t="e">
        <f>dsd("Avsurance ACH Other",23)</f>
        <v>#NAME?</v>
      </c>
      <c r="I28" s="43" t="e">
        <f>dsd("Avsurance ACH TMCW",23)</f>
        <v>#NAME?</v>
      </c>
      <c r="J28" s="44" t="e">
        <f>dsd("Avsurance Contract Fuel",23)</f>
        <v>#NAME?</v>
      </c>
      <c r="K28" s="44" t="e">
        <f>dsd("Avsurance Credit Cards",23)</f>
        <v>#NAME?</v>
      </c>
      <c r="L28" s="44" t="e">
        <f>dsd("Avsurance Freight",23)</f>
        <v>#NAME?</v>
      </c>
      <c r="M28" s="44" t="e">
        <f>dsd("Avsurance Tax",23)</f>
        <v>#NAME?</v>
      </c>
      <c r="N28" s="44" t="e">
        <f>dsd("Avsurance Fuel Supplier",23)</f>
        <v>#NAME?</v>
      </c>
      <c r="O28" s="44" t="e">
        <f>dsd("Avsurance Other",23)</f>
        <v>#NAME?</v>
      </c>
      <c r="P28" s="43" t="e">
        <f>dsd("Avsurance Monthly Outgoing Wire",23)</f>
        <v>#NAME?</v>
      </c>
      <c r="Q28" s="43" t="e">
        <f>dsd("Avsurance Check Paid",23)</f>
        <v>#NAME?</v>
      </c>
      <c r="R28" s="43" t="e">
        <f>dsd("Avsurance Monthly Other",23)</f>
        <v>#NAME?</v>
      </c>
      <c r="S28" s="45" t="e">
        <f>SUM(C28:I28,P28:R28)</f>
        <v>#NULL!</v>
      </c>
      <c r="U28" s="43" t="e">
        <f>dsd("Avsurance Monthly Credits and Debits",23)</f>
        <v>#NAME?</v>
      </c>
    </row>
    <row r="29" ht="12.75" s="46" customFormat="true">
      <c r="A29" s="41" t="n">
        <f>IF(A28&lt;&gt;"",IF(MONTH(A28)=MONTH(A28+1),A28+1,""),"")</f>
        <v>42301.0</v>
      </c>
      <c r="B29" s="42"/>
      <c r="C29" s="43" t="e">
        <f>dsd("Avsurance Monthly Opening Ledger",24)</f>
        <v>#NAME?</v>
      </c>
      <c r="D29" s="43" t="e">
        <f>dsd("Avsurance Monthly Incoming ACH",24)</f>
        <v>#NAME?</v>
      </c>
      <c r="E29" s="43" t="e">
        <f>dsd("Avsurance Monthly Incoming Wire",24)</f>
        <v>#NAME?</v>
      </c>
      <c r="F29" s="43" t="e">
        <f>dsd("Avsurance Commercial Deposit",24)</f>
        <v>#NAME?</v>
      </c>
      <c r="G29" s="43" t="e">
        <f>dsd("Avsurance Monthly Loan Activity",24)</f>
        <v>#NAME?</v>
      </c>
      <c r="H29" s="43" t="e">
        <f>dsd("Avsurance ACH Other",24)</f>
        <v>#NAME?</v>
      </c>
      <c r="I29" s="43" t="e">
        <f>dsd("Avsurance ACH TMCW",24)</f>
        <v>#NAME?</v>
      </c>
      <c r="J29" s="44" t="e">
        <f>dsd("Avsurance Contract Fuel",24)</f>
        <v>#NAME?</v>
      </c>
      <c r="K29" s="44" t="e">
        <f>dsd("Avsurance Credit Cards",24)</f>
        <v>#NAME?</v>
      </c>
      <c r="L29" s="44" t="e">
        <f>dsd("Avsurance Freight",24)</f>
        <v>#NAME?</v>
      </c>
      <c r="M29" s="44" t="e">
        <f>dsd("Avsurance Tax",24)</f>
        <v>#NAME?</v>
      </c>
      <c r="N29" s="44" t="e">
        <f>dsd("Avsurance Fuel Supplier",24)</f>
        <v>#NAME?</v>
      </c>
      <c r="O29" s="44" t="e">
        <f>dsd("Avsurance Other",24)</f>
        <v>#NAME?</v>
      </c>
      <c r="P29" s="43" t="e">
        <f>dsd("Avsurance Monthly Outgoing Wire",24)</f>
        <v>#NAME?</v>
      </c>
      <c r="Q29" s="43" t="e">
        <f>dsd("Avsurance Check Paid",24)</f>
        <v>#NAME?</v>
      </c>
      <c r="R29" s="43" t="e">
        <f>dsd("Avsurance Monthly Other",24)</f>
        <v>#NAME?</v>
      </c>
      <c r="S29" s="45" t="e">
        <f>SUM(C29:I29,P29:R29)</f>
        <v>#NULL!</v>
      </c>
      <c r="U29" s="43" t="e">
        <f>dsd("Avsurance Monthly Credits and Debits",24)</f>
        <v>#NAME?</v>
      </c>
    </row>
    <row r="30" ht="12.75" s="46" customFormat="true">
      <c r="A30" s="41" t="n">
        <f>IF(A29&lt;&gt;"",IF(MONTH(A29)=MONTH(A29+1),A29+1,""),"")</f>
        <v>42302.0</v>
      </c>
      <c r="B30" s="42"/>
      <c r="C30" s="43" t="e">
        <f>dsd("Avsurance Monthly Opening Ledger",25)</f>
        <v>#NAME?</v>
      </c>
      <c r="D30" s="43" t="e">
        <f>dsd("Avsurance Monthly Incoming ACH",25)</f>
        <v>#NAME?</v>
      </c>
      <c r="E30" s="43" t="e">
        <f>dsd("Avsurance Monthly Incoming Wire",25)</f>
        <v>#NAME?</v>
      </c>
      <c r="F30" s="43" t="e">
        <f>dsd("Avsurance Commercial Deposit",25)</f>
        <v>#NAME?</v>
      </c>
      <c r="G30" s="43" t="e">
        <f>dsd("Avsurance Monthly Loan Activity",25)</f>
        <v>#NAME?</v>
      </c>
      <c r="H30" s="43" t="e">
        <f>dsd("Avsurance ACH Other",25)</f>
        <v>#NAME?</v>
      </c>
      <c r="I30" s="43" t="e">
        <f>dsd("Avsurance ACH TMCW",25)</f>
        <v>#NAME?</v>
      </c>
      <c r="J30" s="44" t="e">
        <f>dsd("Avsurance Contract Fuel",25)</f>
        <v>#NAME?</v>
      </c>
      <c r="K30" s="44" t="e">
        <f>dsd("Avsurance Credit Cards",25)</f>
        <v>#NAME?</v>
      </c>
      <c r="L30" s="44" t="e">
        <f>dsd("Avsurance Freight",25)</f>
        <v>#NAME?</v>
      </c>
      <c r="M30" s="44" t="e">
        <f>dsd("Avsurance Tax",25)</f>
        <v>#NAME?</v>
      </c>
      <c r="N30" s="44" t="e">
        <f>dsd("Avsurance Fuel Supplier",25)</f>
        <v>#NAME?</v>
      </c>
      <c r="O30" s="44" t="e">
        <f>dsd("Avsurance Other",25)</f>
        <v>#NAME?</v>
      </c>
      <c r="P30" s="43" t="e">
        <f>dsd("Avsurance Monthly Outgoing Wire",25)</f>
        <v>#NAME?</v>
      </c>
      <c r="Q30" s="43" t="e">
        <f>dsd("Avsurance Check Paid",25)</f>
        <v>#NAME?</v>
      </c>
      <c r="R30" s="43" t="e">
        <f>dsd("Avsurance Monthly Other",25)</f>
        <v>#NAME?</v>
      </c>
      <c r="S30" s="45" t="e">
        <f>SUM(C30:I30,P30:R30)</f>
        <v>#NULL!</v>
      </c>
      <c r="U30" s="43" t="e">
        <f>dsd("Avsurance Monthly Credits and Debits",25)</f>
        <v>#NAME?</v>
      </c>
    </row>
    <row r="31" ht="12.75" s="46" customFormat="true">
      <c r="A31" s="41" t="n">
        <f>IF(A30&lt;&gt;"",IF(MONTH(A30)=MONTH(A30+1),A30+1,""),"")</f>
        <v>42303.0</v>
      </c>
      <c r="B31" s="42"/>
      <c r="C31" s="43" t="e">
        <f>dsd("Avsurance Monthly Opening Ledger",26)</f>
        <v>#NAME?</v>
      </c>
      <c r="D31" s="43" t="e">
        <f>dsd("Avsurance Monthly Incoming ACH",26)</f>
        <v>#NAME?</v>
      </c>
      <c r="E31" s="43" t="e">
        <f>dsd("Avsurance Monthly Incoming Wire",26)</f>
        <v>#NAME?</v>
      </c>
      <c r="F31" s="43" t="e">
        <f>dsd("Avsurance Commercial Deposit",26)</f>
        <v>#NAME?</v>
      </c>
      <c r="G31" s="43" t="e">
        <f>dsd("Avsurance Monthly Loan Activity",26)</f>
        <v>#NAME?</v>
      </c>
      <c r="H31" s="43" t="e">
        <f>dsd("Avsurance ACH Other",26)</f>
        <v>#NAME?</v>
      </c>
      <c r="I31" s="43" t="e">
        <f>dsd("Avsurance ACH TMCW",26)</f>
        <v>#NAME?</v>
      </c>
      <c r="J31" s="44" t="e">
        <f>dsd("Avsurance Contract Fuel",26)</f>
        <v>#NAME?</v>
      </c>
      <c r="K31" s="44" t="e">
        <f>dsd("Avsurance Credit Cards",26)</f>
        <v>#NAME?</v>
      </c>
      <c r="L31" s="44" t="e">
        <f>dsd("Avsurance Freight",26)</f>
        <v>#NAME?</v>
      </c>
      <c r="M31" s="44" t="e">
        <f>dsd("Avsurance Tax",26)</f>
        <v>#NAME?</v>
      </c>
      <c r="N31" s="44" t="e">
        <f>dsd("Avsurance Fuel Supplier",26)</f>
        <v>#NAME?</v>
      </c>
      <c r="O31" s="44" t="e">
        <f>dsd("Avsurance Other",26)</f>
        <v>#NAME?</v>
      </c>
      <c r="P31" s="43" t="e">
        <f>dsd("Avsurance Monthly Outgoing Wire",26)</f>
        <v>#NAME?</v>
      </c>
      <c r="Q31" s="43" t="e">
        <f>dsd("Avsurance Check Paid",26)</f>
        <v>#NAME?</v>
      </c>
      <c r="R31" s="43" t="e">
        <f>dsd("Avsurance Monthly Other",26)</f>
        <v>#NAME?</v>
      </c>
      <c r="S31" s="45" t="e">
        <f>SUM(C31:I31,P31:R31)</f>
        <v>#NULL!</v>
      </c>
      <c r="U31" s="43" t="e">
        <f>dsd("Avsurance Monthly Credits and Debits",26)</f>
        <v>#NAME?</v>
      </c>
    </row>
    <row r="32" ht="12.75" s="46" customFormat="true">
      <c r="A32" s="41" t="n">
        <f>IF(A31&lt;&gt;"",IF(MONTH(A31)=MONTH(A31+1),A31+1,""),"")</f>
        <v>42304.0</v>
      </c>
      <c r="B32" s="42"/>
      <c r="C32" s="43" t="e">
        <f>dsd("Avsurance Monthly Opening Ledger",27)</f>
        <v>#NAME?</v>
      </c>
      <c r="D32" s="43" t="e">
        <f>dsd("Avsurance Monthly Incoming ACH",27)</f>
        <v>#NAME?</v>
      </c>
      <c r="E32" s="43" t="e">
        <f>dsd("Avsurance Monthly Incoming Wire",27)</f>
        <v>#NAME?</v>
      </c>
      <c r="F32" s="43" t="e">
        <f>dsd("Avsurance Commercial Deposit",27)</f>
        <v>#NAME?</v>
      </c>
      <c r="G32" s="43" t="e">
        <f>dsd("Avsurance Monthly Loan Activity",27)</f>
        <v>#NAME?</v>
      </c>
      <c r="H32" s="43" t="e">
        <f>dsd("Avsurance ACH Other",27)</f>
        <v>#NAME?</v>
      </c>
      <c r="I32" s="43" t="e">
        <f>dsd("Avsurance ACH TMCW",27)</f>
        <v>#NAME?</v>
      </c>
      <c r="J32" s="44" t="e">
        <f>dsd("Avsurance Contract Fuel",27)</f>
        <v>#NAME?</v>
      </c>
      <c r="K32" s="44" t="e">
        <f>dsd("Avsurance Credit Cards",27)</f>
        <v>#NAME?</v>
      </c>
      <c r="L32" s="44" t="e">
        <f>dsd("Avsurance Freight",27)</f>
        <v>#NAME?</v>
      </c>
      <c r="M32" s="44" t="e">
        <f>dsd("Avsurance Tax",27)</f>
        <v>#NAME?</v>
      </c>
      <c r="N32" s="44" t="e">
        <f>dsd("Avsurance Fuel Supplier",27)</f>
        <v>#NAME?</v>
      </c>
      <c r="O32" s="44" t="e">
        <f>dsd("Avsurance Other",27)</f>
        <v>#NAME?</v>
      </c>
      <c r="P32" s="43" t="e">
        <f>dsd("Avsurance Monthly Outgoing Wire",27)</f>
        <v>#NAME?</v>
      </c>
      <c r="Q32" s="43" t="e">
        <f>dsd("Avsurance Check Paid",27)</f>
        <v>#NAME?</v>
      </c>
      <c r="R32" s="43" t="e">
        <f>dsd("Avsurance Monthly Other",27)</f>
        <v>#NAME?</v>
      </c>
      <c r="S32" s="45" t="e">
        <f>SUM(C32:I32,P32:R32)</f>
        <v>#NULL!</v>
      </c>
      <c r="U32" s="43" t="e">
        <f>dsd("Avsurance Monthly Credits and Debits",27)</f>
        <v>#NAME?</v>
      </c>
    </row>
    <row r="33" ht="12.75" s="46" customFormat="true">
      <c r="A33" s="41" t="n">
        <f>IF(A32&lt;&gt;"",IF(MONTH(A32)=MONTH(A32+1),A32+1,""),"")</f>
        <v>42305.0</v>
      </c>
      <c r="B33" s="42"/>
      <c r="C33" s="43" t="e">
        <f>dsd("Avsurance Monthly Opening Ledger",28)</f>
        <v>#NAME?</v>
      </c>
      <c r="D33" s="43" t="e">
        <f>dsd("Avsurance Monthly Incoming ACH",28)</f>
        <v>#NAME?</v>
      </c>
      <c r="E33" s="43" t="e">
        <f>dsd("Avsurance Monthly Incoming Wire",28)</f>
        <v>#NAME?</v>
      </c>
      <c r="F33" s="43" t="e">
        <f>dsd("Avsurance Commercial Deposit",28)</f>
        <v>#NAME?</v>
      </c>
      <c r="G33" s="43" t="e">
        <f>dsd("Avsurance Monthly Loan Activity",28)</f>
        <v>#NAME?</v>
      </c>
      <c r="H33" s="43" t="e">
        <f>dsd("Avsurance ACH Other",28)</f>
        <v>#NAME?</v>
      </c>
      <c r="I33" s="43" t="e">
        <f>dsd("Avsurance ACH TMCW",28)</f>
        <v>#NAME?</v>
      </c>
      <c r="J33" s="44" t="e">
        <f>dsd("Avsurance Contract Fuel",28)</f>
        <v>#NAME?</v>
      </c>
      <c r="K33" s="44" t="e">
        <f>dsd("Avsurance Credit Cards",28)</f>
        <v>#NAME?</v>
      </c>
      <c r="L33" s="44" t="e">
        <f>dsd("Avsurance Freight",28)</f>
        <v>#NAME?</v>
      </c>
      <c r="M33" s="44" t="e">
        <f>dsd("Avsurance Tax",28)</f>
        <v>#NAME?</v>
      </c>
      <c r="N33" s="44" t="e">
        <f>dsd("Avsurance Fuel Supplier",28)</f>
        <v>#NAME?</v>
      </c>
      <c r="O33" s="44" t="e">
        <f>dsd("Avsurance Other",28)</f>
        <v>#NAME?</v>
      </c>
      <c r="P33" s="43" t="e">
        <f>dsd("Avsurance Monthly Outgoing Wire",28)</f>
        <v>#NAME?</v>
      </c>
      <c r="Q33" s="43" t="e">
        <f>dsd("Avsurance Check Paid",28)</f>
        <v>#NAME?</v>
      </c>
      <c r="R33" s="43" t="e">
        <f>dsd("Avsurance Monthly Other",28)</f>
        <v>#NAME?</v>
      </c>
      <c r="S33" s="45" t="e">
        <f>SUM(C33:I33,P33:R33)</f>
        <v>#NULL!</v>
      </c>
      <c r="U33" s="43" t="e">
        <f>dsd("Avsurance Monthly Credits and Debits",28)</f>
        <v>#NAME?</v>
      </c>
    </row>
    <row r="34" ht="12.75" s="46" customFormat="true">
      <c r="A34" s="41" t="n">
        <f>IF(A33&lt;&gt;"",IF(MONTH(A33)=MONTH(A33+1),A33+1,""),"")</f>
        <v>42306.0</v>
      </c>
      <c r="B34" s="42"/>
      <c r="C34" s="43" t="e">
        <f>dsd("Avsurance Monthly Opening Ledger",29)</f>
        <v>#NAME?</v>
      </c>
      <c r="D34" s="43" t="e">
        <f>dsd("Avsurance Monthly Incoming ACH",29)</f>
        <v>#NAME?</v>
      </c>
      <c r="E34" s="43" t="e">
        <f>dsd("Avsurance Monthly Incoming Wire",29)</f>
        <v>#NAME?</v>
      </c>
      <c r="F34" s="43" t="e">
        <f>dsd("Avsurance Commercial Deposit",29)</f>
        <v>#NAME?</v>
      </c>
      <c r="G34" s="43" t="e">
        <f>dsd("Avsurance Monthly Loan Activity",29)</f>
        <v>#NAME?</v>
      </c>
      <c r="H34" s="43" t="e">
        <f>dsd("Avsurance ACH Other",29)</f>
        <v>#NAME?</v>
      </c>
      <c r="I34" s="43" t="e">
        <f>dsd("Avsurance ACH TMCW",29)</f>
        <v>#NAME?</v>
      </c>
      <c r="J34" s="44" t="e">
        <f>dsd("Avsurance Contract Fuel",29)</f>
        <v>#NAME?</v>
      </c>
      <c r="K34" s="44" t="e">
        <f>dsd("Avsurance Credit Cards",29)</f>
        <v>#NAME?</v>
      </c>
      <c r="L34" s="44" t="e">
        <f>dsd("Avsurance Freight",29)</f>
        <v>#NAME?</v>
      </c>
      <c r="M34" s="44" t="e">
        <f>dsd("Avsurance Tax",29)</f>
        <v>#NAME?</v>
      </c>
      <c r="N34" s="44" t="e">
        <f>dsd("Avsurance Fuel Supplier",29)</f>
        <v>#NAME?</v>
      </c>
      <c r="O34" s="44" t="e">
        <f>dsd("Avsurance Other",29)</f>
        <v>#NAME?</v>
      </c>
      <c r="P34" s="43" t="e">
        <f>dsd("Avsurance Monthly Outgoing Wire",29)</f>
        <v>#NAME?</v>
      </c>
      <c r="Q34" s="43" t="e">
        <f>dsd("Avsurance Check Paid",29)</f>
        <v>#NAME?</v>
      </c>
      <c r="R34" s="43" t="e">
        <f>dsd("Avsurance Monthly Other",29)</f>
        <v>#NAME?</v>
      </c>
      <c r="S34" s="45" t="e">
        <f>SUM(C34:I34,P34:R34)</f>
        <v>#NULL!</v>
      </c>
      <c r="U34" s="43" t="e">
        <f>dsd("Avsurance Monthly Credits and Debits",29)</f>
        <v>#NAME?</v>
      </c>
    </row>
    <row r="35" ht="12.75" s="46" customFormat="true">
      <c r="A35" s="47" t="n">
        <f>IF(A34&lt;&gt;"",IF(MONTH(A34)=MONTH(A34+1),A34+1,""),"")</f>
        <v>42307.0</v>
      </c>
      <c r="B35" s="42"/>
      <c r="C35" s="43" t="e">
        <f>dsd("Avsurance Monthly Opening Ledger",30)</f>
        <v>#NAME?</v>
      </c>
      <c r="D35" s="43" t="e">
        <f>dsd("Avsurance Monthly Incoming ACH",30)</f>
        <v>#NAME?</v>
      </c>
      <c r="E35" s="43" t="e">
        <f>dsd("Avsurance Monthly Incoming Wire",30)</f>
        <v>#NAME?</v>
      </c>
      <c r="F35" s="43" t="e">
        <f>dsd("Avsurance Commercial Deposit",30)</f>
        <v>#NAME?</v>
      </c>
      <c r="G35" s="43" t="e">
        <f>dsd("Avsurance Monthly Loan Activity",30)</f>
        <v>#NAME?</v>
      </c>
      <c r="H35" s="43" t="e">
        <f>dsd("Avsurance ACH Other",30)</f>
        <v>#NAME?</v>
      </c>
      <c r="I35" s="43" t="e">
        <f>dsd("Avsurance ACH TMCW",30)</f>
        <v>#NAME?</v>
      </c>
      <c r="J35" s="44" t="e">
        <f>dsd("Avsurance Contract Fuel",30)</f>
        <v>#NAME?</v>
      </c>
      <c r="K35" s="44" t="e">
        <f>dsd("Avsurance Credit Cards",30)</f>
        <v>#NAME?</v>
      </c>
      <c r="L35" s="44" t="e">
        <f>dsd("Avsurance Freight",30)</f>
        <v>#NAME?</v>
      </c>
      <c r="M35" s="44" t="e">
        <f>dsd("Avsurance Tax",30)</f>
        <v>#NAME?</v>
      </c>
      <c r="N35" s="44" t="e">
        <f>dsd("Avsurance Fuel Supplier",30)</f>
        <v>#NAME?</v>
      </c>
      <c r="O35" s="44" t="e">
        <f>dsd("Avsurance Other",30)</f>
        <v>#NAME?</v>
      </c>
      <c r="P35" s="43" t="e">
        <f>dsd("Avsurance Monthly Outgoing Wire",30)</f>
        <v>#NAME?</v>
      </c>
      <c r="Q35" s="43" t="e">
        <f>dsd("Avsurance Check Paid",30)</f>
        <v>#NAME?</v>
      </c>
      <c r="R35" s="43" t="e">
        <f>dsd("Avsurance Monthly Other",30)</f>
        <v>#NAME?</v>
      </c>
      <c r="S35" s="45" t="e">
        <f>SUM(C35:I35,P35:R35)</f>
        <v>#NULL!</v>
      </c>
      <c r="U35" s="43" t="e">
        <f>dsd("Avsurance Monthly Credits and Debits",30)</f>
        <v>#NAME?</v>
      </c>
    </row>
    <row r="36" ht="12.75" s="46" customFormat="true">
      <c r="A36" s="48" t="n">
        <f>IF(A35&lt;&gt;"",IF(MONTH(A35)=MONTH(A35+1),A35+1,""),"")</f>
        <v>42308.0</v>
      </c>
      <c r="B36" s="49"/>
      <c r="C36" s="43" t="e">
        <f>dsd("Avsurance Monthly Opening Ledger",31)</f>
        <v>#NAME?</v>
      </c>
      <c r="D36" s="43" t="e">
        <f>dsd("Avsurance Monthly Incoming ACH",31)</f>
        <v>#NAME?</v>
      </c>
      <c r="E36" s="43" t="e">
        <f>dsd("Avsurance Monthly Incoming Wire",31)</f>
        <v>#NAME?</v>
      </c>
      <c r="F36" s="43" t="e">
        <f>dsd("Avsurance Commercial Deposit",31)</f>
        <v>#NAME?</v>
      </c>
      <c r="G36" s="43" t="e">
        <f>dsd("Avsurance Monthly Loan Activity",31)</f>
        <v>#NAME?</v>
      </c>
      <c r="H36" s="43" t="e">
        <f>dsd("Avsurance ACH Other",31)</f>
        <v>#NAME?</v>
      </c>
      <c r="I36" s="43" t="e">
        <f>dsd("Avsurance ACH TMCW",31)</f>
        <v>#NAME?</v>
      </c>
      <c r="J36" s="44" t="e">
        <f>dsd("Avsurance Contract Fuel",31)</f>
        <v>#NAME?</v>
      </c>
      <c r="K36" s="44" t="e">
        <f>dsd("Avsurance Credit Cards",31)</f>
        <v>#NAME?</v>
      </c>
      <c r="L36" s="44" t="e">
        <f>dsd("Avsurance Freight",31)</f>
        <v>#NAME?</v>
      </c>
      <c r="M36" s="44" t="e">
        <f>dsd("Avsurance Tax",31)</f>
        <v>#NAME?</v>
      </c>
      <c r="N36" s="44" t="e">
        <f>dsd("Avsurance Fuel Supplier",31)</f>
        <v>#NAME?</v>
      </c>
      <c r="O36" s="44" t="e">
        <f>dsd("Avsurance Other",31)</f>
        <v>#NAME?</v>
      </c>
      <c r="P36" s="43" t="e">
        <f>dsd("Avsurance Monthly Outgoing Wire",31)</f>
        <v>#NAME?</v>
      </c>
      <c r="Q36" s="43" t="e">
        <f>dsd("Avsurance Check Paid",31)</f>
        <v>#NAME?</v>
      </c>
      <c r="R36" s="43" t="e">
        <f>dsd("Avsurance Monthly Other",31)</f>
        <v>#NAME?</v>
      </c>
      <c r="S36" s="45" t="e">
        <f>SUM(C36:I36,P36:R36)</f>
        <v>#NULL!</v>
      </c>
      <c r="U36" s="43" t="e">
        <f>dsd("Avsurance Monthly Credits and Debits",31)</f>
        <v>#NAME?</v>
      </c>
    </row>
    <row r="37" ht="12.75" s="46" customFormat="true">
      <c r="A37" s="50"/>
      <c r="B37" s="42"/>
      <c r="C37" s="36"/>
      <c r="D37" s="36"/>
      <c r="E37" s="36"/>
      <c r="F37" s="36"/>
      <c r="G37" s="36"/>
      <c r="H37" s="36"/>
      <c r="I37" s="36"/>
      <c r="J37" s="51"/>
      <c r="K37" s="51"/>
      <c r="L37" s="51"/>
      <c r="M37" s="51"/>
      <c r="N37" s="51"/>
      <c r="O37" s="51"/>
      <c r="P37" s="36"/>
      <c r="Q37" s="36"/>
      <c r="R37" s="36"/>
      <c r="S37" s="45"/>
      <c r="U37" s="36"/>
    </row>
    <row r="38" ht="12.75" s="46" customFormat="true">
      <c r="A38" s="52" t="s">
        <v>54</v>
      </c>
      <c r="B38" s="53"/>
      <c r="C38" s="54" t="e">
        <f>ds("Avsurance Monthly Opening Ledger")</f>
        <v>#NAME?</v>
      </c>
      <c r="D38" s="54" t="e">
        <f>ds("Avsurance Monthly Incoming ACH")</f>
        <v>#NAME?</v>
      </c>
      <c r="E38" s="54" t="e">
        <f>ds("Avsurance Monthly Incoming Wire")</f>
        <v>#NAME?</v>
      </c>
      <c r="F38" s="54" t="e">
        <f>ds("Avsurance Commercial Deposit")</f>
        <v>#NAME?</v>
      </c>
      <c r="G38" s="54" t="e">
        <f>ds("Avsurance Monthly Loan Activity")</f>
        <v>#NAME?</v>
      </c>
      <c r="H38" s="54" t="e">
        <f>ds("Avsurance ACH Other")</f>
        <v>#NAME?</v>
      </c>
      <c r="I38" s="54" t="e">
        <f>ds("Avsurance ACH TMCW")</f>
        <v>#NAME?</v>
      </c>
      <c r="J38" s="55" t="e">
        <f>ds("Avsurance Contract Fuel")</f>
        <v>#NAME?</v>
      </c>
      <c r="K38" s="55" t="e">
        <f>ds("Avsurance Credit Cards")</f>
        <v>#NAME?</v>
      </c>
      <c r="L38" s="55" t="e">
        <f>ds("Avsurance Freight")</f>
        <v>#NAME?</v>
      </c>
      <c r="M38" s="55" t="e">
        <f>ds("Avsurance Tax")</f>
        <v>#NAME?</v>
      </c>
      <c r="N38" s="55" t="e">
        <f>ds("Avsurance Fuel Supplier")</f>
        <v>#NAME?</v>
      </c>
      <c r="O38" s="55" t="e">
        <f>ds("Avsurance Other")</f>
        <v>#NAME?</v>
      </c>
      <c r="P38" s="54" t="e">
        <f>ds("Avsurance Monthly Outgoing Wire")</f>
        <v>#NAME?</v>
      </c>
      <c r="Q38" s="54" t="e">
        <f>ds("Avsurance Check Paid")</f>
        <v>#NAME?</v>
      </c>
      <c r="R38" s="54" t="e">
        <f>ds("Avsurance Monthly Other")</f>
        <v>#NAME?</v>
      </c>
      <c r="S38" s="45" t="e">
        <f>SUM(C38:I38,P38:R38)</f>
        <v>#NAME?</v>
      </c>
      <c r="U38" s="54" t="e">
        <f>ds("Avsurance Monthly Credits and Debits")</f>
        <v>#NAME?</v>
      </c>
    </row>
    <row r="39" ht="12.75" s="46" customFormat="true">
      <c r="A39" s="56"/>
      <c r="B39" s="56"/>
      <c r="C39" s="57"/>
      <c r="D39" s="58"/>
      <c r="E39" s="58"/>
      <c r="F39" s="57"/>
      <c r="G39" s="59"/>
      <c r="H39" s="58"/>
      <c r="I39" s="58"/>
      <c r="J39" s="59"/>
      <c r="K39" s="59"/>
      <c r="L39" s="59"/>
      <c r="M39" s="59"/>
      <c r="N39" s="59"/>
      <c r="O39" s="59"/>
      <c r="P39" s="58"/>
      <c r="Q39" s="60"/>
      <c r="R39" s="60"/>
      <c r="S39" s="61"/>
    </row>
    <row r="40" ht="12.75" s="46" customFormat="true">
      <c r="B40" s="56"/>
      <c r="G40" s="66"/>
      <c r="J40" s="66"/>
      <c r="K40" s="66"/>
      <c r="L40" s="66"/>
      <c r="M40" s="66"/>
      <c r="N40" s="66"/>
      <c r="O40" s="66"/>
      <c r="P40" s="58"/>
      <c r="Q40" s="60"/>
      <c r="R40" s="60"/>
      <c r="S40" s="61"/>
    </row>
  </sheetData>
  <mergeCells>
    <mergeCell ref="A1:S1"/>
    <mergeCell ref="A2:S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0" hidden="false"/>
    <col min="2" max="2" style="63" customWidth="true" width="2.5703125" hidden="false"/>
    <col min="3" max="3" style="62" customWidth="true" width="15.85546875" hidden="false"/>
    <col min="4" max="4" style="62" customWidth="true" width="12.71484375" hidden="false"/>
    <col min="5" max="5" style="62" customWidth="true" width="12.28515625" hidden="false"/>
    <col min="6" max="6" style="62" customWidth="true" width="14.71484375" hidden="false"/>
    <col min="7" max="7" style="62" customWidth="true" width="14.71484375" hidden="false"/>
    <col min="8" max="8" style="64" customWidth="true" width="13.71484375" hidden="false"/>
    <col min="9" max="9" style="65" customWidth="true" width="13.28515625" hidden="false"/>
    <col min="10" max="14" style="65" customWidth="true" width="13.28515625" hidden="false"/>
    <col min="15" max="15" style="65" customWidth="true" width="14.85546875" hidden="false"/>
    <col min="16" max="16" style="62" customWidth="true" width="13.5703125" hidden="false"/>
    <col min="17" max="17" style="62" customWidth="true" width="13.0" hidden="false"/>
    <col min="18" max="18" style="62" customWidth="true" width="13.4296875" hidden="false"/>
    <col min="19" max="19" style="62" customWidth="true" width="15.14453125" hidden="false"/>
    <col min="20" max="20" style="62" customWidth="false" width="9.14453125" hidden="false"/>
    <col min="21" max="21" style="62" customWidth="true" width="13.71484375" hidden="false"/>
    <col min="22" max="22" style="62" customWidth="false" width="9.14453125" hidden="false"/>
    <col min="23" max="23" style="62" customWidth="false" width="9.14453125" hidden="false"/>
    <col min="24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customHeight="true" ht="12.75">
      <c r="A2" s="26" t="n">
        <f>NOW()</f>
        <v>42279.995103298614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customHeight="true" ht="12.7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customHeight="true" ht="35.25" s="27" customFormat="true">
      <c r="A4" s="28" t="s">
        <v>39</v>
      </c>
      <c r="B4" s="29"/>
      <c r="C4" s="29" t="s">
        <v>40</v>
      </c>
      <c r="D4" s="29" t="s">
        <v>17</v>
      </c>
      <c r="E4" s="29" t="s">
        <v>16</v>
      </c>
      <c r="F4" s="29" t="s">
        <v>42</v>
      </c>
      <c r="G4" s="29" t="s">
        <v>43</v>
      </c>
      <c r="H4" s="29" t="s">
        <v>25</v>
      </c>
      <c r="I4" s="29" t="s">
        <v>26</v>
      </c>
      <c r="J4" s="30" t="s">
        <v>44</v>
      </c>
      <c r="K4" s="30" t="s">
        <v>45</v>
      </c>
      <c r="L4" s="30" t="s">
        <v>46</v>
      </c>
      <c r="M4" s="30" t="s">
        <v>47</v>
      </c>
      <c r="N4" s="30" t="s">
        <v>48</v>
      </c>
      <c r="O4" s="30" t="s">
        <v>49</v>
      </c>
      <c r="P4" s="29" t="s">
        <v>22</v>
      </c>
      <c r="Q4" s="29" t="s">
        <v>50</v>
      </c>
      <c r="R4" s="29" t="s">
        <v>51</v>
      </c>
      <c r="S4" s="29" t="s">
        <v>52</v>
      </c>
      <c r="U4" s="31" t="s">
        <v>55</v>
      </c>
    </row>
    <row r="5" customHeight="true" ht="12.75" s="32" customFormat="true">
      <c r="A5" s="33"/>
      <c r="B5" s="33"/>
      <c r="C5" s="34"/>
      <c r="D5" s="35"/>
      <c r="E5" s="35"/>
      <c r="F5" s="34"/>
      <c r="G5" s="36"/>
      <c r="H5" s="35"/>
      <c r="I5" s="35"/>
      <c r="J5" s="36"/>
      <c r="K5" s="36"/>
      <c r="L5" s="36"/>
      <c r="M5" s="36"/>
      <c r="N5" s="36"/>
      <c r="O5" s="36"/>
      <c r="P5" s="37"/>
      <c r="Q5" s="38"/>
      <c r="R5" s="38"/>
      <c r="S5" s="39"/>
    </row>
    <row r="6" ht="12.0" s="40" customFormat="true">
      <c r="A6" s="41" t="n">
        <f>DATEVALUE(MONTH(TODAY())&amp;"/1/"&amp;YEAR(TODAY()))</f>
        <v>42278.0</v>
      </c>
      <c r="B6" s="42"/>
      <c r="C6" s="43" t="e">
        <f>dsd("Avflight Monthly Opening Ledger",1)</f>
        <v>#NAME?</v>
      </c>
      <c r="D6" s="43" t="e">
        <f>dsd("Avflight Monthly Incoming ACH",1)</f>
        <v>#NAME?</v>
      </c>
      <c r="E6" s="43" t="e">
        <f>dsd("Avflight Monthly Incoming Wire",1)</f>
        <v>#NAME?</v>
      </c>
      <c r="F6" s="43" t="e">
        <f>dsd("Avflight Commercial Deposit",1)</f>
        <v>#NAME?</v>
      </c>
      <c r="G6" s="43" t="e">
        <f>dsd("Avflight Monthly Loan Activity",1)</f>
        <v>#NAME?</v>
      </c>
      <c r="H6" s="43" t="e">
        <f>dsd("Avflight ACH Other",1)</f>
        <v>#NAME?</v>
      </c>
      <c r="I6" s="43" t="e">
        <f>dsd("Avflight ACH TMCW",1)</f>
        <v>#NAME?</v>
      </c>
      <c r="J6" s="44" t="e">
        <f>dsd("Avflight Contract Fuel",1)</f>
        <v>#NAME?</v>
      </c>
      <c r="K6" s="44" t="e">
        <f>dsd("Avflight Credit Cards",1)</f>
        <v>#NAME?</v>
      </c>
      <c r="L6" s="44" t="e">
        <f>dsd("Avflight Freight",1)</f>
        <v>#NAME?</v>
      </c>
      <c r="M6" s="44" t="e">
        <f>dsd("Avflight Tax",1)</f>
        <v>#NAME?</v>
      </c>
      <c r="N6" s="44" t="e">
        <f>dsd("Avflight Fuel Supplier",1)</f>
        <v>#NAME?</v>
      </c>
      <c r="O6" s="44" t="e">
        <f>dsd("Avflight Other",1)</f>
        <v>#NAME?</v>
      </c>
      <c r="P6" s="43" t="e">
        <f>dsd("Avflight Monthly Outgoing Wire",1)</f>
        <v>#NAME?</v>
      </c>
      <c r="Q6" s="43" t="e">
        <f>dsd("Avflight Check Paid",1)</f>
        <v>#NAME?</v>
      </c>
      <c r="R6" s="43" t="e">
        <f>dsd("Avflight Monthly Other",1)</f>
        <v>#NAME?</v>
      </c>
      <c r="S6" s="45" t="e">
        <f>SUM(C6:I6,P6:R6)</f>
        <v>#NULL!</v>
      </c>
      <c r="U6" s="43" t="e">
        <f>dsd("Avflight Monthly Credits and Debits",1)</f>
        <v>#NAME?</v>
      </c>
    </row>
    <row r="7" ht="12.0" s="40" customFormat="true">
      <c r="A7" s="41" t="n">
        <f>IF(A6&lt;&gt;"",IF(MONTH(A6)=MONTH(A6+1),A6+1,""),"")</f>
        <v>42279.0</v>
      </c>
      <c r="B7" s="42"/>
      <c r="C7" s="43" t="e">
        <f>dsd("Avflight Monthly Opening Ledger",2)</f>
        <v>#NAME?</v>
      </c>
      <c r="D7" s="43" t="e">
        <f>dsd("Avflight Monthly Incoming ACH",2)</f>
        <v>#NAME?</v>
      </c>
      <c r="E7" s="43" t="e">
        <f>dsd("Avflight Monthly Incoming Wire",2)</f>
        <v>#NAME?</v>
      </c>
      <c r="F7" s="43" t="e">
        <f>dsd("Avflight Commercial Deposit",2)</f>
        <v>#NAME?</v>
      </c>
      <c r="G7" s="43" t="e">
        <f>dsd("Avflight Monthly Loan Activity",2)</f>
        <v>#NAME?</v>
      </c>
      <c r="H7" s="43" t="e">
        <f>dsd("Avflight ACH Other",2)</f>
        <v>#NAME?</v>
      </c>
      <c r="I7" s="43" t="e">
        <f>dsd("Avflight ACH TMCW",2)</f>
        <v>#NAME?</v>
      </c>
      <c r="J7" s="44" t="e">
        <f>dsd("Avflight Contract Fuel",2)</f>
        <v>#NAME?</v>
      </c>
      <c r="K7" s="44" t="e">
        <f>dsd("Avflight Credit Cards",2)</f>
        <v>#NAME?</v>
      </c>
      <c r="L7" s="44" t="e">
        <f>dsd("Avflight Freight",2)</f>
        <v>#NAME?</v>
      </c>
      <c r="M7" s="44" t="e">
        <f>dsd("Avflight Tax",2)</f>
        <v>#NAME?</v>
      </c>
      <c r="N7" s="44" t="e">
        <f>dsd("Avflight Fuel Supplier",2)</f>
        <v>#NAME?</v>
      </c>
      <c r="O7" s="44" t="e">
        <f>dsd("Avflight Other",2)</f>
        <v>#NAME?</v>
      </c>
      <c r="P7" s="43" t="e">
        <f>dsd("Avflight Monthly Outgoing Wire",2)</f>
        <v>#NAME?</v>
      </c>
      <c r="Q7" s="43" t="e">
        <f>dsd("Avflight Check Paid",2)</f>
        <v>#NAME?</v>
      </c>
      <c r="R7" s="43" t="e">
        <f>dsd("Avflight Monthly Other",2)</f>
        <v>#NAME?</v>
      </c>
      <c r="S7" s="45" t="e">
        <f>SUM(C7:I7,P7:R7)</f>
        <v>#NULL!</v>
      </c>
      <c r="U7" s="43" t="e">
        <f>dsd("Avflight Monthly Credits and Debits",2)</f>
        <v>#NAME?</v>
      </c>
    </row>
    <row r="8" ht="12.75" s="46" customFormat="true">
      <c r="A8" s="41" t="n">
        <f>IF(A7&lt;&gt;"",IF(MONTH(A7)=MONTH(A7+1),A7+1,""),"")</f>
        <v>42280.0</v>
      </c>
      <c r="B8" s="42"/>
      <c r="C8" s="43" t="e">
        <f>dsd("Avflight Monthly Opening Ledger",3)</f>
        <v>#NAME?</v>
      </c>
      <c r="D8" s="43" t="e">
        <f>dsd("Avflight Monthly Incoming ACH",3)</f>
        <v>#NAME?</v>
      </c>
      <c r="E8" s="43" t="e">
        <f>dsd("Avflight Monthly Incoming Wire",3)</f>
        <v>#NAME?</v>
      </c>
      <c r="F8" s="43" t="e">
        <f>dsd("Avflight Commercial Deposit",3)</f>
        <v>#NAME?</v>
      </c>
      <c r="G8" s="43" t="e">
        <f>dsd("Avflight Monthly Loan Activity",3)</f>
        <v>#NAME?</v>
      </c>
      <c r="H8" s="43" t="e">
        <f>dsd("Avflight ACH Other",3)</f>
        <v>#NAME?</v>
      </c>
      <c r="I8" s="43" t="e">
        <f>dsd("Avflight ACH TMCW",3)</f>
        <v>#NAME?</v>
      </c>
      <c r="J8" s="44" t="e">
        <f>dsd("Avflight Contract Fuel",3)</f>
        <v>#NAME?</v>
      </c>
      <c r="K8" s="44" t="e">
        <f>dsd("Avflight Credit Cards",3)</f>
        <v>#NAME?</v>
      </c>
      <c r="L8" s="44" t="e">
        <f>dsd("Avflight Freight",3)</f>
        <v>#NAME?</v>
      </c>
      <c r="M8" s="44" t="e">
        <f>dsd("Avflight Tax",3)</f>
        <v>#NAME?</v>
      </c>
      <c r="N8" s="44" t="e">
        <f>dsd("Avflight Fuel Supplier",3)</f>
        <v>#NAME?</v>
      </c>
      <c r="O8" s="44" t="e">
        <f>dsd("Avflight Other",3)</f>
        <v>#NAME?</v>
      </c>
      <c r="P8" s="43" t="e">
        <f>dsd("Avflight Monthly Outgoing Wire",3)</f>
        <v>#NAME?</v>
      </c>
      <c r="Q8" s="43" t="e">
        <f>dsd("Avflight Check Paid",3)</f>
        <v>#NAME?</v>
      </c>
      <c r="R8" s="43" t="e">
        <f>dsd("Avflight Monthly Other",3)</f>
        <v>#NAME?</v>
      </c>
      <c r="S8" s="45" t="e">
        <f>SUM(C8:I8,P8:R8)</f>
        <v>#NULL!</v>
      </c>
      <c r="U8" s="43" t="e">
        <f>dsd("Avflight Monthly Credits and Debits",3)</f>
        <v>#NAME?</v>
      </c>
    </row>
    <row r="9" ht="12.75" s="46" customFormat="true">
      <c r="A9" s="41" t="n">
        <f>IF(A8&lt;&gt;"",IF(MONTH(A8)=MONTH(A8+1),A8+1,""),"")</f>
        <v>42281.0</v>
      </c>
      <c r="B9" s="42"/>
      <c r="C9" s="43" t="e">
        <f>dsd("Avflight Monthly Opening Ledger",4)</f>
        <v>#NAME?</v>
      </c>
      <c r="D9" s="43" t="e">
        <f>dsd("Avflight Monthly Incoming ACH",4)</f>
        <v>#NAME?</v>
      </c>
      <c r="E9" s="43" t="e">
        <f>dsd("Avflight Monthly Incoming Wire",4)</f>
        <v>#NAME?</v>
      </c>
      <c r="F9" s="43" t="e">
        <f>dsd("Avflight Commercial Deposit",4)</f>
        <v>#NAME?</v>
      </c>
      <c r="G9" s="43" t="e">
        <f>dsd("Avflight Monthly Loan Activity",4)</f>
        <v>#NAME?</v>
      </c>
      <c r="H9" s="43" t="e">
        <f>dsd("Avflight ACH Other",4)</f>
        <v>#NAME?</v>
      </c>
      <c r="I9" s="43" t="e">
        <f>dsd("Avflight ACH TMCW",4)</f>
        <v>#NAME?</v>
      </c>
      <c r="J9" s="44" t="e">
        <f>dsd("Avflight Contract Fuel",4)</f>
        <v>#NAME?</v>
      </c>
      <c r="K9" s="44" t="e">
        <f>dsd("Avflight Credit Cards",4)</f>
        <v>#NAME?</v>
      </c>
      <c r="L9" s="44" t="e">
        <f>dsd("Avflight Freight",4)</f>
        <v>#NAME?</v>
      </c>
      <c r="M9" s="44" t="e">
        <f>dsd("Avflight Tax",4)</f>
        <v>#NAME?</v>
      </c>
      <c r="N9" s="44" t="e">
        <f>dsd("Avflight Fuel Supplier",4)</f>
        <v>#NAME?</v>
      </c>
      <c r="O9" s="44" t="e">
        <f>dsd("Avflight Other",4)</f>
        <v>#NAME?</v>
      </c>
      <c r="P9" s="43" t="e">
        <f>dsd("Avflight Monthly Outgoing Wire",4)</f>
        <v>#NAME?</v>
      </c>
      <c r="Q9" s="43" t="e">
        <f>dsd("Avflight Check Paid",4)</f>
        <v>#NAME?</v>
      </c>
      <c r="R9" s="43" t="e">
        <f>dsd("Avflight Monthly Other",4)</f>
        <v>#NAME?</v>
      </c>
      <c r="S9" s="45" t="e">
        <f>SUM(C9:I9,P9:R9)</f>
        <v>#NULL!</v>
      </c>
      <c r="U9" s="43" t="e">
        <f>dsd("Avflight Monthly Credits and Debits",4)</f>
        <v>#NAME?</v>
      </c>
    </row>
    <row r="10" ht="12.75" s="46" customFormat="true">
      <c r="A10" s="41" t="n">
        <f>IF(A9&lt;&gt;"",IF(MONTH(A9)=MONTH(A9+1),A9+1,""),"")</f>
        <v>42282.0</v>
      </c>
      <c r="B10" s="42"/>
      <c r="C10" s="43" t="e">
        <f>dsd("Avflight Monthly Opening Ledger",5)</f>
        <v>#NAME?</v>
      </c>
      <c r="D10" s="43" t="e">
        <f>dsd("Avflight Monthly Incoming ACH",5)</f>
        <v>#NAME?</v>
      </c>
      <c r="E10" s="43" t="e">
        <f>dsd("Avflight Monthly Incoming Wire",5)</f>
        <v>#NAME?</v>
      </c>
      <c r="F10" s="43" t="e">
        <f>dsd("Avflight Commercial Deposit",5)</f>
        <v>#NAME?</v>
      </c>
      <c r="G10" s="43" t="e">
        <f>dsd("Avflight Monthly Loan Activity",5)</f>
        <v>#NAME?</v>
      </c>
      <c r="H10" s="43" t="e">
        <f>dsd("Avflight ACH Other",5)</f>
        <v>#NAME?</v>
      </c>
      <c r="I10" s="43" t="e">
        <f>dsd("Avflight ACH TMCW",5)</f>
        <v>#NAME?</v>
      </c>
      <c r="J10" s="44" t="e">
        <f>dsd("Avflight Contract Fuel",5)</f>
        <v>#NAME?</v>
      </c>
      <c r="K10" s="44" t="e">
        <f>dsd("Avflight Credit Cards",5)</f>
        <v>#NAME?</v>
      </c>
      <c r="L10" s="44" t="e">
        <f>dsd("Avflight Freight",5)</f>
        <v>#NAME?</v>
      </c>
      <c r="M10" s="44" t="e">
        <f>dsd("Avflight Tax",5)</f>
        <v>#NAME?</v>
      </c>
      <c r="N10" s="44" t="e">
        <f>dsd("Avflight Fuel Supplier",5)</f>
        <v>#NAME?</v>
      </c>
      <c r="O10" s="44" t="e">
        <f>dsd("Avflight Other",5)</f>
        <v>#NAME?</v>
      </c>
      <c r="P10" s="43" t="e">
        <f>dsd("Avflight Monthly Outgoing Wire",5)</f>
        <v>#NAME?</v>
      </c>
      <c r="Q10" s="43" t="e">
        <f>dsd("Avflight Check Paid",5)</f>
        <v>#NAME?</v>
      </c>
      <c r="R10" s="43" t="e">
        <f>dsd("Avflight Monthly Other",5)</f>
        <v>#NAME?</v>
      </c>
      <c r="S10" s="45" t="e">
        <f>SUM(C10:I10,P10:R10)</f>
        <v>#NULL!</v>
      </c>
      <c r="U10" s="43" t="e">
        <f>dsd("Avflight Monthly Credits and Debits",5)</f>
        <v>#NAME?</v>
      </c>
    </row>
    <row r="11" ht="12.75" s="46" customFormat="true">
      <c r="A11" s="41" t="n">
        <f>IF(A10&lt;&gt;"",IF(MONTH(A10)=MONTH(A10+1),A10+1,""),"")</f>
        <v>42283.0</v>
      </c>
      <c r="B11" s="42"/>
      <c r="C11" s="43" t="e">
        <f>dsd("Avflight Monthly Opening Ledger",6)</f>
        <v>#NAME?</v>
      </c>
      <c r="D11" s="43" t="e">
        <f>dsd("Avflight Monthly Incoming ACH",6)</f>
        <v>#NAME?</v>
      </c>
      <c r="E11" s="43" t="e">
        <f>dsd("Avflight Monthly Incoming Wire",6)</f>
        <v>#NAME?</v>
      </c>
      <c r="F11" s="43" t="e">
        <f>dsd("Avflight Commercial Deposit",6)</f>
        <v>#NAME?</v>
      </c>
      <c r="G11" s="43" t="e">
        <f>dsd("Avflight Monthly Loan Activity",6)</f>
        <v>#NAME?</v>
      </c>
      <c r="H11" s="43" t="e">
        <f>dsd("Avflight ACH Other",6)</f>
        <v>#NAME?</v>
      </c>
      <c r="I11" s="43" t="e">
        <f>dsd("Avflight ACH TMCW",6)</f>
        <v>#NAME?</v>
      </c>
      <c r="J11" s="44" t="e">
        <f>dsd("Avflight Contract Fuel",6)</f>
        <v>#NAME?</v>
      </c>
      <c r="K11" s="44" t="e">
        <f>dsd("Avflight Credit Cards",6)</f>
        <v>#NAME?</v>
      </c>
      <c r="L11" s="44" t="e">
        <f>dsd("Avflight Freight",6)</f>
        <v>#NAME?</v>
      </c>
      <c r="M11" s="44" t="e">
        <f>dsd("Avflight Tax",6)</f>
        <v>#NAME?</v>
      </c>
      <c r="N11" s="44" t="e">
        <f>dsd("Avflight Fuel Supplier",6)</f>
        <v>#NAME?</v>
      </c>
      <c r="O11" s="44" t="e">
        <f>dsd("Avflight Other",6)</f>
        <v>#NAME?</v>
      </c>
      <c r="P11" s="43" t="e">
        <f>dsd("Avflight Monthly Outgoing Wire",6)</f>
        <v>#NAME?</v>
      </c>
      <c r="Q11" s="43" t="e">
        <f>dsd("Avflight Check Paid",6)</f>
        <v>#NAME?</v>
      </c>
      <c r="R11" s="43" t="e">
        <f>dsd("Avflight Monthly Other",6)</f>
        <v>#NAME?</v>
      </c>
      <c r="S11" s="45" t="e">
        <f>SUM(C11:I11,P11:R11)</f>
        <v>#NULL!</v>
      </c>
      <c r="U11" s="43" t="e">
        <f>dsd("Avflight Monthly Credits and Debits",6)</f>
        <v>#NAME?</v>
      </c>
    </row>
    <row r="12" ht="12.75" s="46" customFormat="true">
      <c r="A12" s="41" t="n">
        <f>IF(A11&lt;&gt;"",IF(MONTH(A11)=MONTH(A11+1),A11+1,""),"")</f>
        <v>42284.0</v>
      </c>
      <c r="B12" s="42"/>
      <c r="C12" s="43" t="e">
        <f>dsd("Avflight Monthly Opening Ledger",7)</f>
        <v>#NAME?</v>
      </c>
      <c r="D12" s="43" t="e">
        <f>dsd("Avflight Monthly Incoming ACH",7)</f>
        <v>#NAME?</v>
      </c>
      <c r="E12" s="43" t="e">
        <f>dsd("Avflight Monthly Incoming Wire",7)</f>
        <v>#NAME?</v>
      </c>
      <c r="F12" s="43" t="e">
        <f>dsd("Avflight Commercial Deposit",7)</f>
        <v>#NAME?</v>
      </c>
      <c r="G12" s="43" t="e">
        <f>dsd("Avflight Monthly Loan Activity",7)</f>
        <v>#NAME?</v>
      </c>
      <c r="H12" s="43" t="e">
        <f>dsd("Avflight ACH Other",7)</f>
        <v>#NAME?</v>
      </c>
      <c r="I12" s="43" t="e">
        <f>dsd("Avflight ACH TMCW",7)</f>
        <v>#NAME?</v>
      </c>
      <c r="J12" s="44" t="e">
        <f>dsd("Avflight Contract Fuel",7)</f>
        <v>#NAME?</v>
      </c>
      <c r="K12" s="44" t="e">
        <f>dsd("Avflight Credit Cards",7)</f>
        <v>#NAME?</v>
      </c>
      <c r="L12" s="44" t="e">
        <f>dsd("Avflight Freight",7)</f>
        <v>#NAME?</v>
      </c>
      <c r="M12" s="44" t="e">
        <f>dsd("Avflight Tax",7)</f>
        <v>#NAME?</v>
      </c>
      <c r="N12" s="44" t="e">
        <f>dsd("Avflight Fuel Supplier",7)</f>
        <v>#NAME?</v>
      </c>
      <c r="O12" s="44" t="e">
        <f>dsd("Avflight Other",7)</f>
        <v>#NAME?</v>
      </c>
      <c r="P12" s="43" t="e">
        <f>dsd("Avflight Monthly Outgoing Wire",7)</f>
        <v>#NAME?</v>
      </c>
      <c r="Q12" s="43" t="e">
        <f>dsd("Avflight Check Paid",7)</f>
        <v>#NAME?</v>
      </c>
      <c r="R12" s="43" t="e">
        <f>dsd("Avflight Monthly Other",7)</f>
        <v>#NAME?</v>
      </c>
      <c r="S12" s="45" t="e">
        <f>SUM(C12:I12,P12:R12)</f>
        <v>#NULL!</v>
      </c>
      <c r="U12" s="43" t="e">
        <f>dsd("Avflight Monthly Credits and Debits",7)</f>
        <v>#NAME?</v>
      </c>
    </row>
    <row r="13" ht="12.75" s="46" customFormat="true">
      <c r="A13" s="41" t="n">
        <f>IF(A12&lt;&gt;"",IF(MONTH(A12)=MONTH(A12+1),A12+1,""),"")</f>
        <v>42285.0</v>
      </c>
      <c r="B13" s="42"/>
      <c r="C13" s="43" t="e">
        <f>dsd("Avflight Monthly Opening Ledger",8)</f>
        <v>#NAME?</v>
      </c>
      <c r="D13" s="43" t="e">
        <f>dsd("Avflight Monthly Incoming ACH",8)</f>
        <v>#NAME?</v>
      </c>
      <c r="E13" s="43" t="e">
        <f>dsd("Avflight Monthly Incoming Wire",8)</f>
        <v>#NAME?</v>
      </c>
      <c r="F13" s="43" t="e">
        <f>dsd("Avflight Commercial Deposit",8)</f>
        <v>#NAME?</v>
      </c>
      <c r="G13" s="43" t="e">
        <f>dsd("Avflight Monthly Loan Activity",8)</f>
        <v>#NAME?</v>
      </c>
      <c r="H13" s="43" t="e">
        <f>dsd("Avflight ACH Other",8)</f>
        <v>#NAME?</v>
      </c>
      <c r="I13" s="43" t="e">
        <f>dsd("Avflight ACH TMCW",8)</f>
        <v>#NAME?</v>
      </c>
      <c r="J13" s="44" t="e">
        <f>dsd("Avflight Contract Fuel",8)</f>
        <v>#NAME?</v>
      </c>
      <c r="K13" s="44" t="e">
        <f>dsd("Avflight Credit Cards",8)</f>
        <v>#NAME?</v>
      </c>
      <c r="L13" s="44" t="e">
        <f>dsd("Avflight Freight",8)</f>
        <v>#NAME?</v>
      </c>
      <c r="M13" s="44" t="e">
        <f>dsd("Avflight Tax",8)</f>
        <v>#NAME?</v>
      </c>
      <c r="N13" s="44" t="e">
        <f>dsd("Avflight Fuel Supplier",8)</f>
        <v>#NAME?</v>
      </c>
      <c r="O13" s="44" t="e">
        <f>dsd("Avflight Other",8)</f>
        <v>#NAME?</v>
      </c>
      <c r="P13" s="43" t="e">
        <f>dsd("Avflight Monthly Outgoing Wire",8)</f>
        <v>#NAME?</v>
      </c>
      <c r="Q13" s="43" t="e">
        <f>dsd("Avflight Check Paid",8)</f>
        <v>#NAME?</v>
      </c>
      <c r="R13" s="43" t="e">
        <f>dsd("Avflight Monthly Other",8)</f>
        <v>#NAME?</v>
      </c>
      <c r="S13" s="45" t="e">
        <f>SUM(C13:I13,P13:R13)</f>
        <v>#NULL!</v>
      </c>
      <c r="U13" s="43" t="e">
        <f>dsd("Avflight Monthly Credits and Debits",8)</f>
        <v>#NAME?</v>
      </c>
    </row>
    <row r="14" ht="12.75" s="46" customFormat="true">
      <c r="A14" s="41" t="n">
        <f>IF(A13&lt;&gt;"",IF(MONTH(A13)=MONTH(A13+1),A13+1,""),"")</f>
        <v>42286.0</v>
      </c>
      <c r="B14" s="42"/>
      <c r="C14" s="43" t="e">
        <f>dsd("Avflight Monthly Opening Ledger",9)</f>
        <v>#NAME?</v>
      </c>
      <c r="D14" s="43" t="e">
        <f>dsd("Avflight Monthly Incoming ACH",9)</f>
        <v>#NAME?</v>
      </c>
      <c r="E14" s="43" t="e">
        <f>dsd("Avflight Monthly Incoming Wire",9)</f>
        <v>#NAME?</v>
      </c>
      <c r="F14" s="43" t="e">
        <f>dsd("Avflight Commercial Deposit",9)</f>
        <v>#NAME?</v>
      </c>
      <c r="G14" s="43" t="e">
        <f>dsd("Avflight Monthly Loan Activity",9)</f>
        <v>#NAME?</v>
      </c>
      <c r="H14" s="43" t="e">
        <f>dsd("Avflight ACH Other",9)</f>
        <v>#NAME?</v>
      </c>
      <c r="I14" s="43" t="e">
        <f>dsd("Avflight ACH TMCW",9)</f>
        <v>#NAME?</v>
      </c>
      <c r="J14" s="44" t="e">
        <f>dsd("Avflight Contract Fuel",9)</f>
        <v>#NAME?</v>
      </c>
      <c r="K14" s="44" t="e">
        <f>dsd("Avflight Credit Cards",9)</f>
        <v>#NAME?</v>
      </c>
      <c r="L14" s="44" t="e">
        <f>dsd("Avflight Freight",9)</f>
        <v>#NAME?</v>
      </c>
      <c r="M14" s="44" t="e">
        <f>dsd("Avflight Tax",9)</f>
        <v>#NAME?</v>
      </c>
      <c r="N14" s="44" t="e">
        <f>dsd("Avflight Fuel Supplier",9)</f>
        <v>#NAME?</v>
      </c>
      <c r="O14" s="44" t="e">
        <f>dsd("Avflight Other",9)</f>
        <v>#NAME?</v>
      </c>
      <c r="P14" s="43" t="e">
        <f>dsd("Avflight Monthly Outgoing Wire",9)</f>
        <v>#NAME?</v>
      </c>
      <c r="Q14" s="43" t="e">
        <f>dsd("Avflight Check Paid",9)</f>
        <v>#NAME?</v>
      </c>
      <c r="R14" s="43" t="e">
        <f>dsd("Avflight Monthly Other",9)</f>
        <v>#NAME?</v>
      </c>
      <c r="S14" s="45" t="e">
        <f>SUM(C14:I14,P14:R14)</f>
        <v>#NULL!</v>
      </c>
      <c r="U14" s="43" t="e">
        <f>dsd("Avflight Monthly Credits and Debits",9)</f>
        <v>#NAME?</v>
      </c>
    </row>
    <row r="15" ht="12.75" s="46" customFormat="true">
      <c r="A15" s="41" t="n">
        <f>IF(A14&lt;&gt;"",IF(MONTH(A14)=MONTH(A14+1),A14+1,""),"")</f>
        <v>42287.0</v>
      </c>
      <c r="B15" s="42"/>
      <c r="C15" s="43" t="e">
        <f>dsd("Avflight Monthly Opening Ledger",10)</f>
        <v>#NAME?</v>
      </c>
      <c r="D15" s="43" t="e">
        <f>dsd("Avflight Monthly Incoming ACH",10)</f>
        <v>#NAME?</v>
      </c>
      <c r="E15" s="43" t="e">
        <f>dsd("Avflight Monthly Incoming Wire",10)</f>
        <v>#NAME?</v>
      </c>
      <c r="F15" s="43" t="e">
        <f>dsd("Avflight Commercial Deposit",10)</f>
        <v>#NAME?</v>
      </c>
      <c r="G15" s="43" t="e">
        <f>dsd("Avflight Monthly Loan Activity",10)</f>
        <v>#NAME?</v>
      </c>
      <c r="H15" s="43" t="e">
        <f>dsd("Avflight ACH Other",10)</f>
        <v>#NAME?</v>
      </c>
      <c r="I15" s="43" t="e">
        <f>dsd("Avflight ACH TMCW",10)</f>
        <v>#NAME?</v>
      </c>
      <c r="J15" s="44" t="e">
        <f>dsd("Avflight Contract Fuel",10)</f>
        <v>#NAME?</v>
      </c>
      <c r="K15" s="44" t="e">
        <f>dsd("Avflight Credit Cards",10)</f>
        <v>#NAME?</v>
      </c>
      <c r="L15" s="44" t="e">
        <f>dsd("Avflight Freight",10)</f>
        <v>#NAME?</v>
      </c>
      <c r="M15" s="44" t="e">
        <f>dsd("Avflight Tax",10)</f>
        <v>#NAME?</v>
      </c>
      <c r="N15" s="44" t="e">
        <f>dsd("Avflight Fuel Supplier",10)</f>
        <v>#NAME?</v>
      </c>
      <c r="O15" s="44" t="e">
        <f>dsd("Avflight Other",10)</f>
        <v>#NAME?</v>
      </c>
      <c r="P15" s="43" t="e">
        <f>dsd("Avflight Monthly Outgoing Wire",10)</f>
        <v>#NAME?</v>
      </c>
      <c r="Q15" s="43" t="e">
        <f>dsd("Avflight Check Paid",10)</f>
        <v>#NAME?</v>
      </c>
      <c r="R15" s="43" t="e">
        <f>dsd("Avflight Monthly Other",10)</f>
        <v>#NAME?</v>
      </c>
      <c r="S15" s="45" t="e">
        <f>SUM(C15:I15,P15:R15)</f>
        <v>#NULL!</v>
      </c>
      <c r="U15" s="43" t="e">
        <f>dsd("Avflight Monthly Credits and Debits",10)</f>
        <v>#NAME?</v>
      </c>
    </row>
    <row r="16" ht="12.75" s="46" customFormat="true">
      <c r="A16" s="41" t="n">
        <f>IF(A15&lt;&gt;"",IF(MONTH(A15)=MONTH(A15+1),A15+1,""),"")</f>
        <v>42288.0</v>
      </c>
      <c r="B16" s="42"/>
      <c r="C16" s="43" t="e">
        <f>dsd("Avflight Monthly Opening Ledger",11)</f>
        <v>#NAME?</v>
      </c>
      <c r="D16" s="43" t="e">
        <f>dsd("Avflight Monthly Incoming ACH",11)</f>
        <v>#NAME?</v>
      </c>
      <c r="E16" s="43" t="e">
        <f>dsd("Avflight Monthly Incoming Wire",11)</f>
        <v>#NAME?</v>
      </c>
      <c r="F16" s="43" t="e">
        <f>dsd("Avflight Commercial Deposit",11)</f>
        <v>#NAME?</v>
      </c>
      <c r="G16" s="43" t="e">
        <f>dsd("Avflight Monthly Loan Activity",11)</f>
        <v>#NAME?</v>
      </c>
      <c r="H16" s="43" t="e">
        <f>dsd("Avflight ACH Other",11)</f>
        <v>#NAME?</v>
      </c>
      <c r="I16" s="43" t="e">
        <f>dsd("Avflight ACH TMCW",11)</f>
        <v>#NAME?</v>
      </c>
      <c r="J16" s="44" t="e">
        <f>dsd("Avflight Contract Fuel",11)</f>
        <v>#NAME?</v>
      </c>
      <c r="K16" s="44" t="e">
        <f>dsd("Avflight Credit Cards",11)</f>
        <v>#NAME?</v>
      </c>
      <c r="L16" s="44" t="e">
        <f>dsd("Avflight Freight",11)</f>
        <v>#NAME?</v>
      </c>
      <c r="M16" s="44" t="e">
        <f>dsd("Avflight Tax",11)</f>
        <v>#NAME?</v>
      </c>
      <c r="N16" s="44" t="e">
        <f>dsd("Avflight Fuel Supplier",11)</f>
        <v>#NAME?</v>
      </c>
      <c r="O16" s="44" t="e">
        <f>dsd("Avflight Other",11)</f>
        <v>#NAME?</v>
      </c>
      <c r="P16" s="43" t="e">
        <f>dsd("Avflight Monthly Outgoing Wire",11)</f>
        <v>#NAME?</v>
      </c>
      <c r="Q16" s="43" t="e">
        <f>dsd("Avflight Check Paid",11)</f>
        <v>#NAME?</v>
      </c>
      <c r="R16" s="43" t="e">
        <f>dsd("Avflight Monthly Other",11)</f>
        <v>#NAME?</v>
      </c>
      <c r="S16" s="45" t="e">
        <f>SUM(C16:I16,P16:R16)</f>
        <v>#NULL!</v>
      </c>
      <c r="U16" s="43" t="e">
        <f>dsd("Avflight Monthly Credits and Debits",11)</f>
        <v>#NAME?</v>
      </c>
    </row>
    <row r="17" ht="12.75" s="46" customFormat="true">
      <c r="A17" s="41" t="n">
        <f>IF(A16&lt;&gt;"",IF(MONTH(A16)=MONTH(A16+1),A16+1,""),"")</f>
        <v>42289.0</v>
      </c>
      <c r="B17" s="42"/>
      <c r="C17" s="43" t="e">
        <f>dsd("Avflight Monthly Opening Ledger",12)</f>
        <v>#NAME?</v>
      </c>
      <c r="D17" s="43" t="e">
        <f>dsd("Avflight Monthly Incoming ACH",12)</f>
        <v>#NAME?</v>
      </c>
      <c r="E17" s="43" t="e">
        <f>dsd("Avflight Monthly Incoming Wire",12)</f>
        <v>#NAME?</v>
      </c>
      <c r="F17" s="43" t="e">
        <f>dsd("Avflight Commercial Deposit",12)</f>
        <v>#NAME?</v>
      </c>
      <c r="G17" s="43" t="e">
        <f>dsd("Avflight Monthly Loan Activity",12)</f>
        <v>#NAME?</v>
      </c>
      <c r="H17" s="43" t="e">
        <f>dsd("Avflight ACH Other",12)</f>
        <v>#NAME?</v>
      </c>
      <c r="I17" s="43" t="e">
        <f>dsd("Avflight ACH TMCW",12)</f>
        <v>#NAME?</v>
      </c>
      <c r="J17" s="44" t="e">
        <f>dsd("Avflight Contract Fuel",12)</f>
        <v>#NAME?</v>
      </c>
      <c r="K17" s="44" t="e">
        <f>dsd("Avflight Credit Cards",12)</f>
        <v>#NAME?</v>
      </c>
      <c r="L17" s="44" t="e">
        <f>dsd("Avflight Freight",12)</f>
        <v>#NAME?</v>
      </c>
      <c r="M17" s="44" t="e">
        <f>dsd("Avflight Tax",12)</f>
        <v>#NAME?</v>
      </c>
      <c r="N17" s="44" t="e">
        <f>dsd("Avflight Fuel Supplier",12)</f>
        <v>#NAME?</v>
      </c>
      <c r="O17" s="44" t="e">
        <f>dsd("Avflight Other",12)</f>
        <v>#NAME?</v>
      </c>
      <c r="P17" s="43" t="e">
        <f>dsd("Avflight Monthly Outgoing Wire",12)</f>
        <v>#NAME?</v>
      </c>
      <c r="Q17" s="43" t="e">
        <f>dsd("Avflight Check Paid",12)</f>
        <v>#NAME?</v>
      </c>
      <c r="R17" s="43" t="e">
        <f>dsd("Avflight Monthly Other",12)</f>
        <v>#NAME?</v>
      </c>
      <c r="S17" s="45" t="e">
        <f>SUM(C17:I17,P17:R17)</f>
        <v>#NULL!</v>
      </c>
      <c r="U17" s="43" t="e">
        <f>dsd("Avflight Monthly Credits and Debits",12)</f>
        <v>#NAME?</v>
      </c>
    </row>
    <row r="18" ht="12.75" s="46" customFormat="true">
      <c r="A18" s="41" t="n">
        <f>IF(A17&lt;&gt;"",IF(MONTH(A17)=MONTH(A17+1),A17+1,""),"")</f>
        <v>42290.0</v>
      </c>
      <c r="B18" s="42"/>
      <c r="C18" s="43" t="e">
        <f>dsd("Avflight Monthly Opening Ledger",13)</f>
        <v>#NAME?</v>
      </c>
      <c r="D18" s="43" t="e">
        <f>dsd("Avflight Monthly Incoming ACH",13)</f>
        <v>#NAME?</v>
      </c>
      <c r="E18" s="43" t="e">
        <f>dsd("Avflight Monthly Incoming Wire",13)</f>
        <v>#NAME?</v>
      </c>
      <c r="F18" s="43" t="e">
        <f>dsd("Avflight Commercial Deposit",13)</f>
        <v>#NAME?</v>
      </c>
      <c r="G18" s="43" t="e">
        <f>dsd("Avflight Monthly Loan Activity",13)</f>
        <v>#NAME?</v>
      </c>
      <c r="H18" s="43" t="e">
        <f>dsd("Avflight ACH Other",13)</f>
        <v>#NAME?</v>
      </c>
      <c r="I18" s="43" t="e">
        <f>dsd("Avflight ACH TMCW",13)</f>
        <v>#NAME?</v>
      </c>
      <c r="J18" s="44" t="e">
        <f>dsd("Avflight Contract Fuel",13)</f>
        <v>#NAME?</v>
      </c>
      <c r="K18" s="44" t="e">
        <f>dsd("Avflight Credit Cards",13)</f>
        <v>#NAME?</v>
      </c>
      <c r="L18" s="44" t="e">
        <f>dsd("Avflight Freight",13)</f>
        <v>#NAME?</v>
      </c>
      <c r="M18" s="44" t="e">
        <f>dsd("Avflight Tax",13)</f>
        <v>#NAME?</v>
      </c>
      <c r="N18" s="44" t="e">
        <f>dsd("Avflight Fuel Supplier",13)</f>
        <v>#NAME?</v>
      </c>
      <c r="O18" s="44" t="e">
        <f>dsd("Avflight Other",13)</f>
        <v>#NAME?</v>
      </c>
      <c r="P18" s="43" t="e">
        <f>dsd("Avflight Monthly Outgoing Wire",13)</f>
        <v>#NAME?</v>
      </c>
      <c r="Q18" s="43" t="e">
        <f>dsd("Avflight Check Paid",13)</f>
        <v>#NAME?</v>
      </c>
      <c r="R18" s="43" t="e">
        <f>dsd("Avflight Monthly Other",13)</f>
        <v>#NAME?</v>
      </c>
      <c r="S18" s="45" t="e">
        <f>SUM(C18:I18,P18:R18)</f>
        <v>#NULL!</v>
      </c>
      <c r="U18" s="43" t="e">
        <f>dsd("Avflight Monthly Credits and Debits",13)</f>
        <v>#NAME?</v>
      </c>
    </row>
    <row r="19" ht="12.75" s="46" customFormat="true">
      <c r="A19" s="41" t="n">
        <f>IF(A18&lt;&gt;"",IF(MONTH(A18)=MONTH(A18+1),A18+1,""),"")</f>
        <v>42291.0</v>
      </c>
      <c r="B19" s="42"/>
      <c r="C19" s="43" t="e">
        <f>dsd("Avflight Monthly Opening Ledger",14)</f>
        <v>#NAME?</v>
      </c>
      <c r="D19" s="43" t="e">
        <f>dsd("Avflight Monthly Incoming ACH",14)</f>
        <v>#NAME?</v>
      </c>
      <c r="E19" s="43" t="e">
        <f>dsd("Avflight Monthly Incoming Wire",14)</f>
        <v>#NAME?</v>
      </c>
      <c r="F19" s="43" t="e">
        <f>dsd("Avflight Commercial Deposit",14)</f>
        <v>#NAME?</v>
      </c>
      <c r="G19" s="43" t="e">
        <f>dsd("Avflight Monthly Loan Activity",14)</f>
        <v>#NAME?</v>
      </c>
      <c r="H19" s="43" t="e">
        <f>dsd("Avflight ACH Other",14)</f>
        <v>#NAME?</v>
      </c>
      <c r="I19" s="43" t="e">
        <f>dsd("Avflight ACH TMCW",14)</f>
        <v>#NAME?</v>
      </c>
      <c r="J19" s="44" t="e">
        <f>dsd("Avflight Contract Fuel",14)</f>
        <v>#NAME?</v>
      </c>
      <c r="K19" s="44" t="e">
        <f>dsd("Avflight Credit Cards",14)</f>
        <v>#NAME?</v>
      </c>
      <c r="L19" s="44" t="e">
        <f>dsd("Avflight Freight",14)</f>
        <v>#NAME?</v>
      </c>
      <c r="M19" s="44" t="e">
        <f>dsd("Avflight Tax",14)</f>
        <v>#NAME?</v>
      </c>
      <c r="N19" s="44" t="e">
        <f>dsd("Avflight Fuel Supplier",14)</f>
        <v>#NAME?</v>
      </c>
      <c r="O19" s="44" t="e">
        <f>dsd("Avflight Other",14)</f>
        <v>#NAME?</v>
      </c>
      <c r="P19" s="43" t="e">
        <f>dsd("Avflight Monthly Outgoing Wire",14)</f>
        <v>#NAME?</v>
      </c>
      <c r="Q19" s="43" t="e">
        <f>dsd("Avflight Check Paid",14)</f>
        <v>#NAME?</v>
      </c>
      <c r="R19" s="43" t="e">
        <f>dsd("Avflight Monthly Other",14)</f>
        <v>#NAME?</v>
      </c>
      <c r="S19" s="45" t="e">
        <f>SUM(C19:I19,P19:R19)</f>
        <v>#NULL!</v>
      </c>
      <c r="U19" s="43" t="e">
        <f>dsd("Avflight Monthly Credits and Debits",14)</f>
        <v>#NAME?</v>
      </c>
    </row>
    <row r="20" ht="12.75" s="46" customFormat="true">
      <c r="A20" s="41" t="n">
        <f>IF(A19&lt;&gt;"",IF(MONTH(A19)=MONTH(A19+1),A19+1,""),"")</f>
        <v>42292.0</v>
      </c>
      <c r="B20" s="42"/>
      <c r="C20" s="43" t="e">
        <f>dsd("Avflight Monthly Opening Ledger",15)</f>
        <v>#NAME?</v>
      </c>
      <c r="D20" s="43" t="e">
        <f>dsd("Avflight Monthly Incoming ACH",15)</f>
        <v>#NAME?</v>
      </c>
      <c r="E20" s="43" t="e">
        <f>dsd("Avflight Monthly Incoming Wire",15)</f>
        <v>#NAME?</v>
      </c>
      <c r="F20" s="43" t="e">
        <f>dsd("Avflight Commercial Deposit",15)</f>
        <v>#NAME?</v>
      </c>
      <c r="G20" s="43" t="e">
        <f>dsd("Avflight Monthly Loan Activity",15)</f>
        <v>#NAME?</v>
      </c>
      <c r="H20" s="43" t="e">
        <f>dsd("Avflight ACH Other",15)</f>
        <v>#NAME?</v>
      </c>
      <c r="I20" s="43" t="e">
        <f>dsd("Avflight ACH TMCW",15)</f>
        <v>#NAME?</v>
      </c>
      <c r="J20" s="44" t="e">
        <f>dsd("Avflight Contract Fuel",15)</f>
        <v>#NAME?</v>
      </c>
      <c r="K20" s="44" t="e">
        <f>dsd("Avflight Credit Cards",15)</f>
        <v>#NAME?</v>
      </c>
      <c r="L20" s="44" t="e">
        <f>dsd("Avflight Freight",15)</f>
        <v>#NAME?</v>
      </c>
      <c r="M20" s="44" t="e">
        <f>dsd("Avflight Tax",15)</f>
        <v>#NAME?</v>
      </c>
      <c r="N20" s="44" t="e">
        <f>dsd("Avflight Fuel Supplier",15)</f>
        <v>#NAME?</v>
      </c>
      <c r="O20" s="44" t="e">
        <f>dsd("Avflight Other",15)</f>
        <v>#NAME?</v>
      </c>
      <c r="P20" s="43" t="e">
        <f>dsd("Avflight Monthly Outgoing Wire",15)</f>
        <v>#NAME?</v>
      </c>
      <c r="Q20" s="43" t="e">
        <f>dsd("Avflight Check Paid",15)</f>
        <v>#NAME?</v>
      </c>
      <c r="R20" s="43" t="e">
        <f>dsd("Avflight Monthly Other",15)</f>
        <v>#NAME?</v>
      </c>
      <c r="S20" s="45" t="e">
        <f>SUM(C20:I20,P20:R20)</f>
        <v>#NULL!</v>
      </c>
      <c r="U20" s="43" t="e">
        <f>dsd("Avflight Monthly Credits and Debits",15)</f>
        <v>#NAME?</v>
      </c>
    </row>
    <row r="21" ht="12.75" s="46" customFormat="true">
      <c r="A21" s="41" t="n">
        <f>IF(A20&lt;&gt;"",IF(MONTH(A20)=MONTH(A20+1),A20+1,""),"")</f>
        <v>42293.0</v>
      </c>
      <c r="B21" s="42"/>
      <c r="C21" s="43" t="e">
        <f>dsd("Avflight Monthly Opening Ledger",16)</f>
        <v>#NAME?</v>
      </c>
      <c r="D21" s="43" t="e">
        <f>dsd("Avflight Monthly Incoming ACH",16)</f>
        <v>#NAME?</v>
      </c>
      <c r="E21" s="43" t="e">
        <f>dsd("Avflight Monthly Incoming Wire",16)</f>
        <v>#NAME?</v>
      </c>
      <c r="F21" s="43" t="e">
        <f>dsd("Avflight Commercial Deposit",16)</f>
        <v>#NAME?</v>
      </c>
      <c r="G21" s="43" t="e">
        <f>dsd("Avflight Monthly Loan Activity",16)</f>
        <v>#NAME?</v>
      </c>
      <c r="H21" s="43" t="e">
        <f>dsd("Avflight ACH Other",16)</f>
        <v>#NAME?</v>
      </c>
      <c r="I21" s="43" t="e">
        <f>dsd("Avflight ACH TMCW",16)</f>
        <v>#NAME?</v>
      </c>
      <c r="J21" s="44" t="e">
        <f>dsd("Avflight Contract Fuel",16)</f>
        <v>#NAME?</v>
      </c>
      <c r="K21" s="44" t="e">
        <f>dsd("Avflight Credit Cards",16)</f>
        <v>#NAME?</v>
      </c>
      <c r="L21" s="44" t="e">
        <f>dsd("Avflight Freight",16)</f>
        <v>#NAME?</v>
      </c>
      <c r="M21" s="44" t="e">
        <f>dsd("Avflight Tax",16)</f>
        <v>#NAME?</v>
      </c>
      <c r="N21" s="44" t="e">
        <f>dsd("Avflight Fuel Supplier",16)</f>
        <v>#NAME?</v>
      </c>
      <c r="O21" s="44" t="e">
        <f>dsd("Avflight Other",16)</f>
        <v>#NAME?</v>
      </c>
      <c r="P21" s="43" t="e">
        <f>dsd("Avflight Monthly Outgoing Wire",16)</f>
        <v>#NAME?</v>
      </c>
      <c r="Q21" s="43" t="e">
        <f>dsd("Avflight Check Paid",16)</f>
        <v>#NAME?</v>
      </c>
      <c r="R21" s="43" t="e">
        <f>dsd("Avflight Monthly Other",16)</f>
        <v>#NAME?</v>
      </c>
      <c r="S21" s="45" t="e">
        <f>SUM(C21:I21,P21:R21)</f>
        <v>#NULL!</v>
      </c>
      <c r="U21" s="43" t="e">
        <f>dsd("Avflight Monthly Credits and Debits",16)</f>
        <v>#NAME?</v>
      </c>
    </row>
    <row r="22" ht="12.75" s="46" customFormat="true">
      <c r="A22" s="41" t="n">
        <f>IF(A21&lt;&gt;"",IF(MONTH(A21)=MONTH(A21+1),A21+1,""),"")</f>
        <v>42294.0</v>
      </c>
      <c r="B22" s="42"/>
      <c r="C22" s="43" t="e">
        <f>dsd("Avflight Monthly Opening Ledger",17)</f>
        <v>#NAME?</v>
      </c>
      <c r="D22" s="43" t="e">
        <f>dsd("Avflight Monthly Incoming ACH",17)</f>
        <v>#NAME?</v>
      </c>
      <c r="E22" s="43" t="e">
        <f>dsd("Avflight Monthly Incoming Wire",17)</f>
        <v>#NAME?</v>
      </c>
      <c r="F22" s="43" t="e">
        <f>dsd("Avflight Commercial Deposit",17)</f>
        <v>#NAME?</v>
      </c>
      <c r="G22" s="43" t="e">
        <f>dsd("Avflight Monthly Loan Activity",17)</f>
        <v>#NAME?</v>
      </c>
      <c r="H22" s="43" t="e">
        <f>dsd("Avflight ACH Other",17)</f>
        <v>#NAME?</v>
      </c>
      <c r="I22" s="43" t="e">
        <f>dsd("Avflight ACH TMCW",17)</f>
        <v>#NAME?</v>
      </c>
      <c r="J22" s="44" t="e">
        <f>dsd("Avflight Contract Fuel",17)</f>
        <v>#NAME?</v>
      </c>
      <c r="K22" s="44" t="e">
        <f>dsd("Avflight Credit Cards",17)</f>
        <v>#NAME?</v>
      </c>
      <c r="L22" s="44" t="e">
        <f>dsd("Avflight Freight",17)</f>
        <v>#NAME?</v>
      </c>
      <c r="M22" s="44" t="e">
        <f>dsd("Avflight Tax",17)</f>
        <v>#NAME?</v>
      </c>
      <c r="N22" s="44" t="e">
        <f>dsd("Avflight Fuel Supplier",17)</f>
        <v>#NAME?</v>
      </c>
      <c r="O22" s="44" t="e">
        <f>dsd("Avflight Other",17)</f>
        <v>#NAME?</v>
      </c>
      <c r="P22" s="43" t="e">
        <f>dsd("Avflight Monthly Outgoing Wire",17)</f>
        <v>#NAME?</v>
      </c>
      <c r="Q22" s="43" t="e">
        <f>dsd("Avflight Check Paid",17)</f>
        <v>#NAME?</v>
      </c>
      <c r="R22" s="43" t="e">
        <f>dsd("Avflight Monthly Other",17)</f>
        <v>#NAME?</v>
      </c>
      <c r="S22" s="45" t="e">
        <f>SUM(C22:I22,P22:R22)</f>
        <v>#NULL!</v>
      </c>
      <c r="U22" s="43" t="e">
        <f>dsd("Avflight Monthly Credits and Debits",17)</f>
        <v>#NAME?</v>
      </c>
    </row>
    <row r="23" ht="12.75" s="46" customFormat="true">
      <c r="A23" s="41" t="n">
        <f>IF(A22&lt;&gt;"",IF(MONTH(A22)=MONTH(A22+1),A22+1,""),"")</f>
        <v>42295.0</v>
      </c>
      <c r="B23" s="42"/>
      <c r="C23" s="43" t="e">
        <f>dsd("Avflight Monthly Opening Ledger",18)</f>
        <v>#NAME?</v>
      </c>
      <c r="D23" s="43" t="e">
        <f>dsd("Avflight Monthly Incoming ACH",18)</f>
        <v>#NAME?</v>
      </c>
      <c r="E23" s="43" t="e">
        <f>dsd("Avflight Monthly Incoming Wire",18)</f>
        <v>#NAME?</v>
      </c>
      <c r="F23" s="43" t="e">
        <f>dsd("Avflight Commercial Deposit",18)</f>
        <v>#NAME?</v>
      </c>
      <c r="G23" s="43" t="e">
        <f>dsd("Avflight Monthly Loan Activity",18)</f>
        <v>#NAME?</v>
      </c>
      <c r="H23" s="43" t="e">
        <f>dsd("Avflight ACH Other",18)</f>
        <v>#NAME?</v>
      </c>
      <c r="I23" s="43" t="e">
        <f>dsd("Avflight ACH TMCW",18)</f>
        <v>#NAME?</v>
      </c>
      <c r="J23" s="44" t="e">
        <f>dsd("Avflight Contract Fuel",18)</f>
        <v>#NAME?</v>
      </c>
      <c r="K23" s="44" t="e">
        <f>dsd("Avflight Credit Cards",18)</f>
        <v>#NAME?</v>
      </c>
      <c r="L23" s="44" t="e">
        <f>dsd("Avflight Freight",18)</f>
        <v>#NAME?</v>
      </c>
      <c r="M23" s="44" t="e">
        <f>dsd("Avflight Tax",18)</f>
        <v>#NAME?</v>
      </c>
      <c r="N23" s="44" t="e">
        <f>dsd("Avflight Fuel Supplier",18)</f>
        <v>#NAME?</v>
      </c>
      <c r="O23" s="44" t="e">
        <f>dsd("Avflight Other",18)</f>
        <v>#NAME?</v>
      </c>
      <c r="P23" s="43" t="e">
        <f>dsd("Avflight Monthly Outgoing Wire",18)</f>
        <v>#NAME?</v>
      </c>
      <c r="Q23" s="43" t="e">
        <f>dsd("Avflight Check Paid",18)</f>
        <v>#NAME?</v>
      </c>
      <c r="R23" s="43" t="e">
        <f>dsd("Avflight Monthly Other",18)</f>
        <v>#NAME?</v>
      </c>
      <c r="S23" s="45" t="e">
        <f>SUM(C23:I23,P23:R23)</f>
        <v>#NULL!</v>
      </c>
      <c r="U23" s="43" t="e">
        <f>dsd("Avflight Monthly Credits and Debits",18)</f>
        <v>#NAME?</v>
      </c>
    </row>
    <row r="24" ht="12.75" s="46" customFormat="true">
      <c r="A24" s="41" t="n">
        <f>IF(A23&lt;&gt;"",IF(MONTH(A23)=MONTH(A23+1),A23+1,""),"")</f>
        <v>42296.0</v>
      </c>
      <c r="B24" s="42"/>
      <c r="C24" s="43" t="e">
        <f>dsd("Avflight Monthly Opening Ledger",19)</f>
        <v>#NAME?</v>
      </c>
      <c r="D24" s="43" t="e">
        <f>dsd("Avflight Monthly Incoming ACH",19)</f>
        <v>#NAME?</v>
      </c>
      <c r="E24" s="43" t="e">
        <f>dsd("Avflight Monthly Incoming Wire",19)</f>
        <v>#NAME?</v>
      </c>
      <c r="F24" s="43" t="e">
        <f>dsd("Avflight Commercial Deposit",19)</f>
        <v>#NAME?</v>
      </c>
      <c r="G24" s="43" t="e">
        <f>dsd("Avflight Monthly Loan Activity",19)</f>
        <v>#NAME?</v>
      </c>
      <c r="H24" s="43" t="e">
        <f>dsd("Avflight ACH Other",19)</f>
        <v>#NAME?</v>
      </c>
      <c r="I24" s="43" t="e">
        <f>dsd("Avflight ACH TMCW",19)</f>
        <v>#NAME?</v>
      </c>
      <c r="J24" s="44" t="e">
        <f>dsd("Avflight Contract Fuel",19)</f>
        <v>#NAME?</v>
      </c>
      <c r="K24" s="44" t="e">
        <f>dsd("Avflight Credit Cards",19)</f>
        <v>#NAME?</v>
      </c>
      <c r="L24" s="44" t="e">
        <f>dsd("Avflight Freight",19)</f>
        <v>#NAME?</v>
      </c>
      <c r="M24" s="44" t="e">
        <f>dsd("Avflight Tax",19)</f>
        <v>#NAME?</v>
      </c>
      <c r="N24" s="44" t="e">
        <f>dsd("Avflight Fuel Supplier",19)</f>
        <v>#NAME?</v>
      </c>
      <c r="O24" s="44" t="e">
        <f>dsd("Avflight Other",19)</f>
        <v>#NAME?</v>
      </c>
      <c r="P24" s="43" t="e">
        <f>dsd("Avflight Monthly Outgoing Wire",19)</f>
        <v>#NAME?</v>
      </c>
      <c r="Q24" s="43" t="e">
        <f>dsd("Avflight Check Paid",19)</f>
        <v>#NAME?</v>
      </c>
      <c r="R24" s="43" t="e">
        <f>dsd("Avflight Monthly Other",19)</f>
        <v>#NAME?</v>
      </c>
      <c r="S24" s="45" t="e">
        <f>SUM(C24:I24,P24:R24)</f>
        <v>#NULL!</v>
      </c>
      <c r="U24" s="43" t="e">
        <f>dsd("Avflight Monthly Credits and Debits",19)</f>
        <v>#NAME?</v>
      </c>
    </row>
    <row r="25" ht="12.75" s="46" customFormat="true">
      <c r="A25" s="41" t="n">
        <f>IF(A24&lt;&gt;"",IF(MONTH(A24)=MONTH(A24+1),A24+1,""),"")</f>
        <v>42297.0</v>
      </c>
      <c r="B25" s="42"/>
      <c r="C25" s="43" t="e">
        <f>dsd("Avflight Monthly Opening Ledger",20)</f>
        <v>#NAME?</v>
      </c>
      <c r="D25" s="43" t="e">
        <f>dsd("Avflight Monthly Incoming ACH",20)</f>
        <v>#NAME?</v>
      </c>
      <c r="E25" s="43" t="e">
        <f>dsd("Avflight Monthly Incoming Wire",20)</f>
        <v>#NAME?</v>
      </c>
      <c r="F25" s="43" t="e">
        <f>dsd("Avflight Commercial Deposit",20)</f>
        <v>#NAME?</v>
      </c>
      <c r="G25" s="43" t="e">
        <f>dsd("Avflight Monthly Loan Activity",20)</f>
        <v>#NAME?</v>
      </c>
      <c r="H25" s="43" t="e">
        <f>dsd("Avflight ACH Other",20)</f>
        <v>#NAME?</v>
      </c>
      <c r="I25" s="43" t="e">
        <f>dsd("Avflight ACH TMCW",20)</f>
        <v>#NAME?</v>
      </c>
      <c r="J25" s="44" t="e">
        <f>dsd("Avflight Contract Fuel",20)</f>
        <v>#NAME?</v>
      </c>
      <c r="K25" s="44" t="e">
        <f>dsd("Avflight Credit Cards",20)</f>
        <v>#NAME?</v>
      </c>
      <c r="L25" s="44" t="e">
        <f>dsd("Avflight Freight",20)</f>
        <v>#NAME?</v>
      </c>
      <c r="M25" s="44" t="e">
        <f>dsd("Avflight Tax",20)</f>
        <v>#NAME?</v>
      </c>
      <c r="N25" s="44" t="e">
        <f>dsd("Avflight Fuel Supplier",20)</f>
        <v>#NAME?</v>
      </c>
      <c r="O25" s="44" t="e">
        <f>dsd("Avflight Other",20)</f>
        <v>#NAME?</v>
      </c>
      <c r="P25" s="43" t="e">
        <f>dsd("Avflight Monthly Outgoing Wire",20)</f>
        <v>#NAME?</v>
      </c>
      <c r="Q25" s="43" t="e">
        <f>dsd("Avflight Check Paid",20)</f>
        <v>#NAME?</v>
      </c>
      <c r="R25" s="43" t="e">
        <f>dsd("Avflight Monthly Other",20)</f>
        <v>#NAME?</v>
      </c>
      <c r="S25" s="45" t="e">
        <f>SUM(C25:I25,P25:R25)</f>
        <v>#NULL!</v>
      </c>
      <c r="U25" s="43" t="e">
        <f>dsd("Avflight Monthly Credits and Debits",20)</f>
        <v>#NAME?</v>
      </c>
    </row>
    <row r="26" ht="12.75" s="46" customFormat="true">
      <c r="A26" s="41" t="n">
        <f>IF(A25&lt;&gt;"",IF(MONTH(A25)=MONTH(A25+1),A25+1,""),"")</f>
        <v>42298.0</v>
      </c>
      <c r="B26" s="42"/>
      <c r="C26" s="43" t="e">
        <f>dsd("Avflight Monthly Opening Ledger",21)</f>
        <v>#NAME?</v>
      </c>
      <c r="D26" s="43" t="e">
        <f>dsd("Avflight Monthly Incoming ACH",21)</f>
        <v>#NAME?</v>
      </c>
      <c r="E26" s="43" t="e">
        <f>dsd("Avflight Monthly Incoming Wire",21)</f>
        <v>#NAME?</v>
      </c>
      <c r="F26" s="43" t="e">
        <f>dsd("Avflight Commercial Deposit",21)</f>
        <v>#NAME?</v>
      </c>
      <c r="G26" s="43" t="e">
        <f>dsd("Avflight Monthly Loan Activity",21)</f>
        <v>#NAME?</v>
      </c>
      <c r="H26" s="43" t="e">
        <f>dsd("Avflight ACH Other",21)</f>
        <v>#NAME?</v>
      </c>
      <c r="I26" s="43" t="e">
        <f>dsd("Avflight ACH TMCW",21)</f>
        <v>#NAME?</v>
      </c>
      <c r="J26" s="44" t="e">
        <f>dsd("Avflight Contract Fuel",21)</f>
        <v>#NAME?</v>
      </c>
      <c r="K26" s="44" t="e">
        <f>dsd("Avflight Credit Cards",21)</f>
        <v>#NAME?</v>
      </c>
      <c r="L26" s="44" t="e">
        <f>dsd("Avflight Freight",21)</f>
        <v>#NAME?</v>
      </c>
      <c r="M26" s="44" t="e">
        <f>dsd("Avflight Tax",21)</f>
        <v>#NAME?</v>
      </c>
      <c r="N26" s="44" t="e">
        <f>dsd("Avflight Fuel Supplier",21)</f>
        <v>#NAME?</v>
      </c>
      <c r="O26" s="44" t="e">
        <f>dsd("Avflight Other",21)</f>
        <v>#NAME?</v>
      </c>
      <c r="P26" s="43" t="e">
        <f>dsd("Avflight Monthly Outgoing Wire",21)</f>
        <v>#NAME?</v>
      </c>
      <c r="Q26" s="43" t="e">
        <f>dsd("Avflight Check Paid",21)</f>
        <v>#NAME?</v>
      </c>
      <c r="R26" s="43" t="e">
        <f>dsd("Avflight Monthly Other",21)</f>
        <v>#NAME?</v>
      </c>
      <c r="S26" s="45" t="e">
        <f>SUM(C26:I26,P26:R26)</f>
        <v>#NULL!</v>
      </c>
      <c r="U26" s="43" t="e">
        <f>dsd("Avflight Monthly Credits and Debits",21)</f>
        <v>#NAME?</v>
      </c>
    </row>
    <row r="27" ht="12.75" s="46" customFormat="true">
      <c r="A27" s="41" t="n">
        <f>IF(A26&lt;&gt;"",IF(MONTH(A26)=MONTH(A26+1),A26+1,""),"")</f>
        <v>42299.0</v>
      </c>
      <c r="B27" s="42"/>
      <c r="C27" s="43" t="e">
        <f>dsd("Avflight Monthly Opening Ledger",22)</f>
        <v>#NAME?</v>
      </c>
      <c r="D27" s="43" t="e">
        <f>dsd("Avflight Monthly Incoming ACH",22)</f>
        <v>#NAME?</v>
      </c>
      <c r="E27" s="43" t="e">
        <f>dsd("Avflight Monthly Incoming Wire",22)</f>
        <v>#NAME?</v>
      </c>
      <c r="F27" s="43" t="e">
        <f>dsd("Avflight Commercial Deposit",22)</f>
        <v>#NAME?</v>
      </c>
      <c r="G27" s="43" t="e">
        <f>dsd("Avflight Monthly Loan Activity",22)</f>
        <v>#NAME?</v>
      </c>
      <c r="H27" s="43" t="e">
        <f>dsd("Avflight ACH Other",22)</f>
        <v>#NAME?</v>
      </c>
      <c r="I27" s="43" t="e">
        <f>dsd("Avflight ACH TMCW",22)</f>
        <v>#NAME?</v>
      </c>
      <c r="J27" s="44" t="e">
        <f>dsd("Avflight Contract Fuel",22)</f>
        <v>#NAME?</v>
      </c>
      <c r="K27" s="44" t="e">
        <f>dsd("Avflight Credit Cards",22)</f>
        <v>#NAME?</v>
      </c>
      <c r="L27" s="44" t="e">
        <f>dsd("Avflight Freight",22)</f>
        <v>#NAME?</v>
      </c>
      <c r="M27" s="44" t="e">
        <f>dsd("Avflight Tax",22)</f>
        <v>#NAME?</v>
      </c>
      <c r="N27" s="44" t="e">
        <f>dsd("Avflight Fuel Supplier",22)</f>
        <v>#NAME?</v>
      </c>
      <c r="O27" s="44" t="e">
        <f>dsd("Avflight Other",22)</f>
        <v>#NAME?</v>
      </c>
      <c r="P27" s="43" t="e">
        <f>dsd("Avflight Monthly Outgoing Wire",22)</f>
        <v>#NAME?</v>
      </c>
      <c r="Q27" s="43" t="e">
        <f>dsd("Avflight Check Paid",22)</f>
        <v>#NAME?</v>
      </c>
      <c r="R27" s="43" t="e">
        <f>dsd("Avflight Monthly Other",22)</f>
        <v>#NAME?</v>
      </c>
      <c r="S27" s="45" t="e">
        <f>SUM(C27:I27,P27:R27)</f>
        <v>#NULL!</v>
      </c>
      <c r="U27" s="43" t="e">
        <f>dsd("Avflight Monthly Credits and Debits",22)</f>
        <v>#NAME?</v>
      </c>
    </row>
    <row r="28" ht="12.75" s="46" customFormat="true">
      <c r="A28" s="41" t="n">
        <f>IF(A27&lt;&gt;"",IF(MONTH(A27)=MONTH(A27+1),A27+1,""),"")</f>
        <v>42300.0</v>
      </c>
      <c r="B28" s="42"/>
      <c r="C28" s="43" t="e">
        <f>dsd("Avflight Monthly Opening Ledger",23)</f>
        <v>#NAME?</v>
      </c>
      <c r="D28" s="43" t="e">
        <f>dsd("Avflight Monthly Incoming ACH",23)</f>
        <v>#NAME?</v>
      </c>
      <c r="E28" s="43" t="e">
        <f>dsd("Avflight Monthly Incoming Wire",23)</f>
        <v>#NAME?</v>
      </c>
      <c r="F28" s="43" t="e">
        <f>dsd("Avflight Commercial Deposit",23)</f>
        <v>#NAME?</v>
      </c>
      <c r="G28" s="43" t="e">
        <f>dsd("Avflight Monthly Loan Activity",23)</f>
        <v>#NAME?</v>
      </c>
      <c r="H28" s="43" t="e">
        <f>dsd("Avflight ACH Other",23)</f>
        <v>#NAME?</v>
      </c>
      <c r="I28" s="43" t="e">
        <f>dsd("Avflight ACH TMCW",23)</f>
        <v>#NAME?</v>
      </c>
      <c r="J28" s="44" t="e">
        <f>dsd("Avflight Contract Fuel",23)</f>
        <v>#NAME?</v>
      </c>
      <c r="K28" s="44" t="e">
        <f>dsd("Avflight Credit Cards",23)</f>
        <v>#NAME?</v>
      </c>
      <c r="L28" s="44" t="e">
        <f>dsd("Avflight Freight",23)</f>
        <v>#NAME?</v>
      </c>
      <c r="M28" s="44" t="e">
        <f>dsd("Avflight Tax",23)</f>
        <v>#NAME?</v>
      </c>
      <c r="N28" s="44" t="e">
        <f>dsd("Avflight Fuel Supplier",23)</f>
        <v>#NAME?</v>
      </c>
      <c r="O28" s="44" t="e">
        <f>dsd("Avflight Other",23)</f>
        <v>#NAME?</v>
      </c>
      <c r="P28" s="43" t="e">
        <f>dsd("Avflight Monthly Outgoing Wire",23)</f>
        <v>#NAME?</v>
      </c>
      <c r="Q28" s="43" t="e">
        <f>dsd("Avflight Check Paid",23)</f>
        <v>#NAME?</v>
      </c>
      <c r="R28" s="43" t="e">
        <f>dsd("Avflight Monthly Other",23)</f>
        <v>#NAME?</v>
      </c>
      <c r="S28" s="45" t="e">
        <f>SUM(C28:I28,P28:R28)</f>
        <v>#NULL!</v>
      </c>
      <c r="U28" s="43" t="e">
        <f>dsd("Avflight Monthly Credits and Debits",23)</f>
        <v>#NAME?</v>
      </c>
    </row>
    <row r="29" ht="12.75" s="46" customFormat="true">
      <c r="A29" s="41" t="n">
        <f>IF(A28&lt;&gt;"",IF(MONTH(A28)=MONTH(A28+1),A28+1,""),"")</f>
        <v>42301.0</v>
      </c>
      <c r="B29" s="42"/>
      <c r="C29" s="43" t="e">
        <f>dsd("Avflight Monthly Opening Ledger",24)</f>
        <v>#NAME?</v>
      </c>
      <c r="D29" s="43" t="e">
        <f>dsd("Avflight Monthly Incoming ACH",24)</f>
        <v>#NAME?</v>
      </c>
      <c r="E29" s="43" t="e">
        <f>dsd("Avflight Monthly Incoming Wire",24)</f>
        <v>#NAME?</v>
      </c>
      <c r="F29" s="43" t="e">
        <f>dsd("Avflight Commercial Deposit",24)</f>
        <v>#NAME?</v>
      </c>
      <c r="G29" s="43" t="e">
        <f>dsd("Avflight Monthly Loan Activity",24)</f>
        <v>#NAME?</v>
      </c>
      <c r="H29" s="43" t="e">
        <f>dsd("Avflight ACH Other",24)</f>
        <v>#NAME?</v>
      </c>
      <c r="I29" s="43" t="e">
        <f>dsd("Avflight ACH TMCW",24)</f>
        <v>#NAME?</v>
      </c>
      <c r="J29" s="44" t="e">
        <f>dsd("Avflight Contract Fuel",24)</f>
        <v>#NAME?</v>
      </c>
      <c r="K29" s="44" t="e">
        <f>dsd("Avflight Credit Cards",24)</f>
        <v>#NAME?</v>
      </c>
      <c r="L29" s="44" t="e">
        <f>dsd("Avflight Freight",24)</f>
        <v>#NAME?</v>
      </c>
      <c r="M29" s="44" t="e">
        <f>dsd("Avflight Tax",24)</f>
        <v>#NAME?</v>
      </c>
      <c r="N29" s="44" t="e">
        <f>dsd("Avflight Fuel Supplier",24)</f>
        <v>#NAME?</v>
      </c>
      <c r="O29" s="44" t="e">
        <f>dsd("Avflight Other",24)</f>
        <v>#NAME?</v>
      </c>
      <c r="P29" s="43" t="e">
        <f>dsd("Avflight Monthly Outgoing Wire",24)</f>
        <v>#NAME?</v>
      </c>
      <c r="Q29" s="43" t="e">
        <f>dsd("Avflight Check Paid",24)</f>
        <v>#NAME?</v>
      </c>
      <c r="R29" s="43" t="e">
        <f>dsd("Avflight Monthly Other",24)</f>
        <v>#NAME?</v>
      </c>
      <c r="S29" s="45" t="e">
        <f>SUM(C29:I29,P29:R29)</f>
        <v>#NULL!</v>
      </c>
      <c r="U29" s="43" t="e">
        <f>dsd("Avflight Monthly Credits and Debits",24)</f>
        <v>#NAME?</v>
      </c>
    </row>
    <row r="30" ht="12.75" s="46" customFormat="true">
      <c r="A30" s="41" t="n">
        <f>IF(A29&lt;&gt;"",IF(MONTH(A29)=MONTH(A29+1),A29+1,""),"")</f>
        <v>42302.0</v>
      </c>
      <c r="B30" s="42"/>
      <c r="C30" s="43" t="e">
        <f>dsd("Avflight Monthly Opening Ledger",25)</f>
        <v>#NAME?</v>
      </c>
      <c r="D30" s="43" t="e">
        <f>dsd("Avflight Monthly Incoming ACH",25)</f>
        <v>#NAME?</v>
      </c>
      <c r="E30" s="43" t="e">
        <f>dsd("Avflight Monthly Incoming Wire",25)</f>
        <v>#NAME?</v>
      </c>
      <c r="F30" s="43" t="e">
        <f>dsd("Avflight Commercial Deposit",25)</f>
        <v>#NAME?</v>
      </c>
      <c r="G30" s="43" t="e">
        <f>dsd("Avflight Monthly Loan Activity",25)</f>
        <v>#NAME?</v>
      </c>
      <c r="H30" s="43" t="e">
        <f>dsd("Avflight ACH Other",25)</f>
        <v>#NAME?</v>
      </c>
      <c r="I30" s="43" t="e">
        <f>dsd("Avflight ACH TMCW",25)</f>
        <v>#NAME?</v>
      </c>
      <c r="J30" s="44" t="e">
        <f>dsd("Avflight Contract Fuel",25)</f>
        <v>#NAME?</v>
      </c>
      <c r="K30" s="44" t="e">
        <f>dsd("Avflight Credit Cards",25)</f>
        <v>#NAME?</v>
      </c>
      <c r="L30" s="44" t="e">
        <f>dsd("Avflight Freight",25)</f>
        <v>#NAME?</v>
      </c>
      <c r="M30" s="44" t="e">
        <f>dsd("Avflight Tax",25)</f>
        <v>#NAME?</v>
      </c>
      <c r="N30" s="44" t="e">
        <f>dsd("Avflight Fuel Supplier",25)</f>
        <v>#NAME?</v>
      </c>
      <c r="O30" s="44" t="e">
        <f>dsd("Avflight Other",25)</f>
        <v>#NAME?</v>
      </c>
      <c r="P30" s="43" t="e">
        <f>dsd("Avflight Monthly Outgoing Wire",25)</f>
        <v>#NAME?</v>
      </c>
      <c r="Q30" s="43" t="e">
        <f>dsd("Avflight Check Paid",25)</f>
        <v>#NAME?</v>
      </c>
      <c r="R30" s="43" t="e">
        <f>dsd("Avflight Monthly Other",25)</f>
        <v>#NAME?</v>
      </c>
      <c r="S30" s="45" t="e">
        <f>SUM(C30:I30,P30:R30)</f>
        <v>#NULL!</v>
      </c>
      <c r="U30" s="43" t="e">
        <f>dsd("Avflight Monthly Credits and Debits",25)</f>
        <v>#NAME?</v>
      </c>
    </row>
    <row r="31" ht="12.75" s="46" customFormat="true">
      <c r="A31" s="41" t="n">
        <f>IF(A30&lt;&gt;"",IF(MONTH(A30)=MONTH(A30+1),A30+1,""),"")</f>
        <v>42303.0</v>
      </c>
      <c r="B31" s="42"/>
      <c r="C31" s="43" t="e">
        <f>dsd("Avflight Monthly Opening Ledger",26)</f>
        <v>#NAME?</v>
      </c>
      <c r="D31" s="43" t="e">
        <f>dsd("Avflight Monthly Incoming ACH",26)</f>
        <v>#NAME?</v>
      </c>
      <c r="E31" s="43" t="e">
        <f>dsd("Avflight Monthly Incoming Wire",26)</f>
        <v>#NAME?</v>
      </c>
      <c r="F31" s="43" t="e">
        <f>dsd("Avflight Commercial Deposit",26)</f>
        <v>#NAME?</v>
      </c>
      <c r="G31" s="43" t="e">
        <f>dsd("Avflight Monthly Loan Activity",26)</f>
        <v>#NAME?</v>
      </c>
      <c r="H31" s="43" t="e">
        <f>dsd("Avflight ACH Other",26)</f>
        <v>#NAME?</v>
      </c>
      <c r="I31" s="43" t="e">
        <f>dsd("Avflight ACH TMCW",26)</f>
        <v>#NAME?</v>
      </c>
      <c r="J31" s="44" t="e">
        <f>dsd("Avflight Contract Fuel",26)</f>
        <v>#NAME?</v>
      </c>
      <c r="K31" s="44" t="e">
        <f>dsd("Avflight Credit Cards",26)</f>
        <v>#NAME?</v>
      </c>
      <c r="L31" s="44" t="e">
        <f>dsd("Avflight Freight",26)</f>
        <v>#NAME?</v>
      </c>
      <c r="M31" s="44" t="e">
        <f>dsd("Avflight Tax",26)</f>
        <v>#NAME?</v>
      </c>
      <c r="N31" s="44" t="e">
        <f>dsd("Avflight Fuel Supplier",26)</f>
        <v>#NAME?</v>
      </c>
      <c r="O31" s="44" t="e">
        <f>dsd("Avflight Other",26)</f>
        <v>#NAME?</v>
      </c>
      <c r="P31" s="43" t="e">
        <f>dsd("Avflight Monthly Outgoing Wire",26)</f>
        <v>#NAME?</v>
      </c>
      <c r="Q31" s="43" t="e">
        <f>dsd("Avflight Check Paid",26)</f>
        <v>#NAME?</v>
      </c>
      <c r="R31" s="43" t="e">
        <f>dsd("Avflight Monthly Other",26)</f>
        <v>#NAME?</v>
      </c>
      <c r="S31" s="45" t="e">
        <f>SUM(C31:I31,P31:R31)</f>
        <v>#NULL!</v>
      </c>
      <c r="U31" s="43" t="e">
        <f>dsd("Avflight Monthly Credits and Debits",26)</f>
        <v>#NAME?</v>
      </c>
    </row>
    <row r="32" ht="12.75" s="46" customFormat="true">
      <c r="A32" s="41" t="n">
        <f>IF(A31&lt;&gt;"",IF(MONTH(A31)=MONTH(A31+1),A31+1,""),"")</f>
        <v>42304.0</v>
      </c>
      <c r="B32" s="42"/>
      <c r="C32" s="43" t="e">
        <f>dsd("Avflight Monthly Opening Ledger",27)</f>
        <v>#NAME?</v>
      </c>
      <c r="D32" s="43" t="e">
        <f>dsd("Avflight Monthly Incoming ACH",27)</f>
        <v>#NAME?</v>
      </c>
      <c r="E32" s="43" t="e">
        <f>dsd("Avflight Monthly Incoming Wire",27)</f>
        <v>#NAME?</v>
      </c>
      <c r="F32" s="43" t="e">
        <f>dsd("Avflight Commercial Deposit",27)</f>
        <v>#NAME?</v>
      </c>
      <c r="G32" s="43" t="e">
        <f>dsd("Avflight Monthly Loan Activity",27)</f>
        <v>#NAME?</v>
      </c>
      <c r="H32" s="43" t="e">
        <f>dsd("Avflight ACH Other",27)</f>
        <v>#NAME?</v>
      </c>
      <c r="I32" s="43" t="e">
        <f>dsd("Avflight ACH TMCW",27)</f>
        <v>#NAME?</v>
      </c>
      <c r="J32" s="44" t="e">
        <f>dsd("Avflight Contract Fuel",27)</f>
        <v>#NAME?</v>
      </c>
      <c r="K32" s="44" t="e">
        <f>dsd("Avflight Credit Cards",27)</f>
        <v>#NAME?</v>
      </c>
      <c r="L32" s="44" t="e">
        <f>dsd("Avflight Freight",27)</f>
        <v>#NAME?</v>
      </c>
      <c r="M32" s="44" t="e">
        <f>dsd("Avflight Tax",27)</f>
        <v>#NAME?</v>
      </c>
      <c r="N32" s="44" t="e">
        <f>dsd("Avflight Fuel Supplier",27)</f>
        <v>#NAME?</v>
      </c>
      <c r="O32" s="44" t="e">
        <f>dsd("Avflight Other",27)</f>
        <v>#NAME?</v>
      </c>
      <c r="P32" s="43" t="e">
        <f>dsd("Avflight Monthly Outgoing Wire",27)</f>
        <v>#NAME?</v>
      </c>
      <c r="Q32" s="43" t="e">
        <f>dsd("Avflight Check Paid",27)</f>
        <v>#NAME?</v>
      </c>
      <c r="R32" s="43" t="e">
        <f>dsd("Avflight Monthly Other",27)</f>
        <v>#NAME?</v>
      </c>
      <c r="S32" s="45" t="e">
        <f>SUM(C32:I32,P32:R32)</f>
        <v>#NULL!</v>
      </c>
      <c r="U32" s="43" t="e">
        <f>dsd("Avflight Monthly Credits and Debits",27)</f>
        <v>#NAME?</v>
      </c>
    </row>
    <row r="33" ht="12.75" s="46" customFormat="true">
      <c r="A33" s="41" t="n">
        <f>IF(A32&lt;&gt;"",IF(MONTH(A32)=MONTH(A32+1),A32+1,""),"")</f>
        <v>42305.0</v>
      </c>
      <c r="B33" s="42"/>
      <c r="C33" s="43" t="e">
        <f>dsd("Avflight Monthly Opening Ledger",28)</f>
        <v>#NAME?</v>
      </c>
      <c r="D33" s="43" t="e">
        <f>dsd("Avflight Monthly Incoming ACH",28)</f>
        <v>#NAME?</v>
      </c>
      <c r="E33" s="43" t="e">
        <f>dsd("Avflight Monthly Incoming Wire",28)</f>
        <v>#NAME?</v>
      </c>
      <c r="F33" s="43" t="e">
        <f>dsd("Avflight Commercial Deposit",28)</f>
        <v>#NAME?</v>
      </c>
      <c r="G33" s="43" t="e">
        <f>dsd("Avflight Monthly Loan Activity",28)</f>
        <v>#NAME?</v>
      </c>
      <c r="H33" s="43" t="e">
        <f>dsd("Avflight ACH Other",28)</f>
        <v>#NAME?</v>
      </c>
      <c r="I33" s="43" t="e">
        <f>dsd("Avflight ACH TMCW",28)</f>
        <v>#NAME?</v>
      </c>
      <c r="J33" s="44" t="e">
        <f>dsd("Avflight Contract Fuel",28)</f>
        <v>#NAME?</v>
      </c>
      <c r="K33" s="44" t="e">
        <f>dsd("Avflight Credit Cards",28)</f>
        <v>#NAME?</v>
      </c>
      <c r="L33" s="44" t="e">
        <f>dsd("Avflight Freight",28)</f>
        <v>#NAME?</v>
      </c>
      <c r="M33" s="44" t="e">
        <f>dsd("Avflight Tax",28)</f>
        <v>#NAME?</v>
      </c>
      <c r="N33" s="44" t="e">
        <f>dsd("Avflight Fuel Supplier",28)</f>
        <v>#NAME?</v>
      </c>
      <c r="O33" s="44" t="e">
        <f>dsd("Avflight Other",28)</f>
        <v>#NAME?</v>
      </c>
      <c r="P33" s="43" t="e">
        <f>dsd("Avflight Monthly Outgoing Wire",28)</f>
        <v>#NAME?</v>
      </c>
      <c r="Q33" s="43" t="e">
        <f>dsd("Avflight Check Paid",28)</f>
        <v>#NAME?</v>
      </c>
      <c r="R33" s="43" t="e">
        <f>dsd("Avflight Monthly Other",28)</f>
        <v>#NAME?</v>
      </c>
      <c r="S33" s="45" t="e">
        <f>SUM(C33:I33,P33:R33)</f>
        <v>#NULL!</v>
      </c>
      <c r="U33" s="43" t="e">
        <f>dsd("Avflight Monthly Credits and Debits",28)</f>
        <v>#NAME?</v>
      </c>
    </row>
    <row r="34" ht="12.75" s="46" customFormat="true">
      <c r="A34" s="41" t="n">
        <f>IF(A33&lt;&gt;"",IF(MONTH(A33)=MONTH(A33+1),A33+1,""),"")</f>
        <v>42306.0</v>
      </c>
      <c r="B34" s="42"/>
      <c r="C34" s="43" t="e">
        <f>dsd("Avflight Monthly Opening Ledger",29)</f>
        <v>#NAME?</v>
      </c>
      <c r="D34" s="43" t="e">
        <f>dsd("Avflight Monthly Incoming ACH",29)</f>
        <v>#NAME?</v>
      </c>
      <c r="E34" s="43" t="e">
        <f>dsd("Avflight Monthly Incoming Wire",29)</f>
        <v>#NAME?</v>
      </c>
      <c r="F34" s="43" t="e">
        <f>dsd("Avflight Commercial Deposit",29)</f>
        <v>#NAME?</v>
      </c>
      <c r="G34" s="43" t="e">
        <f>dsd("Avflight Monthly Loan Activity",29)</f>
        <v>#NAME?</v>
      </c>
      <c r="H34" s="43" t="e">
        <f>dsd("Avflight ACH Other",29)</f>
        <v>#NAME?</v>
      </c>
      <c r="I34" s="43" t="e">
        <f>dsd("Avflight ACH TMCW",29)</f>
        <v>#NAME?</v>
      </c>
      <c r="J34" s="44" t="e">
        <f>dsd("Avflight Contract Fuel",29)</f>
        <v>#NAME?</v>
      </c>
      <c r="K34" s="44" t="e">
        <f>dsd("Avflight Credit Cards",29)</f>
        <v>#NAME?</v>
      </c>
      <c r="L34" s="44" t="e">
        <f>dsd("Avflight Freight",29)</f>
        <v>#NAME?</v>
      </c>
      <c r="M34" s="44" t="e">
        <f>dsd("Avflight Tax",29)</f>
        <v>#NAME?</v>
      </c>
      <c r="N34" s="44" t="e">
        <f>dsd("Avflight Fuel Supplier",29)</f>
        <v>#NAME?</v>
      </c>
      <c r="O34" s="44" t="e">
        <f>dsd("Avflight Other",29)</f>
        <v>#NAME?</v>
      </c>
      <c r="P34" s="43" t="e">
        <f>dsd("Avflight Monthly Outgoing Wire",29)</f>
        <v>#NAME?</v>
      </c>
      <c r="Q34" s="43" t="e">
        <f>dsd("Avflight Check Paid",29)</f>
        <v>#NAME?</v>
      </c>
      <c r="R34" s="43" t="e">
        <f>dsd("Avflight Monthly Other",29)</f>
        <v>#NAME?</v>
      </c>
      <c r="S34" s="45" t="e">
        <f>SUM(C34:I34,P34:R34)</f>
        <v>#NULL!</v>
      </c>
      <c r="U34" s="43" t="e">
        <f>dsd("Avflight Monthly Credits and Debits",29)</f>
        <v>#NAME?</v>
      </c>
    </row>
    <row r="35" ht="12.75" s="46" customFormat="true">
      <c r="A35" s="47" t="n">
        <f>IF(A34&lt;&gt;"",IF(MONTH(A34)=MONTH(A34+1),A34+1,""),"")</f>
        <v>42307.0</v>
      </c>
      <c r="B35" s="42"/>
      <c r="C35" s="43" t="e">
        <f>dsd("Avflight Monthly Opening Ledger",30)</f>
        <v>#NAME?</v>
      </c>
      <c r="D35" s="43" t="e">
        <f>dsd("Avflight Monthly Incoming ACH",30)</f>
        <v>#NAME?</v>
      </c>
      <c r="E35" s="43" t="e">
        <f>dsd("Avflight Monthly Incoming Wire",30)</f>
        <v>#NAME?</v>
      </c>
      <c r="F35" s="43" t="e">
        <f>dsd("Avflight Commercial Deposit",30)</f>
        <v>#NAME?</v>
      </c>
      <c r="G35" s="43" t="e">
        <f>dsd("Avflight Monthly Loan Activity",30)</f>
        <v>#NAME?</v>
      </c>
      <c r="H35" s="43" t="e">
        <f>dsd("Avflight ACH Other",30)</f>
        <v>#NAME?</v>
      </c>
      <c r="I35" s="43" t="e">
        <f>dsd("Avflight ACH TMCW",30)</f>
        <v>#NAME?</v>
      </c>
      <c r="J35" s="44" t="e">
        <f>dsd("Avflight Contract Fuel",30)</f>
        <v>#NAME?</v>
      </c>
      <c r="K35" s="44" t="e">
        <f>dsd("Avflight Credit Cards",30)</f>
        <v>#NAME?</v>
      </c>
      <c r="L35" s="44" t="e">
        <f>dsd("Avflight Freight",30)</f>
        <v>#NAME?</v>
      </c>
      <c r="M35" s="44" t="e">
        <f>dsd("Avflight Tax",30)</f>
        <v>#NAME?</v>
      </c>
      <c r="N35" s="44" t="e">
        <f>dsd("Avflight Fuel Supplier",30)</f>
        <v>#NAME?</v>
      </c>
      <c r="O35" s="44" t="e">
        <f>dsd("Avflight Other",30)</f>
        <v>#NAME?</v>
      </c>
      <c r="P35" s="43" t="e">
        <f>dsd("Avflight Monthly Outgoing Wire",30)</f>
        <v>#NAME?</v>
      </c>
      <c r="Q35" s="43" t="e">
        <f>dsd("Avflight Check Paid",30)</f>
        <v>#NAME?</v>
      </c>
      <c r="R35" s="43" t="e">
        <f>dsd("Avflight Monthly Other",30)</f>
        <v>#NAME?</v>
      </c>
      <c r="S35" s="45" t="e">
        <f>SUM(C35:I35,P35:R35)</f>
        <v>#NULL!</v>
      </c>
      <c r="U35" s="43" t="e">
        <f>dsd("Avflight Monthly Credits and Debits",30)</f>
        <v>#NAME?</v>
      </c>
    </row>
    <row r="36" ht="12.75" s="46" customFormat="true">
      <c r="A36" s="48" t="n">
        <f>IF(A35&lt;&gt;"",IF(MONTH(A35)=MONTH(A35+1),A35+1,""),"")</f>
        <v>42308.0</v>
      </c>
      <c r="B36" s="49"/>
      <c r="C36" s="43" t="e">
        <f>dsd("Avflight Monthly Opening Ledger",31)</f>
        <v>#NAME?</v>
      </c>
      <c r="D36" s="43" t="e">
        <f>dsd("Avflight Monthly Incoming ACH",31)</f>
        <v>#NAME?</v>
      </c>
      <c r="E36" s="43" t="e">
        <f>dsd("Avflight Monthly Incoming Wire",31)</f>
        <v>#NAME?</v>
      </c>
      <c r="F36" s="43" t="e">
        <f>dsd("Avflight Commercial Deposit",31)</f>
        <v>#NAME?</v>
      </c>
      <c r="G36" s="43" t="e">
        <f>dsd("Avflight Monthly Loan Activity",31)</f>
        <v>#NAME?</v>
      </c>
      <c r="H36" s="43" t="e">
        <f>dsd("Avflight ACH Other",31)</f>
        <v>#NAME?</v>
      </c>
      <c r="I36" s="43" t="e">
        <f>dsd("Avflight ACH TMCW",31)</f>
        <v>#NAME?</v>
      </c>
      <c r="J36" s="44" t="e">
        <f>dsd("Avflight Contract Fuel",31)</f>
        <v>#NAME?</v>
      </c>
      <c r="K36" s="44" t="e">
        <f>dsd("Avflight Credit Cards",31)</f>
        <v>#NAME?</v>
      </c>
      <c r="L36" s="44" t="e">
        <f>dsd("Avflight Freight",31)</f>
        <v>#NAME?</v>
      </c>
      <c r="M36" s="44" t="e">
        <f>dsd("Avflight Tax",31)</f>
        <v>#NAME?</v>
      </c>
      <c r="N36" s="44" t="e">
        <f>dsd("Avflight Fuel Supplier",31)</f>
        <v>#NAME?</v>
      </c>
      <c r="O36" s="44" t="e">
        <f>dsd("Avflight Other",31)</f>
        <v>#NAME?</v>
      </c>
      <c r="P36" s="43" t="e">
        <f>dsd("Avflight Monthly Outgoing Wire",31)</f>
        <v>#NAME?</v>
      </c>
      <c r="Q36" s="43" t="e">
        <f>dsd("Avflight Check Paid",31)</f>
        <v>#NAME?</v>
      </c>
      <c r="R36" s="43" t="e">
        <f>dsd("Avflight Monthly Other",31)</f>
        <v>#NAME?</v>
      </c>
      <c r="S36" s="45" t="e">
        <f>SUM(C36:I36,P36:R36)</f>
        <v>#NULL!</v>
      </c>
      <c r="U36" s="43" t="e">
        <f>dsd("Avflight Monthly Credits and Debits",31)</f>
        <v>#NAME?</v>
      </c>
    </row>
    <row r="37" ht="12.75" s="46" customFormat="true">
      <c r="A37" s="50"/>
      <c r="B37" s="42"/>
      <c r="C37" s="36"/>
      <c r="D37" s="36"/>
      <c r="E37" s="36"/>
      <c r="F37" s="36"/>
      <c r="G37" s="36"/>
      <c r="H37" s="36"/>
      <c r="I37" s="36"/>
      <c r="J37" s="51"/>
      <c r="K37" s="51"/>
      <c r="L37" s="51"/>
      <c r="M37" s="51"/>
      <c r="N37" s="51"/>
      <c r="O37" s="51"/>
      <c r="P37" s="36"/>
      <c r="Q37" s="36"/>
      <c r="R37" s="36"/>
      <c r="S37" s="45"/>
      <c r="U37" s="36"/>
    </row>
    <row r="38" ht="12.75" s="46" customFormat="true">
      <c r="A38" s="52" t="s">
        <v>54</v>
      </c>
      <c r="B38" s="53"/>
      <c r="C38" s="54" t="e">
        <f>ds("Avflight Monthly Opening Ledger")</f>
        <v>#NAME?</v>
      </c>
      <c r="D38" s="54" t="e">
        <f>ds("Avflight Monthly Incoming ACH")</f>
        <v>#NAME?</v>
      </c>
      <c r="E38" s="54" t="e">
        <f>ds("Avflight Monthly Incoming Wire")</f>
        <v>#NAME?</v>
      </c>
      <c r="F38" s="54" t="e">
        <f>ds("Avflight Commercial Deposit")</f>
        <v>#NAME?</v>
      </c>
      <c r="G38" s="54" t="e">
        <f>ds("Avflight Monthly Loan Activity")</f>
        <v>#NAME?</v>
      </c>
      <c r="H38" s="54" t="e">
        <f>ds("Avflight ACH Other")</f>
        <v>#NAME?</v>
      </c>
      <c r="I38" s="54" t="e">
        <f>ds("Avflight ACH TMCW")</f>
        <v>#NAME?</v>
      </c>
      <c r="J38" s="55" t="e">
        <f>ds("Avflight Contract Fuel")</f>
        <v>#NAME?</v>
      </c>
      <c r="K38" s="55" t="e">
        <f>ds("Avflight Credit Cards")</f>
        <v>#NAME?</v>
      </c>
      <c r="L38" s="55" t="e">
        <f>ds("Avflight Freight")</f>
        <v>#NAME?</v>
      </c>
      <c r="M38" s="55" t="e">
        <f>ds("Avflight Tax")</f>
        <v>#NAME?</v>
      </c>
      <c r="N38" s="55" t="e">
        <f>ds("Avflight Fuel Supplier")</f>
        <v>#NAME?</v>
      </c>
      <c r="O38" s="55" t="e">
        <f>ds("Avflight Other")</f>
        <v>#NAME?</v>
      </c>
      <c r="P38" s="54" t="e">
        <f>ds("Avflight Monthly Outgoing Wire")</f>
        <v>#NAME?</v>
      </c>
      <c r="Q38" s="54" t="e">
        <f>ds("Avflight Check Paid")</f>
        <v>#NAME?</v>
      </c>
      <c r="R38" s="54" t="e">
        <f>ds("Avflight Monthly Other")</f>
        <v>#NAME?</v>
      </c>
      <c r="S38" s="45" t="e">
        <f>SUM(C38:I38,P38:R38)</f>
        <v>#NAME?</v>
      </c>
      <c r="U38" s="54" t="e">
        <f>ds("Avflight Monthly Credits and Debits")</f>
        <v>#NAME?</v>
      </c>
    </row>
    <row r="39" ht="12.75" s="46" customFormat="true">
      <c r="A39" s="56"/>
      <c r="B39" s="56"/>
      <c r="C39" s="57"/>
      <c r="D39" s="58"/>
      <c r="E39" s="58"/>
      <c r="F39" s="57"/>
      <c r="G39" s="59"/>
      <c r="H39" s="58"/>
      <c r="I39" s="58"/>
      <c r="J39" s="59"/>
      <c r="K39" s="59"/>
      <c r="L39" s="59"/>
      <c r="M39" s="59"/>
      <c r="N39" s="59"/>
      <c r="O39" s="59"/>
      <c r="P39" s="58"/>
      <c r="Q39" s="60"/>
      <c r="R39" s="60"/>
      <c r="S39" s="61"/>
    </row>
    <row r="40" ht="12.75" s="46" customFormat="true">
      <c r="B40" s="56"/>
      <c r="G40" s="66"/>
      <c r="J40" s="66"/>
      <c r="K40" s="66"/>
      <c r="L40" s="66"/>
      <c r="M40" s="66"/>
      <c r="N40" s="66"/>
      <c r="O40" s="66"/>
      <c r="P40" s="58"/>
      <c r="Q40" s="60"/>
      <c r="R40" s="60"/>
      <c r="S40" s="61"/>
    </row>
    <row r="41" ht="12.75" s="46" customFormat="true">
      <c r="B41" s="56"/>
      <c r="G41" s="66"/>
      <c r="J41" s="66"/>
      <c r="K41" s="66"/>
      <c r="L41" s="66"/>
      <c r="M41" s="66"/>
      <c r="N41" s="66"/>
      <c r="O41" s="66"/>
      <c r="P41" s="58"/>
      <c r="Q41" s="60"/>
      <c r="R41" s="60"/>
      <c r="S41" s="61"/>
    </row>
    <row r="42" ht="12.75" s="46" customFormat="true">
      <c r="B42" s="56"/>
      <c r="G42" s="66"/>
      <c r="J42" s="66"/>
      <c r="K42" s="66"/>
      <c r="L42" s="66"/>
      <c r="M42" s="66"/>
      <c r="N42" s="66"/>
      <c r="O42" s="66"/>
      <c r="P42" s="58"/>
      <c r="Q42" s="60"/>
      <c r="R42" s="60"/>
      <c r="S42" s="61"/>
    </row>
    <row r="43" ht="12.75" s="46" customFormat="true">
      <c r="B43" s="56"/>
      <c r="G43" s="66"/>
      <c r="J43" s="66"/>
      <c r="K43" s="66"/>
      <c r="L43" s="66"/>
      <c r="M43" s="66"/>
      <c r="N43" s="66"/>
      <c r="O43" s="66"/>
      <c r="P43" s="58"/>
      <c r="Q43" s="60"/>
      <c r="R43" s="60"/>
      <c r="S43" s="61"/>
    </row>
    <row r="44" ht="12.75" s="46" customFormat="true">
      <c r="B44" s="56"/>
      <c r="G44" s="66"/>
      <c r="J44" s="66"/>
      <c r="K44" s="66"/>
      <c r="L44" s="66"/>
      <c r="M44" s="66"/>
      <c r="N44" s="66"/>
      <c r="O44" s="66"/>
      <c r="P44" s="58"/>
      <c r="Q44" s="60"/>
      <c r="R44" s="60"/>
      <c r="S44" s="61"/>
    </row>
    <row r="45" ht="12.75" s="46" customFormat="true">
      <c r="B45" s="56"/>
      <c r="G45" s="66"/>
      <c r="J45" s="66"/>
      <c r="K45" s="66"/>
      <c r="L45" s="66"/>
      <c r="M45" s="66"/>
      <c r="N45" s="66"/>
      <c r="O45" s="66"/>
      <c r="P45" s="58"/>
      <c r="Q45" s="60"/>
      <c r="R45" s="60"/>
      <c r="S45" s="61"/>
    </row>
  </sheetData>
  <mergeCells>
    <mergeCell ref="A1:S1"/>
    <mergeCell ref="A2:S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0" hidden="false"/>
    <col min="2" max="2" style="63" customWidth="true" width="2.5703125" hidden="false"/>
    <col min="3" max="3" style="62" customWidth="true" width="15.85546875" hidden="false"/>
    <col min="4" max="4" style="62" customWidth="true" width="12.71484375" hidden="false"/>
    <col min="5" max="5" style="62" customWidth="true" width="12.28515625" hidden="false"/>
    <col min="6" max="6" style="62" customWidth="true" width="14.71484375" hidden="false"/>
    <col min="7" max="7" style="62" customWidth="true" width="14.71484375" hidden="false"/>
    <col min="8" max="8" style="64" customWidth="true" width="13.71484375" hidden="false"/>
    <col min="9" max="9" style="65" customWidth="true" width="13.28515625" hidden="false"/>
    <col min="10" max="14" style="65" customWidth="true" width="13.28515625" hidden="false"/>
    <col min="15" max="15" style="65" customWidth="true" width="14.85546875" hidden="false"/>
    <col min="16" max="16" style="62" customWidth="true" width="13.5703125" hidden="false"/>
    <col min="17" max="17" style="62" customWidth="true" width="13.0" hidden="false"/>
    <col min="18" max="18" style="62" customWidth="true" width="13.4296875" hidden="false"/>
    <col min="19" max="19" style="62" customWidth="true" width="15.14453125" hidden="false"/>
    <col min="20" max="20" style="62" customWidth="false" width="9.14453125" hidden="false"/>
    <col min="21" max="21" style="62" customWidth="true" width="13.71484375" hidden="false"/>
    <col min="22" max="22" style="62" customWidth="false" width="9.14453125" hidden="false"/>
    <col min="23" max="23" style="62" customWidth="false" width="9.14453125" hidden="false"/>
    <col min="24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customHeight="true" ht="12.75">
      <c r="A2" s="26" t="n">
        <f>NOW()</f>
        <v>42279.99510418982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customHeight="true" ht="12.7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customHeight="true" ht="35.25" s="27" customFormat="true">
      <c r="A4" s="28" t="s">
        <v>39</v>
      </c>
      <c r="B4" s="29"/>
      <c r="C4" s="29" t="s">
        <v>40</v>
      </c>
      <c r="D4" s="29" t="s">
        <v>17</v>
      </c>
      <c r="E4" s="29" t="s">
        <v>16</v>
      </c>
      <c r="F4" s="29" t="s">
        <v>42</v>
      </c>
      <c r="G4" s="29" t="s">
        <v>43</v>
      </c>
      <c r="H4" s="29" t="s">
        <v>25</v>
      </c>
      <c r="I4" s="29" t="s">
        <v>26</v>
      </c>
      <c r="J4" s="30" t="s">
        <v>44</v>
      </c>
      <c r="K4" s="30" t="s">
        <v>45</v>
      </c>
      <c r="L4" s="30" t="s">
        <v>46</v>
      </c>
      <c r="M4" s="30" t="s">
        <v>47</v>
      </c>
      <c r="N4" s="30" t="s">
        <v>48</v>
      </c>
      <c r="O4" s="30" t="s">
        <v>49</v>
      </c>
      <c r="P4" s="29" t="s">
        <v>22</v>
      </c>
      <c r="Q4" s="29" t="s">
        <v>50</v>
      </c>
      <c r="R4" s="29" t="s">
        <v>51</v>
      </c>
      <c r="S4" s="29" t="s">
        <v>52</v>
      </c>
      <c r="U4" s="31" t="s">
        <v>55</v>
      </c>
    </row>
    <row r="5" customHeight="true" ht="12.75" s="32" customFormat="true">
      <c r="A5" s="33"/>
      <c r="B5" s="33"/>
      <c r="C5" s="34"/>
      <c r="D5" s="35"/>
      <c r="E5" s="35"/>
      <c r="F5" s="34"/>
      <c r="G5" s="36"/>
      <c r="H5" s="35"/>
      <c r="I5" s="35"/>
      <c r="J5" s="36"/>
      <c r="K5" s="36"/>
      <c r="L5" s="36"/>
      <c r="M5" s="36"/>
      <c r="N5" s="36"/>
      <c r="O5" s="36"/>
      <c r="P5" s="37"/>
      <c r="Q5" s="38"/>
      <c r="R5" s="38"/>
      <c r="S5" s="39"/>
    </row>
    <row r="6" ht="12.0" s="40" customFormat="true">
      <c r="A6" s="41" t="n">
        <f>DATEVALUE(MONTH(TODAY())&amp;"/1/"&amp;YEAR(TODAY()))</f>
        <v>42278.0</v>
      </c>
      <c r="B6" s="42"/>
      <c r="C6" s="43" t="e">
        <f>dsd("Avlease Monthly Opening Ledger",1)</f>
        <v>#NAME?</v>
      </c>
      <c r="D6" s="43" t="e">
        <f>dsd("Avlease Monthly Incoming ACH",1)</f>
        <v>#NAME?</v>
      </c>
      <c r="E6" s="43" t="e">
        <f>dsd("Avlease Monthly Incoming Wire",1)</f>
        <v>#NAME?</v>
      </c>
      <c r="F6" s="43" t="e">
        <f>dsd("Avlease Commercial Deposit",1)</f>
        <v>#NAME?</v>
      </c>
      <c r="G6" s="43" t="e">
        <f>dsd("Avlease Monthly Loan Activity",1)</f>
        <v>#NAME?</v>
      </c>
      <c r="H6" s="43" t="e">
        <f>dsd("Avlease ACH Other",1)</f>
        <v>#NAME?</v>
      </c>
      <c r="I6" s="43" t="e">
        <f>dsd("Avlease ACH TMCW",1)</f>
        <v>#NAME?</v>
      </c>
      <c r="J6" s="44" t="e">
        <f>dsd("Avlease Contract Fuel",1)</f>
        <v>#NAME?</v>
      </c>
      <c r="K6" s="44" t="e">
        <f>dsd("Avlease Credit Cards",1)</f>
        <v>#NAME?</v>
      </c>
      <c r="L6" s="44" t="e">
        <f>dsd("Avlease Freight",1)</f>
        <v>#NAME?</v>
      </c>
      <c r="M6" s="44" t="e">
        <f>dsd("Avlease Tax",1)</f>
        <v>#NAME?</v>
      </c>
      <c r="N6" s="44" t="e">
        <f>dsd("Avlease Fuel Supplier",1)</f>
        <v>#NAME?</v>
      </c>
      <c r="O6" s="44" t="e">
        <f>dsd("Avlease Other",1)</f>
        <v>#NAME?</v>
      </c>
      <c r="P6" s="43" t="e">
        <f>dsd("Avlease Monthly Outgoing Wire",1)</f>
        <v>#NAME?</v>
      </c>
      <c r="Q6" s="43" t="e">
        <f>dsd("Avlease Check Paid",1)</f>
        <v>#NAME?</v>
      </c>
      <c r="R6" s="43" t="e">
        <f>dsd("Avlease Monthly Other",1)</f>
        <v>#NAME?</v>
      </c>
      <c r="S6" s="45" t="e">
        <f>SUM(C6:I6,P6:R6)</f>
        <v>#NULL!</v>
      </c>
      <c r="U6" s="43" t="e">
        <f>dsd("Avlease Monthly Credits and Debits",1)</f>
        <v>#NAME?</v>
      </c>
    </row>
    <row r="7" ht="12.0" s="40" customFormat="true">
      <c r="A7" s="41" t="n">
        <f>IF(A6&lt;&gt;"",IF(MONTH(A6)=MONTH(A6+1),A6+1,""),"")</f>
        <v>42279.0</v>
      </c>
      <c r="B7" s="42"/>
      <c r="C7" s="43" t="e">
        <f>dsd("Avlease Monthly Opening Ledger",2)</f>
        <v>#NAME?</v>
      </c>
      <c r="D7" s="43" t="e">
        <f>dsd("Avlease Monthly Incoming ACH",2)</f>
        <v>#NAME?</v>
      </c>
      <c r="E7" s="43" t="e">
        <f>dsd("Avlease Monthly Incoming Wire",2)</f>
        <v>#NAME?</v>
      </c>
      <c r="F7" s="43" t="e">
        <f>dsd("Avlease Commercial Deposit",2)</f>
        <v>#NAME?</v>
      </c>
      <c r="G7" s="43" t="e">
        <f>dsd("Avlease Monthly Loan Activity",2)</f>
        <v>#NAME?</v>
      </c>
      <c r="H7" s="43" t="e">
        <f>dsd("Avlease ACH Other",2)</f>
        <v>#NAME?</v>
      </c>
      <c r="I7" s="43" t="e">
        <f>dsd("Avlease ACH TMCW",2)</f>
        <v>#NAME?</v>
      </c>
      <c r="J7" s="44" t="e">
        <f>dsd("Avlease Contract Fuel",2)</f>
        <v>#NAME?</v>
      </c>
      <c r="K7" s="44" t="e">
        <f>dsd("Avlease Credit Cards",2)</f>
        <v>#NAME?</v>
      </c>
      <c r="L7" s="44" t="e">
        <f>dsd("Avlease Freight",2)</f>
        <v>#NAME?</v>
      </c>
      <c r="M7" s="44" t="e">
        <f>dsd("Avlease Tax",2)</f>
        <v>#NAME?</v>
      </c>
      <c r="N7" s="44" t="e">
        <f>dsd("Avlease Fuel Supplier",2)</f>
        <v>#NAME?</v>
      </c>
      <c r="O7" s="44" t="e">
        <f>dsd("Avlease Other",2)</f>
        <v>#NAME?</v>
      </c>
      <c r="P7" s="43" t="e">
        <f>dsd("Avlease Monthly Outgoing Wire",2)</f>
        <v>#NAME?</v>
      </c>
      <c r="Q7" s="43" t="e">
        <f>dsd("Avlease Check Paid",2)</f>
        <v>#NAME?</v>
      </c>
      <c r="R7" s="43" t="e">
        <f>dsd("Avlease Monthly Other",2)</f>
        <v>#NAME?</v>
      </c>
      <c r="S7" s="45" t="e">
        <f>SUM(C7:I7,P7:R7)</f>
        <v>#NULL!</v>
      </c>
      <c r="U7" s="43" t="e">
        <f>dsd("Avlease Monthly Credits and Debits",2)</f>
        <v>#NAME?</v>
      </c>
    </row>
    <row r="8" ht="12.75" s="46" customFormat="true">
      <c r="A8" s="41" t="n">
        <f>IF(A7&lt;&gt;"",IF(MONTH(A7)=MONTH(A7+1),A7+1,""),"")</f>
        <v>42280.0</v>
      </c>
      <c r="B8" s="42"/>
      <c r="C8" s="43" t="e">
        <f>dsd("Avlease Monthly Opening Ledger",3)</f>
        <v>#NAME?</v>
      </c>
      <c r="D8" s="43" t="e">
        <f>dsd("Avlease Monthly Incoming ACH",3)</f>
        <v>#NAME?</v>
      </c>
      <c r="E8" s="43" t="e">
        <f>dsd("Avlease Monthly Incoming Wire",3)</f>
        <v>#NAME?</v>
      </c>
      <c r="F8" s="43" t="e">
        <f>dsd("Avlease Commercial Deposit",3)</f>
        <v>#NAME?</v>
      </c>
      <c r="G8" s="43" t="e">
        <f>dsd("Avlease Monthly Loan Activity",3)</f>
        <v>#NAME?</v>
      </c>
      <c r="H8" s="43" t="e">
        <f>dsd("Avlease ACH Other",3)</f>
        <v>#NAME?</v>
      </c>
      <c r="I8" s="43" t="e">
        <f>dsd("Avlease ACH TMCW",3)</f>
        <v>#NAME?</v>
      </c>
      <c r="J8" s="44" t="e">
        <f>dsd("Avlease Contract Fuel",3)</f>
        <v>#NAME?</v>
      </c>
      <c r="K8" s="44" t="e">
        <f>dsd("Avlease Credit Cards",3)</f>
        <v>#NAME?</v>
      </c>
      <c r="L8" s="44" t="e">
        <f>dsd("Avlease Freight",3)</f>
        <v>#NAME?</v>
      </c>
      <c r="M8" s="44" t="e">
        <f>dsd("Avlease Tax",3)</f>
        <v>#NAME?</v>
      </c>
      <c r="N8" s="44" t="e">
        <f>dsd("Avlease Fuel Supplier",3)</f>
        <v>#NAME?</v>
      </c>
      <c r="O8" s="44" t="e">
        <f>dsd("Avlease Other",3)</f>
        <v>#NAME?</v>
      </c>
      <c r="P8" s="43" t="e">
        <f>dsd("Avlease Monthly Outgoing Wire",3)</f>
        <v>#NAME?</v>
      </c>
      <c r="Q8" s="43" t="e">
        <f>dsd("Avlease Check Paid",3)</f>
        <v>#NAME?</v>
      </c>
      <c r="R8" s="43" t="e">
        <f>dsd("Avlease Monthly Other",3)</f>
        <v>#NAME?</v>
      </c>
      <c r="S8" s="45" t="e">
        <f>SUM(C8:I8,P8:R8)</f>
        <v>#NULL!</v>
      </c>
      <c r="U8" s="43" t="e">
        <f>dsd("Avlease Monthly Credits and Debits",3)</f>
        <v>#NAME?</v>
      </c>
    </row>
    <row r="9" ht="12.75" s="46" customFormat="true">
      <c r="A9" s="41" t="n">
        <f>IF(A8&lt;&gt;"",IF(MONTH(A8)=MONTH(A8+1),A8+1,""),"")</f>
        <v>42281.0</v>
      </c>
      <c r="B9" s="42"/>
      <c r="C9" s="43" t="e">
        <f>dsd("Avlease Monthly Opening Ledger",4)</f>
        <v>#NAME?</v>
      </c>
      <c r="D9" s="43" t="e">
        <f>dsd("Avlease Monthly Incoming ACH",4)</f>
        <v>#NAME?</v>
      </c>
      <c r="E9" s="43" t="e">
        <f>dsd("Avlease Monthly Incoming Wire",4)</f>
        <v>#NAME?</v>
      </c>
      <c r="F9" s="43" t="e">
        <f>dsd("Avlease Commercial Deposit",4)</f>
        <v>#NAME?</v>
      </c>
      <c r="G9" s="43" t="e">
        <f>dsd("Avlease Monthly Loan Activity",4)</f>
        <v>#NAME?</v>
      </c>
      <c r="H9" s="43" t="e">
        <f>dsd("Avlease ACH Other",4)</f>
        <v>#NAME?</v>
      </c>
      <c r="I9" s="43" t="e">
        <f>dsd("Avlease ACH TMCW",4)</f>
        <v>#NAME?</v>
      </c>
      <c r="J9" s="44" t="e">
        <f>dsd("Avlease Contract Fuel",4)</f>
        <v>#NAME?</v>
      </c>
      <c r="K9" s="44" t="e">
        <f>dsd("Avlease Credit Cards",4)</f>
        <v>#NAME?</v>
      </c>
      <c r="L9" s="44" t="e">
        <f>dsd("Avlease Freight",4)</f>
        <v>#NAME?</v>
      </c>
      <c r="M9" s="44" t="e">
        <f>dsd("Avlease Tax",4)</f>
        <v>#NAME?</v>
      </c>
      <c r="N9" s="44" t="e">
        <f>dsd("Avlease Fuel Supplier",4)</f>
        <v>#NAME?</v>
      </c>
      <c r="O9" s="44" t="e">
        <f>dsd("Avlease Other",4)</f>
        <v>#NAME?</v>
      </c>
      <c r="P9" s="43" t="e">
        <f>dsd("Avlease Monthly Outgoing Wire",4)</f>
        <v>#NAME?</v>
      </c>
      <c r="Q9" s="43" t="e">
        <f>dsd("Avlease Check Paid",4)</f>
        <v>#NAME?</v>
      </c>
      <c r="R9" s="43" t="e">
        <f>dsd("Avlease Monthly Other",4)</f>
        <v>#NAME?</v>
      </c>
      <c r="S9" s="45" t="e">
        <f>SUM(C9:I9,P9:R9)</f>
        <v>#NULL!</v>
      </c>
      <c r="U9" s="43" t="e">
        <f>dsd("Avlease Monthly Credits and Debits",4)</f>
        <v>#NAME?</v>
      </c>
    </row>
    <row r="10" ht="12.75" s="46" customFormat="true">
      <c r="A10" s="41" t="n">
        <f>IF(A9&lt;&gt;"",IF(MONTH(A9)=MONTH(A9+1),A9+1,""),"")</f>
        <v>42282.0</v>
      </c>
      <c r="B10" s="42"/>
      <c r="C10" s="43" t="e">
        <f>dsd("Avlease Monthly Opening Ledger",5)</f>
        <v>#NAME?</v>
      </c>
      <c r="D10" s="43" t="e">
        <f>dsd("Avlease Monthly Incoming ACH",5)</f>
        <v>#NAME?</v>
      </c>
      <c r="E10" s="43" t="e">
        <f>dsd("Avlease Monthly Incoming Wire",5)</f>
        <v>#NAME?</v>
      </c>
      <c r="F10" s="43" t="e">
        <f>dsd("Avlease Commercial Deposit",5)</f>
        <v>#NAME?</v>
      </c>
      <c r="G10" s="43" t="e">
        <f>dsd("Avlease Monthly Loan Activity",5)</f>
        <v>#NAME?</v>
      </c>
      <c r="H10" s="43" t="e">
        <f>dsd("Avlease ACH Other",5)</f>
        <v>#NAME?</v>
      </c>
      <c r="I10" s="43" t="e">
        <f>dsd("Avlease ACH TMCW",5)</f>
        <v>#NAME?</v>
      </c>
      <c r="J10" s="44" t="e">
        <f>dsd("Avlease Contract Fuel",5)</f>
        <v>#NAME?</v>
      </c>
      <c r="K10" s="44" t="e">
        <f>dsd("Avlease Credit Cards",5)</f>
        <v>#NAME?</v>
      </c>
      <c r="L10" s="44" t="e">
        <f>dsd("Avlease Freight",5)</f>
        <v>#NAME?</v>
      </c>
      <c r="M10" s="44" t="e">
        <f>dsd("Avlease Tax",5)</f>
        <v>#NAME?</v>
      </c>
      <c r="N10" s="44" t="e">
        <f>dsd("Avlease Fuel Supplier",5)</f>
        <v>#NAME?</v>
      </c>
      <c r="O10" s="44" t="e">
        <f>dsd("Avlease Other",5)</f>
        <v>#NAME?</v>
      </c>
      <c r="P10" s="43" t="e">
        <f>dsd("Avlease Monthly Outgoing Wire",5)</f>
        <v>#NAME?</v>
      </c>
      <c r="Q10" s="43" t="e">
        <f>dsd("Avlease Check Paid",5)</f>
        <v>#NAME?</v>
      </c>
      <c r="R10" s="43" t="e">
        <f>dsd("Avlease Monthly Other",5)</f>
        <v>#NAME?</v>
      </c>
      <c r="S10" s="45" t="e">
        <f>SUM(C10:I10,P10:R10)</f>
        <v>#NULL!</v>
      </c>
      <c r="U10" s="43" t="e">
        <f>dsd("Avlease Monthly Credits and Debits",5)</f>
        <v>#NAME?</v>
      </c>
    </row>
    <row r="11" ht="12.75" s="46" customFormat="true">
      <c r="A11" s="41" t="n">
        <f>IF(A10&lt;&gt;"",IF(MONTH(A10)=MONTH(A10+1),A10+1,""),"")</f>
        <v>42283.0</v>
      </c>
      <c r="B11" s="42"/>
      <c r="C11" s="43" t="e">
        <f>dsd("Avlease Monthly Opening Ledger",6)</f>
        <v>#NAME?</v>
      </c>
      <c r="D11" s="43" t="e">
        <f>dsd("Avlease Monthly Incoming ACH",6)</f>
        <v>#NAME?</v>
      </c>
      <c r="E11" s="43" t="e">
        <f>dsd("Avlease Monthly Incoming Wire",6)</f>
        <v>#NAME?</v>
      </c>
      <c r="F11" s="43" t="e">
        <f>dsd("Avlease Commercial Deposit",6)</f>
        <v>#NAME?</v>
      </c>
      <c r="G11" s="43" t="e">
        <f>dsd("Avlease Monthly Loan Activity",6)</f>
        <v>#NAME?</v>
      </c>
      <c r="H11" s="43" t="e">
        <f>dsd("Avlease ACH Other",6)</f>
        <v>#NAME?</v>
      </c>
      <c r="I11" s="43" t="e">
        <f>dsd("Avlease ACH TMCW",6)</f>
        <v>#NAME?</v>
      </c>
      <c r="J11" s="44" t="e">
        <f>dsd("Avlease Contract Fuel",6)</f>
        <v>#NAME?</v>
      </c>
      <c r="K11" s="44" t="e">
        <f>dsd("Avlease Credit Cards",6)</f>
        <v>#NAME?</v>
      </c>
      <c r="L11" s="44" t="e">
        <f>dsd("Avlease Freight",6)</f>
        <v>#NAME?</v>
      </c>
      <c r="M11" s="44" t="e">
        <f>dsd("Avlease Tax",6)</f>
        <v>#NAME?</v>
      </c>
      <c r="N11" s="44" t="e">
        <f>dsd("Avlease Fuel Supplier",6)</f>
        <v>#NAME?</v>
      </c>
      <c r="O11" s="44" t="e">
        <f>dsd("Avlease Other",6)</f>
        <v>#NAME?</v>
      </c>
      <c r="P11" s="43" t="e">
        <f>dsd("Avlease Monthly Outgoing Wire",6)</f>
        <v>#NAME?</v>
      </c>
      <c r="Q11" s="43" t="e">
        <f>dsd("Avlease Check Paid",6)</f>
        <v>#NAME?</v>
      </c>
      <c r="R11" s="43" t="e">
        <f>dsd("Avlease Monthly Other",6)</f>
        <v>#NAME?</v>
      </c>
      <c r="S11" s="45" t="e">
        <f>SUM(C11:I11,P11:R11)</f>
        <v>#NULL!</v>
      </c>
      <c r="U11" s="43" t="e">
        <f>dsd("Avlease Monthly Credits and Debits",6)</f>
        <v>#NAME?</v>
      </c>
    </row>
    <row r="12" ht="12.75" s="46" customFormat="true">
      <c r="A12" s="41" t="n">
        <f>IF(A11&lt;&gt;"",IF(MONTH(A11)=MONTH(A11+1),A11+1,""),"")</f>
        <v>42284.0</v>
      </c>
      <c r="B12" s="42"/>
      <c r="C12" s="43" t="e">
        <f>dsd("Avlease Monthly Opening Ledger",7)</f>
        <v>#NAME?</v>
      </c>
      <c r="D12" s="43" t="e">
        <f>dsd("Avlease Monthly Incoming ACH",7)</f>
        <v>#NAME?</v>
      </c>
      <c r="E12" s="43" t="e">
        <f>dsd("Avlease Monthly Incoming Wire",7)</f>
        <v>#NAME?</v>
      </c>
      <c r="F12" s="43" t="e">
        <f>dsd("Avlease Commercial Deposit",7)</f>
        <v>#NAME?</v>
      </c>
      <c r="G12" s="43" t="e">
        <f>dsd("Avlease Monthly Loan Activity",7)</f>
        <v>#NAME?</v>
      </c>
      <c r="H12" s="43" t="e">
        <f>dsd("Avlease ACH Other",7)</f>
        <v>#NAME?</v>
      </c>
      <c r="I12" s="43" t="e">
        <f>dsd("Avlease ACH TMCW",7)</f>
        <v>#NAME?</v>
      </c>
      <c r="J12" s="44" t="e">
        <f>dsd("Avlease Contract Fuel",7)</f>
        <v>#NAME?</v>
      </c>
      <c r="K12" s="44" t="e">
        <f>dsd("Avlease Credit Cards",7)</f>
        <v>#NAME?</v>
      </c>
      <c r="L12" s="44" t="e">
        <f>dsd("Avlease Freight",7)</f>
        <v>#NAME?</v>
      </c>
      <c r="M12" s="44" t="e">
        <f>dsd("Avlease Tax",7)</f>
        <v>#NAME?</v>
      </c>
      <c r="N12" s="44" t="e">
        <f>dsd("Avlease Fuel Supplier",7)</f>
        <v>#NAME?</v>
      </c>
      <c r="O12" s="44" t="e">
        <f>dsd("Avlease Other",7)</f>
        <v>#NAME?</v>
      </c>
      <c r="P12" s="43" t="e">
        <f>dsd("Avlease Monthly Outgoing Wire",7)</f>
        <v>#NAME?</v>
      </c>
      <c r="Q12" s="43" t="e">
        <f>dsd("Avlease Check Paid",7)</f>
        <v>#NAME?</v>
      </c>
      <c r="R12" s="43" t="e">
        <f>dsd("Avlease Monthly Other",7)</f>
        <v>#NAME?</v>
      </c>
      <c r="S12" s="45" t="e">
        <f>SUM(C12:I12,P12:R12)</f>
        <v>#NULL!</v>
      </c>
      <c r="U12" s="43" t="e">
        <f>dsd("Avlease Monthly Credits and Debits",7)</f>
        <v>#NAME?</v>
      </c>
    </row>
    <row r="13" ht="12.75" s="46" customFormat="true">
      <c r="A13" s="41" t="n">
        <f>IF(A12&lt;&gt;"",IF(MONTH(A12)=MONTH(A12+1),A12+1,""),"")</f>
        <v>42285.0</v>
      </c>
      <c r="B13" s="42"/>
      <c r="C13" s="43" t="e">
        <f>dsd("Avlease Monthly Opening Ledger",8)</f>
        <v>#NAME?</v>
      </c>
      <c r="D13" s="43" t="e">
        <f>dsd("Avlease Monthly Incoming ACH",8)</f>
        <v>#NAME?</v>
      </c>
      <c r="E13" s="43" t="e">
        <f>dsd("Avlease Monthly Incoming Wire",8)</f>
        <v>#NAME?</v>
      </c>
      <c r="F13" s="43" t="e">
        <f>dsd("Avlease Commercial Deposit",8)</f>
        <v>#NAME?</v>
      </c>
      <c r="G13" s="43" t="e">
        <f>dsd("Avlease Monthly Loan Activity",8)</f>
        <v>#NAME?</v>
      </c>
      <c r="H13" s="43" t="e">
        <f>dsd("Avlease ACH Other",8)</f>
        <v>#NAME?</v>
      </c>
      <c r="I13" s="43" t="e">
        <f>dsd("Avlease ACH TMCW",8)</f>
        <v>#NAME?</v>
      </c>
      <c r="J13" s="44" t="e">
        <f>dsd("Avlease Contract Fuel",8)</f>
        <v>#NAME?</v>
      </c>
      <c r="K13" s="44" t="e">
        <f>dsd("Avlease Credit Cards",8)</f>
        <v>#NAME?</v>
      </c>
      <c r="L13" s="44" t="e">
        <f>dsd("Avlease Freight",8)</f>
        <v>#NAME?</v>
      </c>
      <c r="M13" s="44" t="e">
        <f>dsd("Avlease Tax",8)</f>
        <v>#NAME?</v>
      </c>
      <c r="N13" s="44" t="e">
        <f>dsd("Avlease Fuel Supplier",8)</f>
        <v>#NAME?</v>
      </c>
      <c r="O13" s="44" t="e">
        <f>dsd("Avlease Other",8)</f>
        <v>#NAME?</v>
      </c>
      <c r="P13" s="43" t="e">
        <f>dsd("Avlease Monthly Outgoing Wire",8)</f>
        <v>#NAME?</v>
      </c>
      <c r="Q13" s="43" t="e">
        <f>dsd("Avlease Check Paid",8)</f>
        <v>#NAME?</v>
      </c>
      <c r="R13" s="43" t="e">
        <f>dsd("Avlease Monthly Other",8)</f>
        <v>#NAME?</v>
      </c>
      <c r="S13" s="45" t="e">
        <f>SUM(C13:I13,P13:R13)</f>
        <v>#NULL!</v>
      </c>
      <c r="U13" s="43" t="e">
        <f>dsd("Avlease Monthly Credits and Debits",8)</f>
        <v>#NAME?</v>
      </c>
    </row>
    <row r="14" ht="12.75" s="46" customFormat="true">
      <c r="A14" s="41" t="n">
        <f>IF(A13&lt;&gt;"",IF(MONTH(A13)=MONTH(A13+1),A13+1,""),"")</f>
        <v>42286.0</v>
      </c>
      <c r="B14" s="42"/>
      <c r="C14" s="43" t="e">
        <f>dsd("Avlease Monthly Opening Ledger",9)</f>
        <v>#NAME?</v>
      </c>
      <c r="D14" s="43" t="e">
        <f>dsd("Avlease Monthly Incoming ACH",9)</f>
        <v>#NAME?</v>
      </c>
      <c r="E14" s="43" t="e">
        <f>dsd("Avlease Monthly Incoming Wire",9)</f>
        <v>#NAME?</v>
      </c>
      <c r="F14" s="43" t="e">
        <f>dsd("Avlease Commercial Deposit",9)</f>
        <v>#NAME?</v>
      </c>
      <c r="G14" s="43" t="e">
        <f>dsd("Avlease Monthly Loan Activity",9)</f>
        <v>#NAME?</v>
      </c>
      <c r="H14" s="43" t="e">
        <f>dsd("Avlease ACH Other",9)</f>
        <v>#NAME?</v>
      </c>
      <c r="I14" s="43" t="e">
        <f>dsd("Avlease ACH TMCW",9)</f>
        <v>#NAME?</v>
      </c>
      <c r="J14" s="44" t="e">
        <f>dsd("Avlease Contract Fuel",9)</f>
        <v>#NAME?</v>
      </c>
      <c r="K14" s="44" t="e">
        <f>dsd("Avlease Credit Cards",9)</f>
        <v>#NAME?</v>
      </c>
      <c r="L14" s="44" t="e">
        <f>dsd("Avlease Freight",9)</f>
        <v>#NAME?</v>
      </c>
      <c r="M14" s="44" t="e">
        <f>dsd("Avlease Tax",9)</f>
        <v>#NAME?</v>
      </c>
      <c r="N14" s="44" t="e">
        <f>dsd("Avlease Fuel Supplier",9)</f>
        <v>#NAME?</v>
      </c>
      <c r="O14" s="44" t="e">
        <f>dsd("Avlease Other",9)</f>
        <v>#NAME?</v>
      </c>
      <c r="P14" s="43" t="e">
        <f>dsd("Avlease Monthly Outgoing Wire",9)</f>
        <v>#NAME?</v>
      </c>
      <c r="Q14" s="43" t="e">
        <f>dsd("Avlease Check Paid",9)</f>
        <v>#NAME?</v>
      </c>
      <c r="R14" s="43" t="e">
        <f>dsd("Avlease Monthly Other",9)</f>
        <v>#NAME?</v>
      </c>
      <c r="S14" s="45" t="e">
        <f>SUM(C14:I14,P14:R14)</f>
        <v>#NULL!</v>
      </c>
      <c r="U14" s="43" t="e">
        <f>dsd("Avlease Monthly Credits and Debits",9)</f>
        <v>#NAME?</v>
      </c>
    </row>
    <row r="15" ht="12.75" s="46" customFormat="true">
      <c r="A15" s="41" t="n">
        <f>IF(A14&lt;&gt;"",IF(MONTH(A14)=MONTH(A14+1),A14+1,""),"")</f>
        <v>42287.0</v>
      </c>
      <c r="B15" s="42"/>
      <c r="C15" s="43" t="e">
        <f>dsd("Avlease Monthly Opening Ledger",10)</f>
        <v>#NAME?</v>
      </c>
      <c r="D15" s="43" t="e">
        <f>dsd("Avlease Monthly Incoming ACH",10)</f>
        <v>#NAME?</v>
      </c>
      <c r="E15" s="43" t="e">
        <f>dsd("Avlease Monthly Incoming Wire",10)</f>
        <v>#NAME?</v>
      </c>
      <c r="F15" s="43" t="e">
        <f>dsd("Avlease Commercial Deposit",10)</f>
        <v>#NAME?</v>
      </c>
      <c r="G15" s="43" t="e">
        <f>dsd("Avlease Monthly Loan Activity",10)</f>
        <v>#NAME?</v>
      </c>
      <c r="H15" s="43" t="e">
        <f>dsd("Avlease ACH Other",10)</f>
        <v>#NAME?</v>
      </c>
      <c r="I15" s="43" t="e">
        <f>dsd("Avlease ACH TMCW",10)</f>
        <v>#NAME?</v>
      </c>
      <c r="J15" s="44" t="e">
        <f>dsd("Avlease Contract Fuel",10)</f>
        <v>#NAME?</v>
      </c>
      <c r="K15" s="44" t="e">
        <f>dsd("Avlease Credit Cards",10)</f>
        <v>#NAME?</v>
      </c>
      <c r="L15" s="44" t="e">
        <f>dsd("Avlease Freight",10)</f>
        <v>#NAME?</v>
      </c>
      <c r="M15" s="44" t="e">
        <f>dsd("Avlease Tax",10)</f>
        <v>#NAME?</v>
      </c>
      <c r="N15" s="44" t="e">
        <f>dsd("Avlease Fuel Supplier",10)</f>
        <v>#NAME?</v>
      </c>
      <c r="O15" s="44" t="e">
        <f>dsd("Avlease Other",10)</f>
        <v>#NAME?</v>
      </c>
      <c r="P15" s="43" t="e">
        <f>dsd("Avlease Monthly Outgoing Wire",10)</f>
        <v>#NAME?</v>
      </c>
      <c r="Q15" s="43" t="e">
        <f>dsd("Avlease Check Paid",10)</f>
        <v>#NAME?</v>
      </c>
      <c r="R15" s="43" t="e">
        <f>dsd("Avlease Monthly Other",10)</f>
        <v>#NAME?</v>
      </c>
      <c r="S15" s="45" t="e">
        <f>SUM(C15:I15,P15:R15)</f>
        <v>#NULL!</v>
      </c>
      <c r="U15" s="43" t="e">
        <f>dsd("Avlease Monthly Credits and Debits",10)</f>
        <v>#NAME?</v>
      </c>
    </row>
    <row r="16" ht="12.75" s="46" customFormat="true">
      <c r="A16" s="41" t="n">
        <f>IF(A15&lt;&gt;"",IF(MONTH(A15)=MONTH(A15+1),A15+1,""),"")</f>
        <v>42288.0</v>
      </c>
      <c r="B16" s="42"/>
      <c r="C16" s="43" t="e">
        <f>dsd("Avlease Monthly Opening Ledger",11)</f>
        <v>#NAME?</v>
      </c>
      <c r="D16" s="43" t="e">
        <f>dsd("Avlease Monthly Incoming ACH",11)</f>
        <v>#NAME?</v>
      </c>
      <c r="E16" s="43" t="e">
        <f>dsd("Avlease Monthly Incoming Wire",11)</f>
        <v>#NAME?</v>
      </c>
      <c r="F16" s="43" t="e">
        <f>dsd("Avlease Commercial Deposit",11)</f>
        <v>#NAME?</v>
      </c>
      <c r="G16" s="43" t="e">
        <f>dsd("Avlease Monthly Loan Activity",11)</f>
        <v>#NAME?</v>
      </c>
      <c r="H16" s="43" t="e">
        <f>dsd("Avlease ACH Other",11)</f>
        <v>#NAME?</v>
      </c>
      <c r="I16" s="43" t="e">
        <f>dsd("Avlease ACH TMCW",11)</f>
        <v>#NAME?</v>
      </c>
      <c r="J16" s="44" t="e">
        <f>dsd("Avlease Contract Fuel",11)</f>
        <v>#NAME?</v>
      </c>
      <c r="K16" s="44" t="e">
        <f>dsd("Avlease Credit Cards",11)</f>
        <v>#NAME?</v>
      </c>
      <c r="L16" s="44" t="e">
        <f>dsd("Avlease Freight",11)</f>
        <v>#NAME?</v>
      </c>
      <c r="M16" s="44" t="e">
        <f>dsd("Avlease Tax",11)</f>
        <v>#NAME?</v>
      </c>
      <c r="N16" s="44" t="e">
        <f>dsd("Avlease Fuel Supplier",11)</f>
        <v>#NAME?</v>
      </c>
      <c r="O16" s="44" t="e">
        <f>dsd("Avlease Other",11)</f>
        <v>#NAME?</v>
      </c>
      <c r="P16" s="43" t="e">
        <f>dsd("Avlease Monthly Outgoing Wire",11)</f>
        <v>#NAME?</v>
      </c>
      <c r="Q16" s="43" t="e">
        <f>dsd("Avlease Check Paid",11)</f>
        <v>#NAME?</v>
      </c>
      <c r="R16" s="43" t="e">
        <f>dsd("Avlease Monthly Other",11)</f>
        <v>#NAME?</v>
      </c>
      <c r="S16" s="45" t="e">
        <f>SUM(C16:I16,P16:R16)</f>
        <v>#NULL!</v>
      </c>
      <c r="U16" s="43" t="e">
        <f>dsd("Avlease Monthly Credits and Debits",11)</f>
        <v>#NAME?</v>
      </c>
    </row>
    <row r="17" ht="12.75" s="46" customFormat="true">
      <c r="A17" s="41" t="n">
        <f>IF(A16&lt;&gt;"",IF(MONTH(A16)=MONTH(A16+1),A16+1,""),"")</f>
        <v>42289.0</v>
      </c>
      <c r="B17" s="42"/>
      <c r="C17" s="43" t="e">
        <f>dsd("Avlease Monthly Opening Ledger",12)</f>
        <v>#NAME?</v>
      </c>
      <c r="D17" s="43" t="e">
        <f>dsd("Avlease Monthly Incoming ACH",12)</f>
        <v>#NAME?</v>
      </c>
      <c r="E17" s="43" t="e">
        <f>dsd("Avlease Monthly Incoming Wire",12)</f>
        <v>#NAME?</v>
      </c>
      <c r="F17" s="43" t="e">
        <f>dsd("Avlease Commercial Deposit",12)</f>
        <v>#NAME?</v>
      </c>
      <c r="G17" s="43" t="e">
        <f>dsd("Avlease Monthly Loan Activity",12)</f>
        <v>#NAME?</v>
      </c>
      <c r="H17" s="43" t="e">
        <f>dsd("Avlease ACH Other",12)</f>
        <v>#NAME?</v>
      </c>
      <c r="I17" s="43" t="e">
        <f>dsd("Avlease ACH TMCW",12)</f>
        <v>#NAME?</v>
      </c>
      <c r="J17" s="44" t="e">
        <f>dsd("Avlease Contract Fuel",12)</f>
        <v>#NAME?</v>
      </c>
      <c r="K17" s="44" t="e">
        <f>dsd("Avlease Credit Cards",12)</f>
        <v>#NAME?</v>
      </c>
      <c r="L17" s="44" t="e">
        <f>dsd("Avlease Freight",12)</f>
        <v>#NAME?</v>
      </c>
      <c r="M17" s="44" t="e">
        <f>dsd("Avlease Tax",12)</f>
        <v>#NAME?</v>
      </c>
      <c r="N17" s="44" t="e">
        <f>dsd("Avlease Fuel Supplier",12)</f>
        <v>#NAME?</v>
      </c>
      <c r="O17" s="44" t="e">
        <f>dsd("Avlease Other",12)</f>
        <v>#NAME?</v>
      </c>
      <c r="P17" s="43" t="e">
        <f>dsd("Avlease Monthly Outgoing Wire",12)</f>
        <v>#NAME?</v>
      </c>
      <c r="Q17" s="43" t="e">
        <f>dsd("Avlease Check Paid",12)</f>
        <v>#NAME?</v>
      </c>
      <c r="R17" s="43" t="e">
        <f>dsd("Avlease Monthly Other",12)</f>
        <v>#NAME?</v>
      </c>
      <c r="S17" s="45" t="e">
        <f>SUM(C17:I17,P17:R17)</f>
        <v>#NULL!</v>
      </c>
      <c r="U17" s="43" t="e">
        <f>dsd("Avlease Monthly Credits and Debits",12)</f>
        <v>#NAME?</v>
      </c>
    </row>
    <row r="18" ht="12.75" s="46" customFormat="true">
      <c r="A18" s="41" t="n">
        <f>IF(A17&lt;&gt;"",IF(MONTH(A17)=MONTH(A17+1),A17+1,""),"")</f>
        <v>42290.0</v>
      </c>
      <c r="B18" s="42"/>
      <c r="C18" s="43" t="e">
        <f>dsd("Avlease Monthly Opening Ledger",13)</f>
        <v>#NAME?</v>
      </c>
      <c r="D18" s="43" t="e">
        <f>dsd("Avlease Monthly Incoming ACH",13)</f>
        <v>#NAME?</v>
      </c>
      <c r="E18" s="43" t="e">
        <f>dsd("Avlease Monthly Incoming Wire",13)</f>
        <v>#NAME?</v>
      </c>
      <c r="F18" s="43" t="e">
        <f>dsd("Avlease Commercial Deposit",13)</f>
        <v>#NAME?</v>
      </c>
      <c r="G18" s="43" t="e">
        <f>dsd("Avlease Monthly Loan Activity",13)</f>
        <v>#NAME?</v>
      </c>
      <c r="H18" s="43" t="e">
        <f>dsd("Avlease ACH Other",13)</f>
        <v>#NAME?</v>
      </c>
      <c r="I18" s="43" t="e">
        <f>dsd("Avlease ACH TMCW",13)</f>
        <v>#NAME?</v>
      </c>
      <c r="J18" s="44" t="e">
        <f>dsd("Avlease Contract Fuel",13)</f>
        <v>#NAME?</v>
      </c>
      <c r="K18" s="44" t="e">
        <f>dsd("Avlease Credit Cards",13)</f>
        <v>#NAME?</v>
      </c>
      <c r="L18" s="44" t="e">
        <f>dsd("Avlease Freight",13)</f>
        <v>#NAME?</v>
      </c>
      <c r="M18" s="44" t="e">
        <f>dsd("Avlease Tax",13)</f>
        <v>#NAME?</v>
      </c>
      <c r="N18" s="44" t="e">
        <f>dsd("Avlease Fuel Supplier",13)</f>
        <v>#NAME?</v>
      </c>
      <c r="O18" s="44" t="e">
        <f>dsd("Avlease Other",13)</f>
        <v>#NAME?</v>
      </c>
      <c r="P18" s="43" t="e">
        <f>dsd("Avlease Monthly Outgoing Wire",13)</f>
        <v>#NAME?</v>
      </c>
      <c r="Q18" s="43" t="e">
        <f>dsd("Avlease Check Paid",13)</f>
        <v>#NAME?</v>
      </c>
      <c r="R18" s="43" t="e">
        <f>dsd("Avlease Monthly Other",13)</f>
        <v>#NAME?</v>
      </c>
      <c r="S18" s="45" t="e">
        <f>SUM(C18:I18,P18:R18)</f>
        <v>#NULL!</v>
      </c>
      <c r="U18" s="43" t="e">
        <f>dsd("Avlease Monthly Credits and Debits",13)</f>
        <v>#NAME?</v>
      </c>
    </row>
    <row r="19" ht="12.75" s="46" customFormat="true">
      <c r="A19" s="41" t="n">
        <f>IF(A18&lt;&gt;"",IF(MONTH(A18)=MONTH(A18+1),A18+1,""),"")</f>
        <v>42291.0</v>
      </c>
      <c r="B19" s="42"/>
      <c r="C19" s="43" t="e">
        <f>dsd("Avlease Monthly Opening Ledger",14)</f>
        <v>#NAME?</v>
      </c>
      <c r="D19" s="43" t="e">
        <f>dsd("Avlease Monthly Incoming ACH",14)</f>
        <v>#NAME?</v>
      </c>
      <c r="E19" s="43" t="e">
        <f>dsd("Avlease Monthly Incoming Wire",14)</f>
        <v>#NAME?</v>
      </c>
      <c r="F19" s="43" t="e">
        <f>dsd("Avlease Commercial Deposit",14)</f>
        <v>#NAME?</v>
      </c>
      <c r="G19" s="43" t="e">
        <f>dsd("Avlease Monthly Loan Activity",14)</f>
        <v>#NAME?</v>
      </c>
      <c r="H19" s="43" t="e">
        <f>dsd("Avlease ACH Other",14)</f>
        <v>#NAME?</v>
      </c>
      <c r="I19" s="43" t="e">
        <f>dsd("Avlease ACH TMCW",14)</f>
        <v>#NAME?</v>
      </c>
      <c r="J19" s="44" t="e">
        <f>dsd("Avlease Contract Fuel",14)</f>
        <v>#NAME?</v>
      </c>
      <c r="K19" s="44" t="e">
        <f>dsd("Avlease Credit Cards",14)</f>
        <v>#NAME?</v>
      </c>
      <c r="L19" s="44" t="e">
        <f>dsd("Avlease Freight",14)</f>
        <v>#NAME?</v>
      </c>
      <c r="M19" s="44" t="e">
        <f>dsd("Avlease Tax",14)</f>
        <v>#NAME?</v>
      </c>
      <c r="N19" s="44" t="e">
        <f>dsd("Avlease Fuel Supplier",14)</f>
        <v>#NAME?</v>
      </c>
      <c r="O19" s="44" t="e">
        <f>dsd("Avlease Other",14)</f>
        <v>#NAME?</v>
      </c>
      <c r="P19" s="43" t="e">
        <f>dsd("Avlease Monthly Outgoing Wire",14)</f>
        <v>#NAME?</v>
      </c>
      <c r="Q19" s="43" t="e">
        <f>dsd("Avlease Check Paid",14)</f>
        <v>#NAME?</v>
      </c>
      <c r="R19" s="43" t="e">
        <f>dsd("Avlease Monthly Other",14)</f>
        <v>#NAME?</v>
      </c>
      <c r="S19" s="45" t="e">
        <f>SUM(C19:I19,P19:R19)</f>
        <v>#NULL!</v>
      </c>
      <c r="U19" s="43" t="e">
        <f>dsd("Avlease Monthly Credits and Debits",14)</f>
        <v>#NAME?</v>
      </c>
    </row>
    <row r="20" ht="12.75" s="46" customFormat="true">
      <c r="A20" s="41" t="n">
        <f>IF(A19&lt;&gt;"",IF(MONTH(A19)=MONTH(A19+1),A19+1,""),"")</f>
        <v>42292.0</v>
      </c>
      <c r="B20" s="42"/>
      <c r="C20" s="43" t="e">
        <f>dsd("Avlease Monthly Opening Ledger",15)</f>
        <v>#NAME?</v>
      </c>
      <c r="D20" s="43" t="e">
        <f>dsd("Avlease Monthly Incoming ACH",15)</f>
        <v>#NAME?</v>
      </c>
      <c r="E20" s="43" t="e">
        <f>dsd("Avlease Monthly Incoming Wire",15)</f>
        <v>#NAME?</v>
      </c>
      <c r="F20" s="43" t="e">
        <f>dsd("Avlease Commercial Deposit",15)</f>
        <v>#NAME?</v>
      </c>
      <c r="G20" s="43" t="e">
        <f>dsd("Avlease Monthly Loan Activity",15)</f>
        <v>#NAME?</v>
      </c>
      <c r="H20" s="43" t="e">
        <f>dsd("Avlease ACH Other",15)</f>
        <v>#NAME?</v>
      </c>
      <c r="I20" s="43" t="e">
        <f>dsd("Avlease ACH TMCW",15)</f>
        <v>#NAME?</v>
      </c>
      <c r="J20" s="44" t="e">
        <f>dsd("Avlease Contract Fuel",15)</f>
        <v>#NAME?</v>
      </c>
      <c r="K20" s="44" t="e">
        <f>dsd("Avlease Credit Cards",15)</f>
        <v>#NAME?</v>
      </c>
      <c r="L20" s="44" t="e">
        <f>dsd("Avlease Freight",15)</f>
        <v>#NAME?</v>
      </c>
      <c r="M20" s="44" t="e">
        <f>dsd("Avlease Tax",15)</f>
        <v>#NAME?</v>
      </c>
      <c r="N20" s="44" t="e">
        <f>dsd("Avlease Fuel Supplier",15)</f>
        <v>#NAME?</v>
      </c>
      <c r="O20" s="44" t="e">
        <f>dsd("Avlease Other",15)</f>
        <v>#NAME?</v>
      </c>
      <c r="P20" s="43" t="e">
        <f>dsd("Avlease Monthly Outgoing Wire",15)</f>
        <v>#NAME?</v>
      </c>
      <c r="Q20" s="43" t="e">
        <f>dsd("Avlease Check Paid",15)</f>
        <v>#NAME?</v>
      </c>
      <c r="R20" s="43" t="e">
        <f>dsd("Avlease Monthly Other",15)</f>
        <v>#NAME?</v>
      </c>
      <c r="S20" s="45" t="e">
        <f>SUM(C20:I20,P20:R20)</f>
        <v>#NULL!</v>
      </c>
      <c r="U20" s="43" t="e">
        <f>dsd("Avlease Monthly Credits and Debits",15)</f>
        <v>#NAME?</v>
      </c>
    </row>
    <row r="21" ht="12.75" s="46" customFormat="true">
      <c r="A21" s="41" t="n">
        <f>IF(A20&lt;&gt;"",IF(MONTH(A20)=MONTH(A20+1),A20+1,""),"")</f>
        <v>42293.0</v>
      </c>
      <c r="B21" s="42"/>
      <c r="C21" s="43" t="e">
        <f>dsd("Avlease Monthly Opening Ledger",16)</f>
        <v>#NAME?</v>
      </c>
      <c r="D21" s="43" t="e">
        <f>dsd("Avlease Monthly Incoming ACH",16)</f>
        <v>#NAME?</v>
      </c>
      <c r="E21" s="43" t="e">
        <f>dsd("Avlease Monthly Incoming Wire",16)</f>
        <v>#NAME?</v>
      </c>
      <c r="F21" s="43" t="e">
        <f>dsd("Avlease Commercial Deposit",16)</f>
        <v>#NAME?</v>
      </c>
      <c r="G21" s="43" t="e">
        <f>dsd("Avlease Monthly Loan Activity",16)</f>
        <v>#NAME?</v>
      </c>
      <c r="H21" s="43" t="e">
        <f>dsd("Avlease ACH Other",16)</f>
        <v>#NAME?</v>
      </c>
      <c r="I21" s="43" t="e">
        <f>dsd("Avlease ACH TMCW",16)</f>
        <v>#NAME?</v>
      </c>
      <c r="J21" s="44" t="e">
        <f>dsd("Avlease Contract Fuel",16)</f>
        <v>#NAME?</v>
      </c>
      <c r="K21" s="44" t="e">
        <f>dsd("Avlease Credit Cards",16)</f>
        <v>#NAME?</v>
      </c>
      <c r="L21" s="44" t="e">
        <f>dsd("Avlease Freight",16)</f>
        <v>#NAME?</v>
      </c>
      <c r="M21" s="44" t="e">
        <f>dsd("Avlease Tax",16)</f>
        <v>#NAME?</v>
      </c>
      <c r="N21" s="44" t="e">
        <f>dsd("Avlease Fuel Supplier",16)</f>
        <v>#NAME?</v>
      </c>
      <c r="O21" s="44" t="e">
        <f>dsd("Avlease Other",16)</f>
        <v>#NAME?</v>
      </c>
      <c r="P21" s="43" t="e">
        <f>dsd("Avlease Monthly Outgoing Wire",16)</f>
        <v>#NAME?</v>
      </c>
      <c r="Q21" s="43" t="e">
        <f>dsd("Avlease Check Paid",16)</f>
        <v>#NAME?</v>
      </c>
      <c r="R21" s="43" t="e">
        <f>dsd("Avlease Monthly Other",16)</f>
        <v>#NAME?</v>
      </c>
      <c r="S21" s="45" t="e">
        <f>SUM(C21:I21,P21:R21)</f>
        <v>#NULL!</v>
      </c>
      <c r="U21" s="43" t="e">
        <f>dsd("Avlease Monthly Credits and Debits",16)</f>
        <v>#NAME?</v>
      </c>
    </row>
    <row r="22" ht="12.75" s="46" customFormat="true">
      <c r="A22" s="41" t="n">
        <f>IF(A21&lt;&gt;"",IF(MONTH(A21)=MONTH(A21+1),A21+1,""),"")</f>
        <v>42294.0</v>
      </c>
      <c r="B22" s="42"/>
      <c r="C22" s="43" t="e">
        <f>dsd("Avlease Monthly Opening Ledger",17)</f>
        <v>#NAME?</v>
      </c>
      <c r="D22" s="43" t="e">
        <f>dsd("Avlease Monthly Incoming ACH",17)</f>
        <v>#NAME?</v>
      </c>
      <c r="E22" s="43" t="e">
        <f>dsd("Avlease Monthly Incoming Wire",17)</f>
        <v>#NAME?</v>
      </c>
      <c r="F22" s="43" t="e">
        <f>dsd("Avlease Commercial Deposit",17)</f>
        <v>#NAME?</v>
      </c>
      <c r="G22" s="43" t="e">
        <f>dsd("Avlease Monthly Loan Activity",17)</f>
        <v>#NAME?</v>
      </c>
      <c r="H22" s="43" t="e">
        <f>dsd("Avlease ACH Other",17)</f>
        <v>#NAME?</v>
      </c>
      <c r="I22" s="43" t="e">
        <f>dsd("Avlease ACH TMCW",17)</f>
        <v>#NAME?</v>
      </c>
      <c r="J22" s="44" t="e">
        <f>dsd("Avlease Contract Fuel",17)</f>
        <v>#NAME?</v>
      </c>
      <c r="K22" s="44" t="e">
        <f>dsd("Avlease Credit Cards",17)</f>
        <v>#NAME?</v>
      </c>
      <c r="L22" s="44" t="e">
        <f>dsd("Avlease Freight",17)</f>
        <v>#NAME?</v>
      </c>
      <c r="M22" s="44" t="e">
        <f>dsd("Avlease Tax",17)</f>
        <v>#NAME?</v>
      </c>
      <c r="N22" s="44" t="e">
        <f>dsd("Avlease Fuel Supplier",17)</f>
        <v>#NAME?</v>
      </c>
      <c r="O22" s="44" t="e">
        <f>dsd("Avlease Other",17)</f>
        <v>#NAME?</v>
      </c>
      <c r="P22" s="43" t="e">
        <f>dsd("Avlease Monthly Outgoing Wire",17)</f>
        <v>#NAME?</v>
      </c>
      <c r="Q22" s="43" t="e">
        <f>dsd("Avlease Check Paid",17)</f>
        <v>#NAME?</v>
      </c>
      <c r="R22" s="43" t="e">
        <f>dsd("Avlease Monthly Other",17)</f>
        <v>#NAME?</v>
      </c>
      <c r="S22" s="45" t="e">
        <f>SUM(C22:I22,P22:R22)</f>
        <v>#NULL!</v>
      </c>
      <c r="U22" s="43" t="e">
        <f>dsd("Avlease Monthly Credits and Debits",17)</f>
        <v>#NAME?</v>
      </c>
    </row>
    <row r="23" ht="12.75" s="46" customFormat="true">
      <c r="A23" s="41" t="n">
        <f>IF(A22&lt;&gt;"",IF(MONTH(A22)=MONTH(A22+1),A22+1,""),"")</f>
        <v>42295.0</v>
      </c>
      <c r="B23" s="42"/>
      <c r="C23" s="43" t="e">
        <f>dsd("Avlease Monthly Opening Ledger",18)</f>
        <v>#NAME?</v>
      </c>
      <c r="D23" s="43" t="e">
        <f>dsd("Avlease Monthly Incoming ACH",18)</f>
        <v>#NAME?</v>
      </c>
      <c r="E23" s="43" t="e">
        <f>dsd("Avlease Monthly Incoming Wire",18)</f>
        <v>#NAME?</v>
      </c>
      <c r="F23" s="43" t="e">
        <f>dsd("Avlease Commercial Deposit",18)</f>
        <v>#NAME?</v>
      </c>
      <c r="G23" s="43" t="e">
        <f>dsd("Avlease Monthly Loan Activity",18)</f>
        <v>#NAME?</v>
      </c>
      <c r="H23" s="43" t="e">
        <f>dsd("Avlease ACH Other",18)</f>
        <v>#NAME?</v>
      </c>
      <c r="I23" s="43" t="e">
        <f>dsd("Avlease ACH TMCW",18)</f>
        <v>#NAME?</v>
      </c>
      <c r="J23" s="44" t="e">
        <f>dsd("Avlease Contract Fuel",18)</f>
        <v>#NAME?</v>
      </c>
      <c r="K23" s="44" t="e">
        <f>dsd("Avlease Credit Cards",18)</f>
        <v>#NAME?</v>
      </c>
      <c r="L23" s="44" t="e">
        <f>dsd("Avlease Freight",18)</f>
        <v>#NAME?</v>
      </c>
      <c r="M23" s="44" t="e">
        <f>dsd("Avlease Tax",18)</f>
        <v>#NAME?</v>
      </c>
      <c r="N23" s="44" t="e">
        <f>dsd("Avlease Fuel Supplier",18)</f>
        <v>#NAME?</v>
      </c>
      <c r="O23" s="44" t="e">
        <f>dsd("Avlease Other",18)</f>
        <v>#NAME?</v>
      </c>
      <c r="P23" s="43" t="e">
        <f>dsd("Avlease Monthly Outgoing Wire",18)</f>
        <v>#NAME?</v>
      </c>
      <c r="Q23" s="43" t="e">
        <f>dsd("Avlease Check Paid",18)</f>
        <v>#NAME?</v>
      </c>
      <c r="R23" s="43" t="e">
        <f>dsd("Avlease Monthly Other",18)</f>
        <v>#NAME?</v>
      </c>
      <c r="S23" s="45" t="e">
        <f>SUM(C23:I23,P23:R23)</f>
        <v>#NULL!</v>
      </c>
      <c r="U23" s="43" t="e">
        <f>dsd("Avlease Monthly Credits and Debits",18)</f>
        <v>#NAME?</v>
      </c>
    </row>
    <row r="24" ht="12.75" s="46" customFormat="true">
      <c r="A24" s="41" t="n">
        <f>IF(A23&lt;&gt;"",IF(MONTH(A23)=MONTH(A23+1),A23+1,""),"")</f>
        <v>42296.0</v>
      </c>
      <c r="B24" s="42"/>
      <c r="C24" s="43" t="e">
        <f>dsd("Avlease Monthly Opening Ledger",19)</f>
        <v>#NAME?</v>
      </c>
      <c r="D24" s="43" t="e">
        <f>dsd("Avlease Monthly Incoming ACH",19)</f>
        <v>#NAME?</v>
      </c>
      <c r="E24" s="43" t="e">
        <f>dsd("Avlease Monthly Incoming Wire",19)</f>
        <v>#NAME?</v>
      </c>
      <c r="F24" s="43" t="e">
        <f>dsd("Avlease Commercial Deposit",19)</f>
        <v>#NAME?</v>
      </c>
      <c r="G24" s="43" t="e">
        <f>dsd("Avlease Monthly Loan Activity",19)</f>
        <v>#NAME?</v>
      </c>
      <c r="H24" s="43" t="e">
        <f>dsd("Avlease ACH Other",19)</f>
        <v>#NAME?</v>
      </c>
      <c r="I24" s="43" t="e">
        <f>dsd("Avlease ACH TMCW",19)</f>
        <v>#NAME?</v>
      </c>
      <c r="J24" s="44" t="e">
        <f>dsd("Avlease Contract Fuel",19)</f>
        <v>#NAME?</v>
      </c>
      <c r="K24" s="44" t="e">
        <f>dsd("Avlease Credit Cards",19)</f>
        <v>#NAME?</v>
      </c>
      <c r="L24" s="44" t="e">
        <f>dsd("Avlease Freight",19)</f>
        <v>#NAME?</v>
      </c>
      <c r="M24" s="44" t="e">
        <f>dsd("Avlease Tax",19)</f>
        <v>#NAME?</v>
      </c>
      <c r="N24" s="44" t="e">
        <f>dsd("Avlease Fuel Supplier",19)</f>
        <v>#NAME?</v>
      </c>
      <c r="O24" s="44" t="e">
        <f>dsd("Avlease Other",19)</f>
        <v>#NAME?</v>
      </c>
      <c r="P24" s="43" t="e">
        <f>dsd("Avlease Monthly Outgoing Wire",19)</f>
        <v>#NAME?</v>
      </c>
      <c r="Q24" s="43" t="e">
        <f>dsd("Avlease Check Paid",19)</f>
        <v>#NAME?</v>
      </c>
      <c r="R24" s="43" t="e">
        <f>dsd("Avlease Monthly Other",19)</f>
        <v>#NAME?</v>
      </c>
      <c r="S24" s="45" t="e">
        <f>SUM(C24:I24,P24:R24)</f>
        <v>#NULL!</v>
      </c>
      <c r="U24" s="43" t="e">
        <f>dsd("Avlease Monthly Credits and Debits",19)</f>
        <v>#NAME?</v>
      </c>
    </row>
    <row r="25" ht="12.75" s="46" customFormat="true">
      <c r="A25" s="41" t="n">
        <f>IF(A24&lt;&gt;"",IF(MONTH(A24)=MONTH(A24+1),A24+1,""),"")</f>
        <v>42297.0</v>
      </c>
      <c r="B25" s="42"/>
      <c r="C25" s="43" t="e">
        <f>dsd("Avlease Monthly Opening Ledger",20)</f>
        <v>#NAME?</v>
      </c>
      <c r="D25" s="43" t="e">
        <f>dsd("Avlease Monthly Incoming ACH",20)</f>
        <v>#NAME?</v>
      </c>
      <c r="E25" s="43" t="e">
        <f>dsd("Avlease Monthly Incoming Wire",20)</f>
        <v>#NAME?</v>
      </c>
      <c r="F25" s="43" t="e">
        <f>dsd("Avlease Commercial Deposit",20)</f>
        <v>#NAME?</v>
      </c>
      <c r="G25" s="43" t="e">
        <f>dsd("Avlease Monthly Loan Activity",20)</f>
        <v>#NAME?</v>
      </c>
      <c r="H25" s="43" t="e">
        <f>dsd("Avlease ACH Other",20)</f>
        <v>#NAME?</v>
      </c>
      <c r="I25" s="43" t="e">
        <f>dsd("Avlease ACH TMCW",20)</f>
        <v>#NAME?</v>
      </c>
      <c r="J25" s="44" t="e">
        <f>dsd("Avlease Contract Fuel",20)</f>
        <v>#NAME?</v>
      </c>
      <c r="K25" s="44" t="e">
        <f>dsd("Avlease Credit Cards",20)</f>
        <v>#NAME?</v>
      </c>
      <c r="L25" s="44" t="e">
        <f>dsd("Avlease Freight",20)</f>
        <v>#NAME?</v>
      </c>
      <c r="M25" s="44" t="e">
        <f>dsd("Avlease Tax",20)</f>
        <v>#NAME?</v>
      </c>
      <c r="N25" s="44" t="e">
        <f>dsd("Avlease Fuel Supplier",20)</f>
        <v>#NAME?</v>
      </c>
      <c r="O25" s="44" t="e">
        <f>dsd("Avlease Other",20)</f>
        <v>#NAME?</v>
      </c>
      <c r="P25" s="43" t="e">
        <f>dsd("Avlease Monthly Outgoing Wire",20)</f>
        <v>#NAME?</v>
      </c>
      <c r="Q25" s="43" t="e">
        <f>dsd("Avlease Check Paid",20)</f>
        <v>#NAME?</v>
      </c>
      <c r="R25" s="43" t="e">
        <f>dsd("Avlease Monthly Other",20)</f>
        <v>#NAME?</v>
      </c>
      <c r="S25" s="45" t="e">
        <f>SUM(C25:I25,P25:R25)</f>
        <v>#NULL!</v>
      </c>
      <c r="U25" s="43" t="e">
        <f>dsd("Avlease Monthly Credits and Debits",20)</f>
        <v>#NAME?</v>
      </c>
    </row>
    <row r="26" ht="12.75" s="46" customFormat="true">
      <c r="A26" s="41" t="n">
        <f>IF(A25&lt;&gt;"",IF(MONTH(A25)=MONTH(A25+1),A25+1,""),"")</f>
        <v>42298.0</v>
      </c>
      <c r="B26" s="42"/>
      <c r="C26" s="43" t="e">
        <f>dsd("Avlease Monthly Opening Ledger",21)</f>
        <v>#NAME?</v>
      </c>
      <c r="D26" s="43" t="e">
        <f>dsd("Avlease Monthly Incoming ACH",21)</f>
        <v>#NAME?</v>
      </c>
      <c r="E26" s="43" t="e">
        <f>dsd("Avlease Monthly Incoming Wire",21)</f>
        <v>#NAME?</v>
      </c>
      <c r="F26" s="43" t="e">
        <f>dsd("Avlease Commercial Deposit",21)</f>
        <v>#NAME?</v>
      </c>
      <c r="G26" s="43" t="e">
        <f>dsd("Avlease Monthly Loan Activity",21)</f>
        <v>#NAME?</v>
      </c>
      <c r="H26" s="43" t="e">
        <f>dsd("Avlease ACH Other",21)</f>
        <v>#NAME?</v>
      </c>
      <c r="I26" s="43" t="e">
        <f>dsd("Avlease ACH TMCW",21)</f>
        <v>#NAME?</v>
      </c>
      <c r="J26" s="44" t="e">
        <f>dsd("Avlease Contract Fuel",21)</f>
        <v>#NAME?</v>
      </c>
      <c r="K26" s="44" t="e">
        <f>dsd("Avlease Credit Cards",21)</f>
        <v>#NAME?</v>
      </c>
      <c r="L26" s="44" t="e">
        <f>dsd("Avlease Freight",21)</f>
        <v>#NAME?</v>
      </c>
      <c r="M26" s="44" t="e">
        <f>dsd("Avlease Tax",21)</f>
        <v>#NAME?</v>
      </c>
      <c r="N26" s="44" t="e">
        <f>dsd("Avlease Fuel Supplier",21)</f>
        <v>#NAME?</v>
      </c>
      <c r="O26" s="44" t="e">
        <f>dsd("Avlease Other",21)</f>
        <v>#NAME?</v>
      </c>
      <c r="P26" s="43" t="e">
        <f>dsd("Avlease Monthly Outgoing Wire",21)</f>
        <v>#NAME?</v>
      </c>
      <c r="Q26" s="43" t="e">
        <f>dsd("Avlease Check Paid",21)</f>
        <v>#NAME?</v>
      </c>
      <c r="R26" s="43" t="e">
        <f>dsd("Avlease Monthly Other",21)</f>
        <v>#NAME?</v>
      </c>
      <c r="S26" s="45" t="e">
        <f>SUM(C26:I26,P26:R26)</f>
        <v>#NULL!</v>
      </c>
      <c r="U26" s="43" t="e">
        <f>dsd("Avlease Monthly Credits and Debits",21)</f>
        <v>#NAME?</v>
      </c>
    </row>
    <row r="27" ht="12.75" s="46" customFormat="true">
      <c r="A27" s="41" t="n">
        <f>IF(A26&lt;&gt;"",IF(MONTH(A26)=MONTH(A26+1),A26+1,""),"")</f>
        <v>42299.0</v>
      </c>
      <c r="B27" s="42"/>
      <c r="C27" s="43" t="e">
        <f>dsd("Avlease Monthly Opening Ledger",22)</f>
        <v>#NAME?</v>
      </c>
      <c r="D27" s="43" t="e">
        <f>dsd("Avlease Monthly Incoming ACH",22)</f>
        <v>#NAME?</v>
      </c>
      <c r="E27" s="43" t="e">
        <f>dsd("Avlease Monthly Incoming Wire",22)</f>
        <v>#NAME?</v>
      </c>
      <c r="F27" s="43" t="e">
        <f>dsd("Avlease Commercial Deposit",22)</f>
        <v>#NAME?</v>
      </c>
      <c r="G27" s="43" t="e">
        <f>dsd("Avlease Monthly Loan Activity",22)</f>
        <v>#NAME?</v>
      </c>
      <c r="H27" s="43" t="e">
        <f>dsd("Avlease ACH Other",22)</f>
        <v>#NAME?</v>
      </c>
      <c r="I27" s="43" t="e">
        <f>dsd("Avlease ACH TMCW",22)</f>
        <v>#NAME?</v>
      </c>
      <c r="J27" s="44" t="e">
        <f>dsd("Avlease Contract Fuel",22)</f>
        <v>#NAME?</v>
      </c>
      <c r="K27" s="44" t="e">
        <f>dsd("Avlease Credit Cards",22)</f>
        <v>#NAME?</v>
      </c>
      <c r="L27" s="44" t="e">
        <f>dsd("Avlease Freight",22)</f>
        <v>#NAME?</v>
      </c>
      <c r="M27" s="44" t="e">
        <f>dsd("Avlease Tax",22)</f>
        <v>#NAME?</v>
      </c>
      <c r="N27" s="44" t="e">
        <f>dsd("Avlease Fuel Supplier",22)</f>
        <v>#NAME?</v>
      </c>
      <c r="O27" s="44" t="e">
        <f>dsd("Avlease Other",22)</f>
        <v>#NAME?</v>
      </c>
      <c r="P27" s="43" t="e">
        <f>dsd("Avlease Monthly Outgoing Wire",22)</f>
        <v>#NAME?</v>
      </c>
      <c r="Q27" s="43" t="e">
        <f>dsd("Avlease Check Paid",22)</f>
        <v>#NAME?</v>
      </c>
      <c r="R27" s="43" t="e">
        <f>dsd("Avlease Monthly Other",22)</f>
        <v>#NAME?</v>
      </c>
      <c r="S27" s="45" t="e">
        <f>SUM(C27:I27,P27:R27)</f>
        <v>#NULL!</v>
      </c>
      <c r="U27" s="43" t="e">
        <f>dsd("Avlease Monthly Credits and Debits",22)</f>
        <v>#NAME?</v>
      </c>
    </row>
    <row r="28" ht="12.75" s="46" customFormat="true">
      <c r="A28" s="41" t="n">
        <f>IF(A27&lt;&gt;"",IF(MONTH(A27)=MONTH(A27+1),A27+1,""),"")</f>
        <v>42300.0</v>
      </c>
      <c r="B28" s="42"/>
      <c r="C28" s="43" t="e">
        <f>dsd("Avlease Monthly Opening Ledger",23)</f>
        <v>#NAME?</v>
      </c>
      <c r="D28" s="43" t="e">
        <f>dsd("Avlease Monthly Incoming ACH",23)</f>
        <v>#NAME?</v>
      </c>
      <c r="E28" s="43" t="e">
        <f>dsd("Avlease Monthly Incoming Wire",23)</f>
        <v>#NAME?</v>
      </c>
      <c r="F28" s="43" t="e">
        <f>dsd("Avlease Commercial Deposit",23)</f>
        <v>#NAME?</v>
      </c>
      <c r="G28" s="43" t="e">
        <f>dsd("Avlease Monthly Loan Activity",23)</f>
        <v>#NAME?</v>
      </c>
      <c r="H28" s="43" t="e">
        <f>dsd("Avlease ACH Other",23)</f>
        <v>#NAME?</v>
      </c>
      <c r="I28" s="43" t="e">
        <f>dsd("Avlease ACH TMCW",23)</f>
        <v>#NAME?</v>
      </c>
      <c r="J28" s="44" t="e">
        <f>dsd("Avlease Contract Fuel",23)</f>
        <v>#NAME?</v>
      </c>
      <c r="K28" s="44" t="e">
        <f>dsd("Avlease Credit Cards",23)</f>
        <v>#NAME?</v>
      </c>
      <c r="L28" s="44" t="e">
        <f>dsd("Avlease Freight",23)</f>
        <v>#NAME?</v>
      </c>
      <c r="M28" s="44" t="e">
        <f>dsd("Avlease Tax",23)</f>
        <v>#NAME?</v>
      </c>
      <c r="N28" s="44" t="e">
        <f>dsd("Avlease Fuel Supplier",23)</f>
        <v>#NAME?</v>
      </c>
      <c r="O28" s="44" t="e">
        <f>dsd("Avlease Other",23)</f>
        <v>#NAME?</v>
      </c>
      <c r="P28" s="43" t="e">
        <f>dsd("Avlease Monthly Outgoing Wire",23)</f>
        <v>#NAME?</v>
      </c>
      <c r="Q28" s="43" t="e">
        <f>dsd("Avlease Check Paid",23)</f>
        <v>#NAME?</v>
      </c>
      <c r="R28" s="43" t="e">
        <f>dsd("Avlease Monthly Other",23)</f>
        <v>#NAME?</v>
      </c>
      <c r="S28" s="45" t="e">
        <f>SUM(C28:I28,P28:R28)</f>
        <v>#NULL!</v>
      </c>
      <c r="U28" s="43" t="e">
        <f>dsd("Avlease Monthly Credits and Debits",23)</f>
        <v>#NAME?</v>
      </c>
    </row>
    <row r="29" ht="12.75" s="46" customFormat="true">
      <c r="A29" s="41" t="n">
        <f>IF(A28&lt;&gt;"",IF(MONTH(A28)=MONTH(A28+1),A28+1,""),"")</f>
        <v>42301.0</v>
      </c>
      <c r="B29" s="42"/>
      <c r="C29" s="43" t="e">
        <f>dsd("Avlease Monthly Opening Ledger",24)</f>
        <v>#NAME?</v>
      </c>
      <c r="D29" s="43" t="e">
        <f>dsd("Avlease Monthly Incoming ACH",24)</f>
        <v>#NAME?</v>
      </c>
      <c r="E29" s="43" t="e">
        <f>dsd("Avlease Monthly Incoming Wire",24)</f>
        <v>#NAME?</v>
      </c>
      <c r="F29" s="43" t="e">
        <f>dsd("Avlease Commercial Deposit",24)</f>
        <v>#NAME?</v>
      </c>
      <c r="G29" s="43" t="e">
        <f>dsd("Avlease Monthly Loan Activity",24)</f>
        <v>#NAME?</v>
      </c>
      <c r="H29" s="43" t="e">
        <f>dsd("Avlease ACH Other",24)</f>
        <v>#NAME?</v>
      </c>
      <c r="I29" s="43" t="e">
        <f>dsd("Avlease ACH TMCW",24)</f>
        <v>#NAME?</v>
      </c>
      <c r="J29" s="44" t="e">
        <f>dsd("Avlease Contract Fuel",24)</f>
        <v>#NAME?</v>
      </c>
      <c r="K29" s="44" t="e">
        <f>dsd("Avlease Credit Cards",24)</f>
        <v>#NAME?</v>
      </c>
      <c r="L29" s="44" t="e">
        <f>dsd("Avlease Freight",24)</f>
        <v>#NAME?</v>
      </c>
      <c r="M29" s="44" t="e">
        <f>dsd("Avlease Tax",24)</f>
        <v>#NAME?</v>
      </c>
      <c r="N29" s="44" t="e">
        <f>dsd("Avlease Fuel Supplier",24)</f>
        <v>#NAME?</v>
      </c>
      <c r="O29" s="44" t="e">
        <f>dsd("Avlease Other",24)</f>
        <v>#NAME?</v>
      </c>
      <c r="P29" s="43" t="e">
        <f>dsd("Avlease Monthly Outgoing Wire",24)</f>
        <v>#NAME?</v>
      </c>
      <c r="Q29" s="43" t="e">
        <f>dsd("Avlease Check Paid",24)</f>
        <v>#NAME?</v>
      </c>
      <c r="R29" s="43" t="e">
        <f>dsd("Avlease Monthly Other",24)</f>
        <v>#NAME?</v>
      </c>
      <c r="S29" s="45" t="e">
        <f>SUM(C29:I29,P29:R29)</f>
        <v>#NULL!</v>
      </c>
      <c r="U29" s="43" t="e">
        <f>dsd("Avlease Monthly Credits and Debits",24)</f>
        <v>#NAME?</v>
      </c>
    </row>
    <row r="30" ht="12.75" s="46" customFormat="true">
      <c r="A30" s="41" t="n">
        <f>IF(A29&lt;&gt;"",IF(MONTH(A29)=MONTH(A29+1),A29+1,""),"")</f>
        <v>42302.0</v>
      </c>
      <c r="B30" s="42"/>
      <c r="C30" s="43" t="e">
        <f>dsd("Avlease Monthly Opening Ledger",25)</f>
        <v>#NAME?</v>
      </c>
      <c r="D30" s="43" t="e">
        <f>dsd("Avlease Monthly Incoming ACH",25)</f>
        <v>#NAME?</v>
      </c>
      <c r="E30" s="43" t="e">
        <f>dsd("Avlease Monthly Incoming Wire",25)</f>
        <v>#NAME?</v>
      </c>
      <c r="F30" s="43" t="e">
        <f>dsd("Avlease Commercial Deposit",25)</f>
        <v>#NAME?</v>
      </c>
      <c r="G30" s="43" t="e">
        <f>dsd("Avlease Monthly Loan Activity",25)</f>
        <v>#NAME?</v>
      </c>
      <c r="H30" s="43" t="e">
        <f>dsd("Avlease ACH Other",25)</f>
        <v>#NAME?</v>
      </c>
      <c r="I30" s="43" t="e">
        <f>dsd("Avlease ACH TMCW",25)</f>
        <v>#NAME?</v>
      </c>
      <c r="J30" s="44" t="e">
        <f>dsd("Avlease Contract Fuel",25)</f>
        <v>#NAME?</v>
      </c>
      <c r="K30" s="44" t="e">
        <f>dsd("Avlease Credit Cards",25)</f>
        <v>#NAME?</v>
      </c>
      <c r="L30" s="44" t="e">
        <f>dsd("Avlease Freight",25)</f>
        <v>#NAME?</v>
      </c>
      <c r="M30" s="44" t="e">
        <f>dsd("Avlease Tax",25)</f>
        <v>#NAME?</v>
      </c>
      <c r="N30" s="44" t="e">
        <f>dsd("Avlease Fuel Supplier",25)</f>
        <v>#NAME?</v>
      </c>
      <c r="O30" s="44" t="e">
        <f>dsd("Avlease Other",25)</f>
        <v>#NAME?</v>
      </c>
      <c r="P30" s="43" t="e">
        <f>dsd("Avlease Monthly Outgoing Wire",25)</f>
        <v>#NAME?</v>
      </c>
      <c r="Q30" s="43" t="e">
        <f>dsd("Avlease Check Paid",25)</f>
        <v>#NAME?</v>
      </c>
      <c r="R30" s="43" t="e">
        <f>dsd("Avlease Monthly Other",25)</f>
        <v>#NAME?</v>
      </c>
      <c r="S30" s="45" t="e">
        <f>SUM(C30:I30,P30:R30)</f>
        <v>#NULL!</v>
      </c>
      <c r="U30" s="43" t="e">
        <f>dsd("Avlease Monthly Credits and Debits",25)</f>
        <v>#NAME?</v>
      </c>
    </row>
    <row r="31" ht="12.75" s="46" customFormat="true">
      <c r="A31" s="41" t="n">
        <f>IF(A30&lt;&gt;"",IF(MONTH(A30)=MONTH(A30+1),A30+1,""),"")</f>
        <v>42303.0</v>
      </c>
      <c r="B31" s="42"/>
      <c r="C31" s="43" t="e">
        <f>dsd("Avlease Monthly Opening Ledger",26)</f>
        <v>#NAME?</v>
      </c>
      <c r="D31" s="43" t="e">
        <f>dsd("Avlease Monthly Incoming ACH",26)</f>
        <v>#NAME?</v>
      </c>
      <c r="E31" s="43" t="e">
        <f>dsd("Avlease Monthly Incoming Wire",26)</f>
        <v>#NAME?</v>
      </c>
      <c r="F31" s="43" t="e">
        <f>dsd("Avlease Commercial Deposit",26)</f>
        <v>#NAME?</v>
      </c>
      <c r="G31" s="43" t="e">
        <f>dsd("Avlease Monthly Loan Activity",26)</f>
        <v>#NAME?</v>
      </c>
      <c r="H31" s="43" t="e">
        <f>dsd("Avlease ACH Other",26)</f>
        <v>#NAME?</v>
      </c>
      <c r="I31" s="43" t="e">
        <f>dsd("Avlease ACH TMCW",26)</f>
        <v>#NAME?</v>
      </c>
      <c r="J31" s="44" t="e">
        <f>dsd("Avlease Contract Fuel",26)</f>
        <v>#NAME?</v>
      </c>
      <c r="K31" s="44" t="e">
        <f>dsd("Avlease Credit Cards",26)</f>
        <v>#NAME?</v>
      </c>
      <c r="L31" s="44" t="e">
        <f>dsd("Avlease Freight",26)</f>
        <v>#NAME?</v>
      </c>
      <c r="M31" s="44" t="e">
        <f>dsd("Avlease Tax",26)</f>
        <v>#NAME?</v>
      </c>
      <c r="N31" s="44" t="e">
        <f>dsd("Avlease Fuel Supplier",26)</f>
        <v>#NAME?</v>
      </c>
      <c r="O31" s="44" t="e">
        <f>dsd("Avlease Other",26)</f>
        <v>#NAME?</v>
      </c>
      <c r="P31" s="43" t="e">
        <f>dsd("Avlease Monthly Outgoing Wire",26)</f>
        <v>#NAME?</v>
      </c>
      <c r="Q31" s="43" t="e">
        <f>dsd("Avlease Check Paid",26)</f>
        <v>#NAME?</v>
      </c>
      <c r="R31" s="43" t="e">
        <f>dsd("Avlease Monthly Other",26)</f>
        <v>#NAME?</v>
      </c>
      <c r="S31" s="45" t="e">
        <f>SUM(C31:I31,P31:R31)</f>
        <v>#NULL!</v>
      </c>
      <c r="U31" s="43" t="e">
        <f>dsd("Avlease Monthly Credits and Debits",26)</f>
        <v>#NAME?</v>
      </c>
    </row>
    <row r="32" ht="12.75" s="46" customFormat="true">
      <c r="A32" s="41" t="n">
        <f>IF(A31&lt;&gt;"",IF(MONTH(A31)=MONTH(A31+1),A31+1,""),"")</f>
        <v>42304.0</v>
      </c>
      <c r="B32" s="42"/>
      <c r="C32" s="43" t="e">
        <f>dsd("Avlease Monthly Opening Ledger",27)</f>
        <v>#NAME?</v>
      </c>
      <c r="D32" s="43" t="e">
        <f>dsd("Avlease Monthly Incoming ACH",27)</f>
        <v>#NAME?</v>
      </c>
      <c r="E32" s="43" t="e">
        <f>dsd("Avlease Monthly Incoming Wire",27)</f>
        <v>#NAME?</v>
      </c>
      <c r="F32" s="43" t="e">
        <f>dsd("Avlease Commercial Deposit",27)</f>
        <v>#NAME?</v>
      </c>
      <c r="G32" s="43" t="e">
        <f>dsd("Avlease Monthly Loan Activity",27)</f>
        <v>#NAME?</v>
      </c>
      <c r="H32" s="43" t="e">
        <f>dsd("Avlease ACH Other",27)</f>
        <v>#NAME?</v>
      </c>
      <c r="I32" s="43" t="e">
        <f>dsd("Avlease ACH TMCW",27)</f>
        <v>#NAME?</v>
      </c>
      <c r="J32" s="44" t="e">
        <f>dsd("Avlease Contract Fuel",27)</f>
        <v>#NAME?</v>
      </c>
      <c r="K32" s="44" t="e">
        <f>dsd("Avlease Credit Cards",27)</f>
        <v>#NAME?</v>
      </c>
      <c r="L32" s="44" t="e">
        <f>dsd("Avlease Freight",27)</f>
        <v>#NAME?</v>
      </c>
      <c r="M32" s="44" t="e">
        <f>dsd("Avlease Tax",27)</f>
        <v>#NAME?</v>
      </c>
      <c r="N32" s="44" t="e">
        <f>dsd("Avlease Fuel Supplier",27)</f>
        <v>#NAME?</v>
      </c>
      <c r="O32" s="44" t="e">
        <f>dsd("Avlease Other",27)</f>
        <v>#NAME?</v>
      </c>
      <c r="P32" s="43" t="e">
        <f>dsd("Avlease Monthly Outgoing Wire",27)</f>
        <v>#NAME?</v>
      </c>
      <c r="Q32" s="43" t="e">
        <f>dsd("Avlease Check Paid",27)</f>
        <v>#NAME?</v>
      </c>
      <c r="R32" s="43" t="e">
        <f>dsd("Avlease Monthly Other",27)</f>
        <v>#NAME?</v>
      </c>
      <c r="S32" s="45" t="e">
        <f>SUM(C32:I32,P32:R32)</f>
        <v>#NULL!</v>
      </c>
      <c r="U32" s="43" t="e">
        <f>dsd("Avlease Monthly Credits and Debits",27)</f>
        <v>#NAME?</v>
      </c>
    </row>
    <row r="33" ht="12.75" s="46" customFormat="true">
      <c r="A33" s="41" t="n">
        <f>IF(A32&lt;&gt;"",IF(MONTH(A32)=MONTH(A32+1),A32+1,""),"")</f>
        <v>42305.0</v>
      </c>
      <c r="B33" s="42"/>
      <c r="C33" s="43" t="e">
        <f>dsd("Avlease Monthly Opening Ledger",28)</f>
        <v>#NAME?</v>
      </c>
      <c r="D33" s="43" t="e">
        <f>dsd("Avlease Monthly Incoming ACH",28)</f>
        <v>#NAME?</v>
      </c>
      <c r="E33" s="43" t="e">
        <f>dsd("Avlease Monthly Incoming Wire",28)</f>
        <v>#NAME?</v>
      </c>
      <c r="F33" s="43" t="e">
        <f>dsd("Avlease Commercial Deposit",28)</f>
        <v>#NAME?</v>
      </c>
      <c r="G33" s="43" t="e">
        <f>dsd("Avlease Monthly Loan Activity",28)</f>
        <v>#NAME?</v>
      </c>
      <c r="H33" s="43" t="e">
        <f>dsd("Avlease ACH Other",28)</f>
        <v>#NAME?</v>
      </c>
      <c r="I33" s="43" t="e">
        <f>dsd("Avlease ACH TMCW",28)</f>
        <v>#NAME?</v>
      </c>
      <c r="J33" s="44" t="e">
        <f>dsd("Avlease Contract Fuel",28)</f>
        <v>#NAME?</v>
      </c>
      <c r="K33" s="44" t="e">
        <f>dsd("Avlease Credit Cards",28)</f>
        <v>#NAME?</v>
      </c>
      <c r="L33" s="44" t="e">
        <f>dsd("Avlease Freight",28)</f>
        <v>#NAME?</v>
      </c>
      <c r="M33" s="44" t="e">
        <f>dsd("Avlease Tax",28)</f>
        <v>#NAME?</v>
      </c>
      <c r="N33" s="44" t="e">
        <f>dsd("Avlease Fuel Supplier",28)</f>
        <v>#NAME?</v>
      </c>
      <c r="O33" s="44" t="e">
        <f>dsd("Avlease Other",28)</f>
        <v>#NAME?</v>
      </c>
      <c r="P33" s="43" t="e">
        <f>dsd("Avlease Monthly Outgoing Wire",28)</f>
        <v>#NAME?</v>
      </c>
      <c r="Q33" s="43" t="e">
        <f>dsd("Avlease Check Paid",28)</f>
        <v>#NAME?</v>
      </c>
      <c r="R33" s="43" t="e">
        <f>dsd("Avlease Monthly Other",28)</f>
        <v>#NAME?</v>
      </c>
      <c r="S33" s="45" t="e">
        <f>SUM(C33:I33,P33:R33)</f>
        <v>#NULL!</v>
      </c>
      <c r="U33" s="43" t="e">
        <f>dsd("Avlease Monthly Credits and Debits",28)</f>
        <v>#NAME?</v>
      </c>
    </row>
    <row r="34" ht="12.75" s="46" customFormat="true">
      <c r="A34" s="41" t="n">
        <f>IF(A33&lt;&gt;"",IF(MONTH(A33)=MONTH(A33+1),A33+1,""),"")</f>
        <v>42306.0</v>
      </c>
      <c r="B34" s="42"/>
      <c r="C34" s="43" t="e">
        <f>dsd("Avlease Monthly Opening Ledger",29)</f>
        <v>#NAME?</v>
      </c>
      <c r="D34" s="43" t="e">
        <f>dsd("Avlease Monthly Incoming ACH",29)</f>
        <v>#NAME?</v>
      </c>
      <c r="E34" s="43" t="e">
        <f>dsd("Avlease Monthly Incoming Wire",29)</f>
        <v>#NAME?</v>
      </c>
      <c r="F34" s="43" t="e">
        <f>dsd("Avlease Commercial Deposit",29)</f>
        <v>#NAME?</v>
      </c>
      <c r="G34" s="43" t="e">
        <f>dsd("Avlease Monthly Loan Activity",29)</f>
        <v>#NAME?</v>
      </c>
      <c r="H34" s="43" t="e">
        <f>dsd("Avlease ACH Other",29)</f>
        <v>#NAME?</v>
      </c>
      <c r="I34" s="43" t="e">
        <f>dsd("Avlease ACH TMCW",29)</f>
        <v>#NAME?</v>
      </c>
      <c r="J34" s="44" t="e">
        <f>dsd("Avlease Contract Fuel",29)</f>
        <v>#NAME?</v>
      </c>
      <c r="K34" s="44" t="e">
        <f>dsd("Avlease Credit Cards",29)</f>
        <v>#NAME?</v>
      </c>
      <c r="L34" s="44" t="e">
        <f>dsd("Avlease Freight",29)</f>
        <v>#NAME?</v>
      </c>
      <c r="M34" s="44" t="e">
        <f>dsd("Avlease Tax",29)</f>
        <v>#NAME?</v>
      </c>
      <c r="N34" s="44" t="e">
        <f>dsd("Avlease Fuel Supplier",29)</f>
        <v>#NAME?</v>
      </c>
      <c r="O34" s="44" t="e">
        <f>dsd("Avlease Other",29)</f>
        <v>#NAME?</v>
      </c>
      <c r="P34" s="43" t="e">
        <f>dsd("Avlease Monthly Outgoing Wire",29)</f>
        <v>#NAME?</v>
      </c>
      <c r="Q34" s="43" t="e">
        <f>dsd("Avlease Check Paid",29)</f>
        <v>#NAME?</v>
      </c>
      <c r="R34" s="43" t="e">
        <f>dsd("Avlease Monthly Other",29)</f>
        <v>#NAME?</v>
      </c>
      <c r="S34" s="45" t="e">
        <f>SUM(C34:I34,P34:R34)</f>
        <v>#NULL!</v>
      </c>
      <c r="U34" s="43" t="e">
        <f>dsd("Avlease Monthly Credits and Debits",29)</f>
        <v>#NAME?</v>
      </c>
    </row>
    <row r="35" ht="12.75" s="46" customFormat="true">
      <c r="A35" s="47" t="n">
        <f>IF(A34&lt;&gt;"",IF(MONTH(A34)=MONTH(A34+1),A34+1,""),"")</f>
        <v>42307.0</v>
      </c>
      <c r="B35" s="42"/>
      <c r="C35" s="43" t="e">
        <f>dsd("Avlease Monthly Opening Ledger",30)</f>
        <v>#NAME?</v>
      </c>
      <c r="D35" s="43" t="e">
        <f>dsd("Avlease Monthly Incoming ACH",30)</f>
        <v>#NAME?</v>
      </c>
      <c r="E35" s="43" t="e">
        <f>dsd("Avlease Monthly Incoming Wire",30)</f>
        <v>#NAME?</v>
      </c>
      <c r="F35" s="43" t="e">
        <f>dsd("Avlease Commercial Deposit",30)</f>
        <v>#NAME?</v>
      </c>
      <c r="G35" s="43" t="e">
        <f>dsd("Avlease Monthly Loan Activity",30)</f>
        <v>#NAME?</v>
      </c>
      <c r="H35" s="43" t="e">
        <f>dsd("Avlease ACH Other",30)</f>
        <v>#NAME?</v>
      </c>
      <c r="I35" s="43" t="e">
        <f>dsd("Avlease ACH TMCW",30)</f>
        <v>#NAME?</v>
      </c>
      <c r="J35" s="44" t="e">
        <f>dsd("Avlease Contract Fuel",30)</f>
        <v>#NAME?</v>
      </c>
      <c r="K35" s="44" t="e">
        <f>dsd("Avlease Credit Cards",30)</f>
        <v>#NAME?</v>
      </c>
      <c r="L35" s="44" t="e">
        <f>dsd("Avlease Freight",30)</f>
        <v>#NAME?</v>
      </c>
      <c r="M35" s="44" t="e">
        <f>dsd("Avlease Tax",30)</f>
        <v>#NAME?</v>
      </c>
      <c r="N35" s="44" t="e">
        <f>dsd("Avlease Fuel Supplier",30)</f>
        <v>#NAME?</v>
      </c>
      <c r="O35" s="44" t="e">
        <f>dsd("Avlease Other",30)</f>
        <v>#NAME?</v>
      </c>
      <c r="P35" s="43" t="e">
        <f>dsd("Avlease Monthly Outgoing Wire",30)</f>
        <v>#NAME?</v>
      </c>
      <c r="Q35" s="43" t="e">
        <f>dsd("Avlease Check Paid",30)</f>
        <v>#NAME?</v>
      </c>
      <c r="R35" s="43" t="e">
        <f>dsd("Avlease Monthly Other",30)</f>
        <v>#NAME?</v>
      </c>
      <c r="S35" s="45" t="e">
        <f>SUM(C35:I35,P35:R35)</f>
        <v>#NULL!</v>
      </c>
      <c r="U35" s="43" t="e">
        <f>dsd("Avlease Monthly Credits and Debits",30)</f>
        <v>#NAME?</v>
      </c>
    </row>
    <row r="36" ht="12.75" s="46" customFormat="true">
      <c r="A36" s="48" t="n">
        <f>IF(A35&lt;&gt;"",IF(MONTH(A35)=MONTH(A35+1),A35+1,""),"")</f>
        <v>42308.0</v>
      </c>
      <c r="B36" s="49"/>
      <c r="C36" s="43" t="e">
        <f>dsd("Avlease Monthly Opening Ledger",31)</f>
        <v>#NAME?</v>
      </c>
      <c r="D36" s="43" t="e">
        <f>dsd("Avlease Monthly Incoming ACH",31)</f>
        <v>#NAME?</v>
      </c>
      <c r="E36" s="43" t="e">
        <f>dsd("Avlease Monthly Incoming Wire",31)</f>
        <v>#NAME?</v>
      </c>
      <c r="F36" s="43" t="e">
        <f>dsd("Avlease Commercial Deposit",31)</f>
        <v>#NAME?</v>
      </c>
      <c r="G36" s="43" t="e">
        <f>dsd("Avlease Monthly Loan Activity",31)</f>
        <v>#NAME?</v>
      </c>
      <c r="H36" s="43" t="e">
        <f>dsd("Avlease ACH Other",31)</f>
        <v>#NAME?</v>
      </c>
      <c r="I36" s="43" t="e">
        <f>dsd("Avlease ACH TMCW",31)</f>
        <v>#NAME?</v>
      </c>
      <c r="J36" s="44" t="e">
        <f>dsd("Avlease Contract Fuel",31)</f>
        <v>#NAME?</v>
      </c>
      <c r="K36" s="44" t="e">
        <f>dsd("Avlease Credit Cards",31)</f>
        <v>#NAME?</v>
      </c>
      <c r="L36" s="44" t="e">
        <f>dsd("Avlease Freight",31)</f>
        <v>#NAME?</v>
      </c>
      <c r="M36" s="44" t="e">
        <f>dsd("Avlease Tax",31)</f>
        <v>#NAME?</v>
      </c>
      <c r="N36" s="44" t="e">
        <f>dsd("Avlease Fuel Supplier",31)</f>
        <v>#NAME?</v>
      </c>
      <c r="O36" s="44" t="e">
        <f>dsd("Avlease Other",31)</f>
        <v>#NAME?</v>
      </c>
      <c r="P36" s="43" t="e">
        <f>dsd("Avlease Monthly Outgoing Wire",31)</f>
        <v>#NAME?</v>
      </c>
      <c r="Q36" s="43" t="e">
        <f>dsd("Avlease Check Paid",31)</f>
        <v>#NAME?</v>
      </c>
      <c r="R36" s="43" t="e">
        <f>dsd("Avlease Monthly Other",31)</f>
        <v>#NAME?</v>
      </c>
      <c r="S36" s="45" t="e">
        <f>SUM(C36:I36,P36:R36)</f>
        <v>#NULL!</v>
      </c>
      <c r="U36" s="43" t="e">
        <f>dsd("Avlease Monthly Credits and Debits",31)</f>
        <v>#NAME?</v>
      </c>
    </row>
    <row r="37" ht="12.75" s="46" customFormat="true">
      <c r="A37" s="50"/>
      <c r="B37" s="42"/>
      <c r="C37" s="36"/>
      <c r="D37" s="36"/>
      <c r="E37" s="36"/>
      <c r="F37" s="36"/>
      <c r="G37" s="36"/>
      <c r="H37" s="36"/>
      <c r="I37" s="36"/>
      <c r="J37" s="51"/>
      <c r="K37" s="51"/>
      <c r="L37" s="51"/>
      <c r="M37" s="51"/>
      <c r="N37" s="51"/>
      <c r="O37" s="51"/>
      <c r="P37" s="36"/>
      <c r="Q37" s="36"/>
      <c r="R37" s="36"/>
      <c r="S37" s="45"/>
      <c r="U37" s="36"/>
    </row>
    <row r="38" ht="12.75" s="46" customFormat="true">
      <c r="A38" s="52" t="s">
        <v>54</v>
      </c>
      <c r="B38" s="53"/>
      <c r="C38" s="54" t="e">
        <f>ds("Avlease Monthly Opening Ledger")</f>
        <v>#NAME?</v>
      </c>
      <c r="D38" s="54" t="e">
        <f>ds("Avlease Monthly Incoming ACH")</f>
        <v>#NAME?</v>
      </c>
      <c r="E38" s="54" t="e">
        <f>ds("Avlease Monthly Incoming Wire")</f>
        <v>#NAME?</v>
      </c>
      <c r="F38" s="54" t="e">
        <f>ds("Avlease Commercial Deposit")</f>
        <v>#NAME?</v>
      </c>
      <c r="G38" s="54" t="e">
        <f>ds("Avlease Monthly Loan Activity")</f>
        <v>#NAME?</v>
      </c>
      <c r="H38" s="54" t="e">
        <f>ds("Avlease ACH Other")</f>
        <v>#NAME?</v>
      </c>
      <c r="I38" s="54" t="e">
        <f>ds("Avlease ACH TMCW")</f>
        <v>#NAME?</v>
      </c>
      <c r="J38" s="55" t="e">
        <f>ds("Avlease Contract Fuel")</f>
        <v>#NAME?</v>
      </c>
      <c r="K38" s="55" t="e">
        <f>ds("Avlease Credit Cards")</f>
        <v>#NAME?</v>
      </c>
      <c r="L38" s="55" t="e">
        <f>ds("Avlease Freight")</f>
        <v>#NAME?</v>
      </c>
      <c r="M38" s="55" t="e">
        <f>ds("Avlease Tax")</f>
        <v>#NAME?</v>
      </c>
      <c r="N38" s="55" t="e">
        <f>ds("Avlease Fuel Supplier")</f>
        <v>#NAME?</v>
      </c>
      <c r="O38" s="55" t="e">
        <f>ds("Avlease Other")</f>
        <v>#NAME?</v>
      </c>
      <c r="P38" s="54" t="e">
        <f>ds("Avlease Monthly Outgoing Wire")</f>
        <v>#NAME?</v>
      </c>
      <c r="Q38" s="54" t="e">
        <f>ds("Avlease Check Paid")</f>
        <v>#NAME?</v>
      </c>
      <c r="R38" s="54" t="e">
        <f>ds("Avlease Monthly Other")</f>
        <v>#NAME?</v>
      </c>
      <c r="S38" s="45" t="e">
        <f>SUM(C38:I38,P38:R38)</f>
        <v>#NAME?</v>
      </c>
      <c r="U38" s="54" t="e">
        <f>ds("Avlease Monthly Credits and Debits")</f>
        <v>#NAME?</v>
      </c>
    </row>
    <row r="39" ht="12.75" s="46" customFormat="true">
      <c r="A39" s="56"/>
      <c r="B39" s="56"/>
      <c r="C39" s="57"/>
      <c r="D39" s="58"/>
      <c r="E39" s="58"/>
      <c r="F39" s="57"/>
      <c r="G39" s="59"/>
      <c r="H39" s="58"/>
      <c r="I39" s="58"/>
      <c r="J39" s="59"/>
      <c r="K39" s="59"/>
      <c r="L39" s="59"/>
      <c r="M39" s="59"/>
      <c r="N39" s="59"/>
      <c r="O39" s="59"/>
      <c r="P39" s="58"/>
      <c r="Q39" s="60"/>
      <c r="R39" s="60"/>
      <c r="S39" s="61"/>
    </row>
    <row r="40" ht="12.75" s="46" customFormat="true">
      <c r="B40" s="56"/>
      <c r="G40" s="66"/>
      <c r="J40" s="66"/>
      <c r="K40" s="66"/>
      <c r="L40" s="66"/>
      <c r="M40" s="66"/>
      <c r="N40" s="66"/>
      <c r="O40" s="66"/>
      <c r="P40" s="58"/>
      <c r="Q40" s="60"/>
      <c r="R40" s="60"/>
      <c r="S40" s="61"/>
    </row>
  </sheetData>
  <mergeCells>
    <mergeCell ref="A1:S1"/>
    <mergeCell ref="A2:S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0" hidden="false"/>
    <col min="2" max="2" style="63" customWidth="true" width="2.5703125" hidden="false"/>
    <col min="3" max="3" style="62" customWidth="true" width="15.85546875" hidden="false"/>
    <col min="4" max="4" style="62" customWidth="true" width="15.85546875" hidden="false"/>
    <col min="5" max="5" style="62" customWidth="true" width="12.71484375" hidden="false"/>
    <col min="6" max="6" style="62" customWidth="true" width="12.28515625" hidden="false"/>
    <col min="7" max="7" style="62" customWidth="true" width="14.71484375" hidden="false"/>
    <col min="8" max="8" style="62" customWidth="true" width="14.71484375" hidden="false"/>
    <col min="9" max="9" style="64" customWidth="true" width="13.71484375" hidden="false"/>
    <col min="10" max="10" style="62" customWidth="true" width="13.5703125" hidden="false"/>
    <col min="11" max="11" style="62" customWidth="true" width="13.0" hidden="false"/>
    <col min="12" max="12" style="62" customWidth="true" width="13.4296875" hidden="false"/>
    <col min="13" max="13" style="62" customWidth="true" width="15.14453125" hidden="false"/>
    <col min="14" max="14" style="62" customWidth="false" width="9.14453125" hidden="false"/>
    <col min="15" max="15" style="62" customWidth="true" width="13.71484375" hidden="false"/>
    <col min="16" max="16" style="62" customWidth="false" width="9.14453125" hidden="false"/>
    <col min="17" max="17" style="62" customWidth="false" width="9.14453125" hidden="false"/>
    <col min="18" max="18" style="62" customWidth="false" width="9.14453125" hidden="false"/>
    <col min="19" max="25" style="62" customWidth="false" width="9.14453125" hidden="false"/>
    <col min="26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Height="true" ht="12.75">
      <c r="A2" s="26" t="n">
        <f>NOW()</f>
        <v>42279.99510505787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customHeight="true" ht="12.7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customHeight="true" ht="35.25" s="27" customFormat="true">
      <c r="A4" s="28" t="s">
        <v>39</v>
      </c>
      <c r="B4" s="29"/>
      <c r="C4" s="29" t="s">
        <v>40</v>
      </c>
      <c r="D4" s="29" t="s">
        <v>56</v>
      </c>
      <c r="E4" s="29" t="s">
        <v>17</v>
      </c>
      <c r="F4" s="29" t="s">
        <v>16</v>
      </c>
      <c r="G4" s="29" t="s">
        <v>42</v>
      </c>
      <c r="H4" s="29" t="s">
        <v>57</v>
      </c>
      <c r="I4" s="29" t="s">
        <v>58</v>
      </c>
      <c r="J4" s="29" t="s">
        <v>22</v>
      </c>
      <c r="K4" s="29" t="s">
        <v>50</v>
      </c>
      <c r="L4" s="29" t="s">
        <v>51</v>
      </c>
      <c r="M4" s="29" t="s">
        <v>52</v>
      </c>
      <c r="O4" s="31" t="s">
        <v>55</v>
      </c>
    </row>
    <row r="5" customHeight="true" ht="12.75" s="32" customFormat="true">
      <c r="A5" s="67"/>
      <c r="B5" s="67"/>
      <c r="C5" s="36"/>
      <c r="D5" s="36"/>
      <c r="E5" s="36"/>
      <c r="F5" s="36"/>
      <c r="G5" s="36"/>
      <c r="H5" s="36"/>
      <c r="I5" s="36"/>
      <c r="J5" s="68"/>
      <c r="K5" s="69"/>
      <c r="L5" s="69"/>
      <c r="M5" s="69"/>
    </row>
    <row r="6" ht="12.0" s="70" customFormat="true">
      <c r="A6" s="41" t="n">
        <f>DATEVALUE(MONTH(TODAY())&amp;"/1/"&amp;YEAR(TODAY()))</f>
        <v>42278.0</v>
      </c>
      <c r="B6" s="71"/>
      <c r="C6" s="43" t="e">
        <f>dsd("RBC Monthly Opening Ledger",1)</f>
        <v>#NAME?</v>
      </c>
      <c r="D6" s="43" t="e">
        <f>dsd("RBC Credits",1)</f>
        <v>#NAME?</v>
      </c>
      <c r="E6" s="43" t="e">
        <f>dsd("RBC Monthly Incoming ACH",1)</f>
        <v>#NAME?</v>
      </c>
      <c r="F6" s="43" t="e">
        <f>dsd("RBC Monthly Incoming Wire",1)</f>
        <v>#NAME?</v>
      </c>
      <c r="G6" s="43" t="e">
        <f>dsd("RBC Commercial Deposit",1)</f>
        <v>#NAME?</v>
      </c>
      <c r="H6" s="43" t="e">
        <f>dsd("RBC Debits",1)</f>
        <v>#NAME?</v>
      </c>
      <c r="I6" s="43" t="e">
        <f>dsd("RBC Outgoing ACH",1)</f>
        <v>#NAME?</v>
      </c>
      <c r="J6" s="43" t="e">
        <f>dsd("RBC Monthly Outgoing Wire",1)</f>
        <v>#NAME?</v>
      </c>
      <c r="K6" s="43" t="e">
        <f>dsd("RBC Check Paid",1)</f>
        <v>#NAME?</v>
      </c>
      <c r="L6" s="43" t="e">
        <f>dsd("RBC Monthly Other",1)</f>
        <v>#NAME?</v>
      </c>
      <c r="M6" s="72" t="e">
        <f>SUM(C6:I6,J6:L6)</f>
        <v>#NULL!</v>
      </c>
      <c r="O6" s="43" t="e">
        <f>dsd("RBC Monthly Credits and Debits",1)</f>
        <v>#NAME?</v>
      </c>
    </row>
    <row r="7" ht="12.0" s="70" customFormat="true">
      <c r="A7" s="41" t="n">
        <f>IF(A6&lt;&gt;"",IF(MONTH(A6)=MONTH(A6+1),A6+1,""),"")</f>
        <v>42279.0</v>
      </c>
      <c r="B7" s="71"/>
      <c r="C7" s="43" t="e">
        <f>dsd("RBC Monthly Opening Ledger",2)</f>
        <v>#NAME?</v>
      </c>
      <c r="D7" s="43" t="e">
        <f>dsd("RBC Credits",2)</f>
        <v>#NAME?</v>
      </c>
      <c r="E7" s="43" t="e">
        <f>dsd("RBC Monthly Incoming ACH",2)</f>
        <v>#NAME?</v>
      </c>
      <c r="F7" s="43" t="e">
        <f>dsd("RBC Monthly Incoming Wire",2)</f>
        <v>#NAME?</v>
      </c>
      <c r="G7" s="43" t="e">
        <f>dsd("RBC Commercial Deposit",2)</f>
        <v>#NAME?</v>
      </c>
      <c r="H7" s="43" t="e">
        <f>dsd("RBC Debits",2)</f>
        <v>#NAME?</v>
      </c>
      <c r="I7" s="43" t="e">
        <f>dsd("RBC Outgoing ACH",2)</f>
        <v>#NAME?</v>
      </c>
      <c r="J7" s="43" t="e">
        <f>dsd("RBC Monthly Outgoing Wire",2)</f>
        <v>#NAME?</v>
      </c>
      <c r="K7" s="43" t="e">
        <f>dsd("RBC Check Paid",2)</f>
        <v>#NAME?</v>
      </c>
      <c r="L7" s="43" t="e">
        <f>dsd("RBC Monthly Other",2)</f>
        <v>#NAME?</v>
      </c>
      <c r="M7" s="72" t="e">
        <f>SUM(C7:I7,J7:L7)</f>
        <v>#NULL!</v>
      </c>
      <c r="O7" s="43" t="e">
        <f>dsd("RBC Monthly Credits and Debits",2)</f>
        <v>#NAME?</v>
      </c>
    </row>
    <row r="8" ht="12.75" s="66" customFormat="true">
      <c r="A8" s="41" t="n">
        <f>IF(A7&lt;&gt;"",IF(MONTH(A7)=MONTH(A7+1),A7+1,""),"")</f>
        <v>42280.0</v>
      </c>
      <c r="B8" s="71"/>
      <c r="C8" s="43" t="e">
        <f>dsd("RBC Monthly Opening Ledger",3)</f>
        <v>#NAME?</v>
      </c>
      <c r="D8" s="43" t="e">
        <f>dsd("RBC Credits",3)</f>
        <v>#NAME?</v>
      </c>
      <c r="E8" s="43" t="e">
        <f>dsd("RBC Monthly Incoming ACH",3)</f>
        <v>#NAME?</v>
      </c>
      <c r="F8" s="43" t="e">
        <f>dsd("RBC Monthly Incoming Wire",3)</f>
        <v>#NAME?</v>
      </c>
      <c r="G8" s="43" t="e">
        <f>dsd("RBC Commercial Deposit",3)</f>
        <v>#NAME?</v>
      </c>
      <c r="H8" s="43" t="e">
        <f>dsd("RBC Debits",3)</f>
        <v>#NAME?</v>
      </c>
      <c r="I8" s="43" t="e">
        <f>dsd("RBC Outgoing ACH",3)</f>
        <v>#NAME?</v>
      </c>
      <c r="J8" s="43" t="e">
        <f>dsd("RBC Monthly Outgoing Wire",3)</f>
        <v>#NAME?</v>
      </c>
      <c r="K8" s="43" t="e">
        <f>dsd("RBC Check Paid",3)</f>
        <v>#NAME?</v>
      </c>
      <c r="L8" s="43" t="e">
        <f>dsd("RBC Monthly Other",3)</f>
        <v>#NAME?</v>
      </c>
      <c r="M8" s="72" t="e">
        <f>SUM(C8:I8,J8:L8)</f>
        <v>#NULL!</v>
      </c>
      <c r="O8" s="43" t="e">
        <f>dsd("RBC Monthly Credits and Debits",3)</f>
        <v>#NAME?</v>
      </c>
    </row>
    <row r="9" ht="12.75" s="66" customFormat="true">
      <c r="A9" s="41" t="n">
        <f>IF(A8&lt;&gt;"",IF(MONTH(A8)=MONTH(A8+1),A8+1,""),"")</f>
        <v>42281.0</v>
      </c>
      <c r="B9" s="71"/>
      <c r="C9" s="43" t="e">
        <f>dsd("RBC Monthly Opening Ledger",4)</f>
        <v>#NAME?</v>
      </c>
      <c r="D9" s="43" t="e">
        <f>dsd("RBC Credits",4)</f>
        <v>#NAME?</v>
      </c>
      <c r="E9" s="43" t="e">
        <f>dsd("RBC Monthly Incoming ACH",4)</f>
        <v>#NAME?</v>
      </c>
      <c r="F9" s="43" t="e">
        <f>dsd("RBC Monthly Incoming Wire",4)</f>
        <v>#NAME?</v>
      </c>
      <c r="G9" s="43" t="e">
        <f>dsd("RBC Commercial Deposit",4)</f>
        <v>#NAME?</v>
      </c>
      <c r="H9" s="43" t="e">
        <f>dsd("RBC Debits",4)</f>
        <v>#NAME?</v>
      </c>
      <c r="I9" s="43" t="e">
        <f>dsd("RBC Outgoing ACH",4)</f>
        <v>#NAME?</v>
      </c>
      <c r="J9" s="43" t="e">
        <f>dsd("RBC Monthly Outgoing Wire",4)</f>
        <v>#NAME?</v>
      </c>
      <c r="K9" s="43" t="e">
        <f>dsd("RBC Check Paid",4)</f>
        <v>#NAME?</v>
      </c>
      <c r="L9" s="43" t="e">
        <f>dsd("RBC Monthly Other",4)</f>
        <v>#NAME?</v>
      </c>
      <c r="M9" s="72" t="e">
        <f>SUM(C9:I9,J9:L9)</f>
        <v>#NULL!</v>
      </c>
      <c r="O9" s="43" t="e">
        <f>dsd("RBC Monthly Credits and Debits",4)</f>
        <v>#NAME?</v>
      </c>
    </row>
    <row r="10" ht="12.75" s="66" customFormat="true">
      <c r="A10" s="41" t="n">
        <f>IF(A9&lt;&gt;"",IF(MONTH(A9)=MONTH(A9+1),A9+1,""),"")</f>
        <v>42282.0</v>
      </c>
      <c r="B10" s="71"/>
      <c r="C10" s="43" t="e">
        <f>dsd("RBC Monthly Opening Ledger",5)</f>
        <v>#NAME?</v>
      </c>
      <c r="D10" s="43" t="e">
        <f>dsd("RBC Credits",5)</f>
        <v>#NAME?</v>
      </c>
      <c r="E10" s="43" t="e">
        <f>dsd("RBC Monthly Incoming ACH",5)</f>
        <v>#NAME?</v>
      </c>
      <c r="F10" s="43" t="e">
        <f>dsd("RBC Monthly Incoming Wire",5)</f>
        <v>#NAME?</v>
      </c>
      <c r="G10" s="43" t="e">
        <f>dsd("RBC Commercial Deposit",5)</f>
        <v>#NAME?</v>
      </c>
      <c r="H10" s="43" t="e">
        <f>dsd("RBC Debits",5)</f>
        <v>#NAME?</v>
      </c>
      <c r="I10" s="43" t="e">
        <f>dsd("RBC Outgoing ACH",5)</f>
        <v>#NAME?</v>
      </c>
      <c r="J10" s="43" t="e">
        <f>dsd("RBC Monthly Outgoing Wire",5)</f>
        <v>#NAME?</v>
      </c>
      <c r="K10" s="43" t="e">
        <f>dsd("RBC Check Paid",5)</f>
        <v>#NAME?</v>
      </c>
      <c r="L10" s="43" t="e">
        <f>dsd("RBC Monthly Other",5)</f>
        <v>#NAME?</v>
      </c>
      <c r="M10" s="72" t="e">
        <f>SUM(C10:I10,J10:L10)</f>
        <v>#NULL!</v>
      </c>
      <c r="O10" s="43" t="e">
        <f>dsd("RBC Monthly Credits and Debits",5)</f>
        <v>#NAME?</v>
      </c>
    </row>
    <row r="11" ht="12.75" s="66" customFormat="true">
      <c r="A11" s="41" t="n">
        <f>IF(A10&lt;&gt;"",IF(MONTH(A10)=MONTH(A10+1),A10+1,""),"")</f>
        <v>42283.0</v>
      </c>
      <c r="B11" s="71"/>
      <c r="C11" s="43" t="e">
        <f>dsd("RBC Monthly Opening Ledger",6)</f>
        <v>#NAME?</v>
      </c>
      <c r="D11" s="43" t="e">
        <f>dsd("RBC Credits",6)</f>
        <v>#NAME?</v>
      </c>
      <c r="E11" s="43" t="e">
        <f>dsd("RBC Monthly Incoming ACH",6)</f>
        <v>#NAME?</v>
      </c>
      <c r="F11" s="43" t="e">
        <f>dsd("RBC Monthly Incoming Wire",6)</f>
        <v>#NAME?</v>
      </c>
      <c r="G11" s="43" t="e">
        <f>dsd("RBC Commercial Deposit",6)</f>
        <v>#NAME?</v>
      </c>
      <c r="H11" s="43" t="e">
        <f>dsd("RBC Debits",6)</f>
        <v>#NAME?</v>
      </c>
      <c r="I11" s="43" t="e">
        <f>dsd("RBC Outgoing ACH",6)</f>
        <v>#NAME?</v>
      </c>
      <c r="J11" s="43" t="e">
        <f>dsd("RBC Monthly Outgoing Wire",6)</f>
        <v>#NAME?</v>
      </c>
      <c r="K11" s="43" t="e">
        <f>dsd("RBC Check Paid",6)</f>
        <v>#NAME?</v>
      </c>
      <c r="L11" s="43" t="e">
        <f>dsd("RBC Monthly Other",6)</f>
        <v>#NAME?</v>
      </c>
      <c r="M11" s="72" t="e">
        <f>SUM(C11:I11,J11:L11)</f>
        <v>#NULL!</v>
      </c>
      <c r="O11" s="43" t="e">
        <f>dsd("RBC Monthly Credits and Debits",6)</f>
        <v>#NAME?</v>
      </c>
    </row>
    <row r="12" ht="12.75" s="66" customFormat="true">
      <c r="A12" s="41" t="n">
        <f>IF(A11&lt;&gt;"",IF(MONTH(A11)=MONTH(A11+1),A11+1,""),"")</f>
        <v>42284.0</v>
      </c>
      <c r="B12" s="71"/>
      <c r="C12" s="43" t="e">
        <f>dsd("RBC Monthly Opening Ledger",7)</f>
        <v>#NAME?</v>
      </c>
      <c r="D12" s="43" t="e">
        <f>dsd("RBC Credits",7)</f>
        <v>#NAME?</v>
      </c>
      <c r="E12" s="43" t="e">
        <f>dsd("RBC Monthly Incoming ACH",7)</f>
        <v>#NAME?</v>
      </c>
      <c r="F12" s="43" t="e">
        <f>dsd("RBC Monthly Incoming Wire",7)</f>
        <v>#NAME?</v>
      </c>
      <c r="G12" s="43" t="e">
        <f>dsd("RBC Commercial Deposit",7)</f>
        <v>#NAME?</v>
      </c>
      <c r="H12" s="43" t="e">
        <f>dsd("RBC Debits",7)</f>
        <v>#NAME?</v>
      </c>
      <c r="I12" s="43" t="e">
        <f>dsd("RBC Outgoing ACH",7)</f>
        <v>#NAME?</v>
      </c>
      <c r="J12" s="43" t="e">
        <f>dsd("RBC Monthly Outgoing Wire",7)</f>
        <v>#NAME?</v>
      </c>
      <c r="K12" s="43" t="e">
        <f>dsd("RBC Check Paid",7)</f>
        <v>#NAME?</v>
      </c>
      <c r="L12" s="43" t="e">
        <f>dsd("RBC Monthly Other",7)</f>
        <v>#NAME?</v>
      </c>
      <c r="M12" s="72" t="e">
        <f>SUM(C12:I12,J12:L12)</f>
        <v>#NULL!</v>
      </c>
      <c r="O12" s="43" t="e">
        <f>dsd("RBC Monthly Credits and Debits",7)</f>
        <v>#NAME?</v>
      </c>
    </row>
    <row r="13" ht="12.75" s="66" customFormat="true">
      <c r="A13" s="41" t="n">
        <f>IF(A12&lt;&gt;"",IF(MONTH(A12)=MONTH(A12+1),A12+1,""),"")</f>
        <v>42285.0</v>
      </c>
      <c r="B13" s="71"/>
      <c r="C13" s="43" t="e">
        <f>dsd("RBC Monthly Opening Ledger",8)</f>
        <v>#NAME?</v>
      </c>
      <c r="D13" s="43" t="e">
        <f>dsd("RBC Credits",8)</f>
        <v>#NAME?</v>
      </c>
      <c r="E13" s="43" t="e">
        <f>dsd("RBC Monthly Incoming ACH",8)</f>
        <v>#NAME?</v>
      </c>
      <c r="F13" s="43" t="e">
        <f>dsd("RBC Monthly Incoming Wire",8)</f>
        <v>#NAME?</v>
      </c>
      <c r="G13" s="43" t="e">
        <f>dsd("RBC Commercial Deposit",8)</f>
        <v>#NAME?</v>
      </c>
      <c r="H13" s="43" t="e">
        <f>dsd("RBC Debits",8)</f>
        <v>#NAME?</v>
      </c>
      <c r="I13" s="43" t="e">
        <f>dsd("RBC Outgoing ACH",8)</f>
        <v>#NAME?</v>
      </c>
      <c r="J13" s="43" t="e">
        <f>dsd("RBC Monthly Outgoing Wire",8)</f>
        <v>#NAME?</v>
      </c>
      <c r="K13" s="43" t="e">
        <f>dsd("RBC Check Paid",8)</f>
        <v>#NAME?</v>
      </c>
      <c r="L13" s="43" t="e">
        <f>dsd("RBC Monthly Other",8)</f>
        <v>#NAME?</v>
      </c>
      <c r="M13" s="72" t="e">
        <f>SUM(C13:I13,J13:L13)</f>
        <v>#NULL!</v>
      </c>
      <c r="O13" s="43" t="e">
        <f>dsd("RBC Monthly Credits and Debits",8)</f>
        <v>#NAME?</v>
      </c>
    </row>
    <row r="14" ht="12.75" s="66" customFormat="true">
      <c r="A14" s="41" t="n">
        <f>IF(A13&lt;&gt;"",IF(MONTH(A13)=MONTH(A13+1),A13+1,""),"")</f>
        <v>42286.0</v>
      </c>
      <c r="B14" s="71"/>
      <c r="C14" s="43" t="e">
        <f>dsd("RBC Monthly Opening Ledger",9)</f>
        <v>#NAME?</v>
      </c>
      <c r="D14" s="43" t="e">
        <f>dsd("RBC Credits",9)</f>
        <v>#NAME?</v>
      </c>
      <c r="E14" s="43" t="e">
        <f>dsd("RBC Monthly Incoming ACH",9)</f>
        <v>#NAME?</v>
      </c>
      <c r="F14" s="43" t="e">
        <f>dsd("RBC Monthly Incoming Wire",9)</f>
        <v>#NAME?</v>
      </c>
      <c r="G14" s="43" t="e">
        <f>dsd("RBC Commercial Deposit",9)</f>
        <v>#NAME?</v>
      </c>
      <c r="H14" s="43" t="e">
        <f>dsd("RBC Debits",9)</f>
        <v>#NAME?</v>
      </c>
      <c r="I14" s="43" t="e">
        <f>dsd("RBC Outgoing ACH",9)</f>
        <v>#NAME?</v>
      </c>
      <c r="J14" s="43" t="e">
        <f>dsd("RBC Monthly Outgoing Wire",9)</f>
        <v>#NAME?</v>
      </c>
      <c r="K14" s="43" t="e">
        <f>dsd("RBC Check Paid",9)</f>
        <v>#NAME?</v>
      </c>
      <c r="L14" s="43" t="e">
        <f>dsd("RBC Monthly Other",9)</f>
        <v>#NAME?</v>
      </c>
      <c r="M14" s="72" t="e">
        <f>SUM(C14:I14,J14:L14)</f>
        <v>#NULL!</v>
      </c>
      <c r="O14" s="43" t="e">
        <f>dsd("RBC Monthly Credits and Debits",9)</f>
        <v>#NAME?</v>
      </c>
    </row>
    <row r="15" ht="12.75" s="66" customFormat="true">
      <c r="A15" s="41" t="n">
        <f>IF(A14&lt;&gt;"",IF(MONTH(A14)=MONTH(A14+1),A14+1,""),"")</f>
        <v>42287.0</v>
      </c>
      <c r="B15" s="71"/>
      <c r="C15" s="43" t="e">
        <f>dsd("RBC Monthly Opening Ledger",10)</f>
        <v>#NAME?</v>
      </c>
      <c r="D15" s="43" t="e">
        <f>dsd("RBC Credits",10)</f>
        <v>#NAME?</v>
      </c>
      <c r="E15" s="43" t="e">
        <f>dsd("RBC Monthly Incoming ACH",10)</f>
        <v>#NAME?</v>
      </c>
      <c r="F15" s="43" t="e">
        <f>dsd("RBC Monthly Incoming Wire",10)</f>
        <v>#NAME?</v>
      </c>
      <c r="G15" s="43" t="e">
        <f>dsd("RBC Commercial Deposit",10)</f>
        <v>#NAME?</v>
      </c>
      <c r="H15" s="43" t="e">
        <f>dsd("RBC Debits",10)</f>
        <v>#NAME?</v>
      </c>
      <c r="I15" s="43" t="e">
        <f>dsd("RBC Outgoing ACH",10)</f>
        <v>#NAME?</v>
      </c>
      <c r="J15" s="43" t="e">
        <f>dsd("RBC Monthly Outgoing Wire",10)</f>
        <v>#NAME?</v>
      </c>
      <c r="K15" s="43" t="e">
        <f>dsd("RBC Check Paid",10)</f>
        <v>#NAME?</v>
      </c>
      <c r="L15" s="43" t="e">
        <f>dsd("RBC Monthly Other",10)</f>
        <v>#NAME?</v>
      </c>
      <c r="M15" s="72" t="e">
        <f>SUM(C15:I15,J15:L15)</f>
        <v>#NULL!</v>
      </c>
      <c r="O15" s="43" t="e">
        <f>dsd("RBC Monthly Credits and Debits",10)</f>
        <v>#NAME?</v>
      </c>
    </row>
    <row r="16" ht="12.75" s="66" customFormat="true">
      <c r="A16" s="41" t="n">
        <f>IF(A15&lt;&gt;"",IF(MONTH(A15)=MONTH(A15+1),A15+1,""),"")</f>
        <v>42288.0</v>
      </c>
      <c r="B16" s="71"/>
      <c r="C16" s="43" t="e">
        <f>dsd("RBC Monthly Opening Ledger",11)</f>
        <v>#NAME?</v>
      </c>
      <c r="D16" s="43" t="e">
        <f>dsd("RBC Credits",11)</f>
        <v>#NAME?</v>
      </c>
      <c r="E16" s="43" t="e">
        <f>dsd("RBC Monthly Incoming ACH",11)</f>
        <v>#NAME?</v>
      </c>
      <c r="F16" s="43" t="e">
        <f>dsd("RBC Monthly Incoming Wire",11)</f>
        <v>#NAME?</v>
      </c>
      <c r="G16" s="43" t="e">
        <f>dsd("RBC Commercial Deposit",11)</f>
        <v>#NAME?</v>
      </c>
      <c r="H16" s="43" t="e">
        <f>dsd("RBC Debits",11)</f>
        <v>#NAME?</v>
      </c>
      <c r="I16" s="43" t="e">
        <f>dsd("RBC Outgoing ACH",11)</f>
        <v>#NAME?</v>
      </c>
      <c r="J16" s="43" t="e">
        <f>dsd("RBC Monthly Outgoing Wire",11)</f>
        <v>#NAME?</v>
      </c>
      <c r="K16" s="43" t="e">
        <f>dsd("RBC Check Paid",11)</f>
        <v>#NAME?</v>
      </c>
      <c r="L16" s="43" t="e">
        <f>dsd("RBC Monthly Other",11)</f>
        <v>#NAME?</v>
      </c>
      <c r="M16" s="72" t="e">
        <f>SUM(C16:I16,J16:L16)</f>
        <v>#NULL!</v>
      </c>
      <c r="O16" s="43" t="e">
        <f>dsd("RBC Monthly Credits and Debits",11)</f>
        <v>#NAME?</v>
      </c>
    </row>
    <row r="17" ht="12.75" s="66" customFormat="true">
      <c r="A17" s="41" t="n">
        <f>IF(A16&lt;&gt;"",IF(MONTH(A16)=MONTH(A16+1),A16+1,""),"")</f>
        <v>42289.0</v>
      </c>
      <c r="B17" s="71"/>
      <c r="C17" s="43" t="e">
        <f>dsd("RBC Monthly Opening Ledger",12)</f>
        <v>#NAME?</v>
      </c>
      <c r="D17" s="43" t="e">
        <f>dsd("RBC Credits",12)</f>
        <v>#NAME?</v>
      </c>
      <c r="E17" s="43" t="e">
        <f>dsd("RBC Monthly Incoming ACH",12)</f>
        <v>#NAME?</v>
      </c>
      <c r="F17" s="43" t="e">
        <f>dsd("RBC Monthly Incoming Wire",12)</f>
        <v>#NAME?</v>
      </c>
      <c r="G17" s="43" t="e">
        <f>dsd("RBC Commercial Deposit",12)</f>
        <v>#NAME?</v>
      </c>
      <c r="H17" s="43" t="e">
        <f>dsd("RBC Debits",12)</f>
        <v>#NAME?</v>
      </c>
      <c r="I17" s="43" t="e">
        <f>dsd("RBC Outgoing ACH",12)</f>
        <v>#NAME?</v>
      </c>
      <c r="J17" s="43" t="e">
        <f>dsd("RBC Monthly Outgoing Wire",12)</f>
        <v>#NAME?</v>
      </c>
      <c r="K17" s="43" t="e">
        <f>dsd("RBC Check Paid",12)</f>
        <v>#NAME?</v>
      </c>
      <c r="L17" s="43" t="e">
        <f>dsd("RBC Monthly Other",12)</f>
        <v>#NAME?</v>
      </c>
      <c r="M17" s="72" t="e">
        <f>SUM(C17:I17,J17:L17)</f>
        <v>#NULL!</v>
      </c>
      <c r="O17" s="43" t="e">
        <f>dsd("RBC Monthly Credits and Debits",12)</f>
        <v>#NAME?</v>
      </c>
    </row>
    <row r="18" ht="12.75" s="66" customFormat="true">
      <c r="A18" s="41" t="n">
        <f>IF(A17&lt;&gt;"",IF(MONTH(A17)=MONTH(A17+1),A17+1,""),"")</f>
        <v>42290.0</v>
      </c>
      <c r="B18" s="71"/>
      <c r="C18" s="43" t="e">
        <f>dsd("RBC Monthly Opening Ledger",13)</f>
        <v>#NAME?</v>
      </c>
      <c r="D18" s="43" t="e">
        <f>dsd("RBC Credits",13)</f>
        <v>#NAME?</v>
      </c>
      <c r="E18" s="43" t="e">
        <f>dsd("RBC Monthly Incoming ACH",13)</f>
        <v>#NAME?</v>
      </c>
      <c r="F18" s="43" t="e">
        <f>dsd("RBC Monthly Incoming Wire",13)</f>
        <v>#NAME?</v>
      </c>
      <c r="G18" s="43" t="e">
        <f>dsd("RBC Commercial Deposit",13)</f>
        <v>#NAME?</v>
      </c>
      <c r="H18" s="43" t="e">
        <f>dsd("RBC Debits",13)</f>
        <v>#NAME?</v>
      </c>
      <c r="I18" s="43" t="e">
        <f>dsd("RBC Outgoing ACH",13)</f>
        <v>#NAME?</v>
      </c>
      <c r="J18" s="43" t="e">
        <f>dsd("RBC Monthly Outgoing Wire",13)</f>
        <v>#NAME?</v>
      </c>
      <c r="K18" s="43" t="e">
        <f>dsd("RBC Check Paid",13)</f>
        <v>#NAME?</v>
      </c>
      <c r="L18" s="43" t="e">
        <f>dsd("RBC Monthly Other",13)</f>
        <v>#NAME?</v>
      </c>
      <c r="M18" s="72" t="e">
        <f>SUM(C18:I18,J18:L18)</f>
        <v>#NULL!</v>
      </c>
      <c r="O18" s="43" t="e">
        <f>dsd("RBC Monthly Credits and Debits",13)</f>
        <v>#NAME?</v>
      </c>
    </row>
    <row r="19" ht="12.75" s="66" customFormat="true">
      <c r="A19" s="41" t="n">
        <f>IF(A18&lt;&gt;"",IF(MONTH(A18)=MONTH(A18+1),A18+1,""),"")</f>
        <v>42291.0</v>
      </c>
      <c r="B19" s="71"/>
      <c r="C19" s="43" t="e">
        <f>dsd("RBC Monthly Opening Ledger",14)</f>
        <v>#NAME?</v>
      </c>
      <c r="D19" s="43" t="e">
        <f>dsd("RBC Credits",14)</f>
        <v>#NAME?</v>
      </c>
      <c r="E19" s="43" t="e">
        <f>dsd("RBC Monthly Incoming ACH",14)</f>
        <v>#NAME?</v>
      </c>
      <c r="F19" s="43" t="e">
        <f>dsd("RBC Monthly Incoming Wire",14)</f>
        <v>#NAME?</v>
      </c>
      <c r="G19" s="43" t="e">
        <f>dsd("RBC Commercial Deposit",14)</f>
        <v>#NAME?</v>
      </c>
      <c r="H19" s="43" t="e">
        <f>dsd("RBC Debits",14)</f>
        <v>#NAME?</v>
      </c>
      <c r="I19" s="43" t="e">
        <f>dsd("RBC Outgoing ACH",14)</f>
        <v>#NAME?</v>
      </c>
      <c r="J19" s="43" t="e">
        <f>dsd("RBC Monthly Outgoing Wire",14)</f>
        <v>#NAME?</v>
      </c>
      <c r="K19" s="43" t="e">
        <f>dsd("RBC Check Paid",14)</f>
        <v>#NAME?</v>
      </c>
      <c r="L19" s="43" t="e">
        <f>dsd("RBC Monthly Other",14)</f>
        <v>#NAME?</v>
      </c>
      <c r="M19" s="72" t="e">
        <f>SUM(C19:I19,J19:L19)</f>
        <v>#NULL!</v>
      </c>
      <c r="O19" s="43" t="e">
        <f>dsd("RBC Monthly Credits and Debits",14)</f>
        <v>#NAME?</v>
      </c>
    </row>
    <row r="20" ht="12.75" s="66" customFormat="true">
      <c r="A20" s="41" t="n">
        <f>IF(A19&lt;&gt;"",IF(MONTH(A19)=MONTH(A19+1),A19+1,""),"")</f>
        <v>42292.0</v>
      </c>
      <c r="B20" s="71"/>
      <c r="C20" s="43" t="e">
        <f>dsd("RBC Monthly Opening Ledger",15)</f>
        <v>#NAME?</v>
      </c>
      <c r="D20" s="43" t="e">
        <f>dsd("RBC Credits",15)</f>
        <v>#NAME?</v>
      </c>
      <c r="E20" s="43" t="e">
        <f>dsd("RBC Monthly Incoming ACH",15)</f>
        <v>#NAME?</v>
      </c>
      <c r="F20" s="43" t="e">
        <f>dsd("RBC Monthly Incoming Wire",15)</f>
        <v>#NAME?</v>
      </c>
      <c r="G20" s="43" t="e">
        <f>dsd("RBC Commercial Deposit",15)</f>
        <v>#NAME?</v>
      </c>
      <c r="H20" s="43" t="e">
        <f>dsd("RBC Debits",15)</f>
        <v>#NAME?</v>
      </c>
      <c r="I20" s="43" t="e">
        <f>dsd("RBC Outgoing ACH",15)</f>
        <v>#NAME?</v>
      </c>
      <c r="J20" s="43" t="e">
        <f>dsd("RBC Monthly Outgoing Wire",15)</f>
        <v>#NAME?</v>
      </c>
      <c r="K20" s="43" t="e">
        <f>dsd("RBC Check Paid",15)</f>
        <v>#NAME?</v>
      </c>
      <c r="L20" s="43" t="e">
        <f>dsd("RBC Monthly Other",15)</f>
        <v>#NAME?</v>
      </c>
      <c r="M20" s="72" t="e">
        <f>SUM(C20:I20,J20:L20)</f>
        <v>#NULL!</v>
      </c>
      <c r="O20" s="43" t="e">
        <f>dsd("RBC Monthly Credits and Debits",15)</f>
        <v>#NAME?</v>
      </c>
    </row>
    <row r="21" ht="12.75" s="66" customFormat="true">
      <c r="A21" s="41" t="n">
        <f>IF(A20&lt;&gt;"",IF(MONTH(A20)=MONTH(A20+1),A20+1,""),"")</f>
        <v>42293.0</v>
      </c>
      <c r="B21" s="71"/>
      <c r="C21" s="43" t="e">
        <f>dsd("RBC Monthly Opening Ledger",16)</f>
        <v>#NAME?</v>
      </c>
      <c r="D21" s="43" t="e">
        <f>dsd("RBC Credits",16)</f>
        <v>#NAME?</v>
      </c>
      <c r="E21" s="43" t="e">
        <f>dsd("RBC Monthly Incoming ACH",16)</f>
        <v>#NAME?</v>
      </c>
      <c r="F21" s="43" t="e">
        <f>dsd("RBC Monthly Incoming Wire",16)</f>
        <v>#NAME?</v>
      </c>
      <c r="G21" s="43" t="e">
        <f>dsd("RBC Commercial Deposit",16)</f>
        <v>#NAME?</v>
      </c>
      <c r="H21" s="43" t="e">
        <f>dsd("RBC Debits",16)</f>
        <v>#NAME?</v>
      </c>
      <c r="I21" s="43" t="e">
        <f>dsd("RBC Outgoing ACH",16)</f>
        <v>#NAME?</v>
      </c>
      <c r="J21" s="43" t="e">
        <f>dsd("RBC Monthly Outgoing Wire",16)</f>
        <v>#NAME?</v>
      </c>
      <c r="K21" s="43" t="e">
        <f>dsd("RBC Check Paid",16)</f>
        <v>#NAME?</v>
      </c>
      <c r="L21" s="43" t="e">
        <f>dsd("RBC Monthly Other",16)</f>
        <v>#NAME?</v>
      </c>
      <c r="M21" s="72" t="e">
        <f>SUM(C21:I21,J21:L21)</f>
        <v>#NULL!</v>
      </c>
      <c r="O21" s="43" t="e">
        <f>dsd("RBC Monthly Credits and Debits",16)</f>
        <v>#NAME?</v>
      </c>
    </row>
    <row r="22" ht="12.75" s="66" customFormat="true">
      <c r="A22" s="41" t="n">
        <f>IF(A21&lt;&gt;"",IF(MONTH(A21)=MONTH(A21+1),A21+1,""),"")</f>
        <v>42294.0</v>
      </c>
      <c r="B22" s="71"/>
      <c r="C22" s="43" t="e">
        <f>dsd("RBC Monthly Opening Ledger",17)</f>
        <v>#NAME?</v>
      </c>
      <c r="D22" s="43" t="e">
        <f>dsd("RBC Credits",17)</f>
        <v>#NAME?</v>
      </c>
      <c r="E22" s="43" t="e">
        <f>dsd("RBC Monthly Incoming ACH",17)</f>
        <v>#NAME?</v>
      </c>
      <c r="F22" s="43" t="e">
        <f>dsd("RBC Monthly Incoming Wire",17)</f>
        <v>#NAME?</v>
      </c>
      <c r="G22" s="43" t="e">
        <f>dsd("RBC Commercial Deposit",17)</f>
        <v>#NAME?</v>
      </c>
      <c r="H22" s="43" t="e">
        <f>dsd("RBC Debits",17)</f>
        <v>#NAME?</v>
      </c>
      <c r="I22" s="43" t="e">
        <f>dsd("RBC Outgoing ACH",17)</f>
        <v>#NAME?</v>
      </c>
      <c r="J22" s="43" t="e">
        <f>dsd("RBC Monthly Outgoing Wire",17)</f>
        <v>#NAME?</v>
      </c>
      <c r="K22" s="43" t="e">
        <f>dsd("RBC Check Paid",17)</f>
        <v>#NAME?</v>
      </c>
      <c r="L22" s="43" t="e">
        <f>dsd("RBC Monthly Other",17)</f>
        <v>#NAME?</v>
      </c>
      <c r="M22" s="72" t="e">
        <f>SUM(C22:I22,J22:L22)</f>
        <v>#NULL!</v>
      </c>
      <c r="O22" s="43" t="e">
        <f>dsd("RBC Monthly Credits and Debits",17)</f>
        <v>#NAME?</v>
      </c>
    </row>
    <row r="23" ht="12.75" s="66" customFormat="true">
      <c r="A23" s="41" t="n">
        <f>IF(A22&lt;&gt;"",IF(MONTH(A22)=MONTH(A22+1),A22+1,""),"")</f>
        <v>42295.0</v>
      </c>
      <c r="B23" s="71"/>
      <c r="C23" s="43" t="e">
        <f>dsd("RBC Monthly Opening Ledger",18)</f>
        <v>#NAME?</v>
      </c>
      <c r="D23" s="43" t="e">
        <f>dsd("RBC Credits",18)</f>
        <v>#NAME?</v>
      </c>
      <c r="E23" s="43" t="e">
        <f>dsd("RBC Monthly Incoming ACH",18)</f>
        <v>#NAME?</v>
      </c>
      <c r="F23" s="43" t="e">
        <f>dsd("RBC Monthly Incoming Wire",18)</f>
        <v>#NAME?</v>
      </c>
      <c r="G23" s="43" t="e">
        <f>dsd("RBC Commercial Deposit",18)</f>
        <v>#NAME?</v>
      </c>
      <c r="H23" s="43" t="e">
        <f>dsd("RBC Debits",18)</f>
        <v>#NAME?</v>
      </c>
      <c r="I23" s="43" t="e">
        <f>dsd("RBC Outgoing ACH",18)</f>
        <v>#NAME?</v>
      </c>
      <c r="J23" s="43" t="e">
        <f>dsd("RBC Monthly Outgoing Wire",18)</f>
        <v>#NAME?</v>
      </c>
      <c r="K23" s="43" t="e">
        <f>dsd("RBC Check Paid",18)</f>
        <v>#NAME?</v>
      </c>
      <c r="L23" s="43" t="e">
        <f>dsd("RBC Monthly Other",18)</f>
        <v>#NAME?</v>
      </c>
      <c r="M23" s="72" t="e">
        <f>SUM(C23:I23,J23:L23)</f>
        <v>#NULL!</v>
      </c>
      <c r="O23" s="43" t="e">
        <f>dsd("RBC Monthly Credits and Debits",18)</f>
        <v>#NAME?</v>
      </c>
    </row>
    <row r="24" ht="12.75" s="66" customFormat="true">
      <c r="A24" s="41" t="n">
        <f>IF(A23&lt;&gt;"",IF(MONTH(A23)=MONTH(A23+1),A23+1,""),"")</f>
        <v>42296.0</v>
      </c>
      <c r="B24" s="71"/>
      <c r="C24" s="43" t="e">
        <f>dsd("RBC Monthly Opening Ledger",19)</f>
        <v>#NAME?</v>
      </c>
      <c r="D24" s="43" t="e">
        <f>dsd("RBC Credits",19)</f>
        <v>#NAME?</v>
      </c>
      <c r="E24" s="43" t="e">
        <f>dsd("RBC Monthly Incoming ACH",19)</f>
        <v>#NAME?</v>
      </c>
      <c r="F24" s="43" t="e">
        <f>dsd("RBC Monthly Incoming Wire",19)</f>
        <v>#NAME?</v>
      </c>
      <c r="G24" s="43" t="e">
        <f>dsd("RBC Commercial Deposit",19)</f>
        <v>#NAME?</v>
      </c>
      <c r="H24" s="43" t="e">
        <f>dsd("RBC Debits",19)</f>
        <v>#NAME?</v>
      </c>
      <c r="I24" s="43" t="e">
        <f>dsd("RBC Outgoing ACH",19)</f>
        <v>#NAME?</v>
      </c>
      <c r="J24" s="43" t="e">
        <f>dsd("RBC Monthly Outgoing Wire",19)</f>
        <v>#NAME?</v>
      </c>
      <c r="K24" s="43" t="e">
        <f>dsd("RBC Check Paid",19)</f>
        <v>#NAME?</v>
      </c>
      <c r="L24" s="43" t="e">
        <f>dsd("RBC Monthly Other",19)</f>
        <v>#NAME?</v>
      </c>
      <c r="M24" s="72" t="e">
        <f>SUM(C24:I24,J24:L24)</f>
        <v>#NULL!</v>
      </c>
      <c r="O24" s="43" t="e">
        <f>dsd("RBC Monthly Credits and Debits",19)</f>
        <v>#NAME?</v>
      </c>
    </row>
    <row r="25" ht="12.75" s="66" customFormat="true">
      <c r="A25" s="41" t="n">
        <f>IF(A24&lt;&gt;"",IF(MONTH(A24)=MONTH(A24+1),A24+1,""),"")</f>
        <v>42297.0</v>
      </c>
      <c r="B25" s="71"/>
      <c r="C25" s="43" t="e">
        <f>dsd("RBC Monthly Opening Ledger",20)</f>
        <v>#NAME?</v>
      </c>
      <c r="D25" s="43" t="e">
        <f>dsd("RBC Credits",20)</f>
        <v>#NAME?</v>
      </c>
      <c r="E25" s="43" t="e">
        <f>dsd("RBC Monthly Incoming ACH",20)</f>
        <v>#NAME?</v>
      </c>
      <c r="F25" s="43" t="e">
        <f>dsd("RBC Monthly Incoming Wire",20)</f>
        <v>#NAME?</v>
      </c>
      <c r="G25" s="43" t="e">
        <f>dsd("RBC Commercial Deposit",20)</f>
        <v>#NAME?</v>
      </c>
      <c r="H25" s="43" t="e">
        <f>dsd("RBC Debits",20)</f>
        <v>#NAME?</v>
      </c>
      <c r="I25" s="43" t="e">
        <f>dsd("RBC Outgoing ACH",20)</f>
        <v>#NAME?</v>
      </c>
      <c r="J25" s="43" t="e">
        <f>dsd("RBC Monthly Outgoing Wire",20)</f>
        <v>#NAME?</v>
      </c>
      <c r="K25" s="43" t="e">
        <f>dsd("RBC Check Paid",20)</f>
        <v>#NAME?</v>
      </c>
      <c r="L25" s="43" t="e">
        <f>dsd("RBC Monthly Other",20)</f>
        <v>#NAME?</v>
      </c>
      <c r="M25" s="72" t="e">
        <f>SUM(C25:I25,J25:L25)</f>
        <v>#NULL!</v>
      </c>
      <c r="O25" s="43" t="e">
        <f>dsd("RBC Monthly Credits and Debits",20)</f>
        <v>#NAME?</v>
      </c>
    </row>
    <row r="26" ht="12.75" s="66" customFormat="true">
      <c r="A26" s="41" t="n">
        <f>IF(A25&lt;&gt;"",IF(MONTH(A25)=MONTH(A25+1),A25+1,""),"")</f>
        <v>42298.0</v>
      </c>
      <c r="B26" s="71"/>
      <c r="C26" s="43" t="e">
        <f>dsd("RBC Monthly Opening Ledger",21)</f>
        <v>#NAME?</v>
      </c>
      <c r="D26" s="43" t="e">
        <f>dsd("RBC Credits",21)</f>
        <v>#NAME?</v>
      </c>
      <c r="E26" s="43" t="e">
        <f>dsd("RBC Monthly Incoming ACH",21)</f>
        <v>#NAME?</v>
      </c>
      <c r="F26" s="43" t="e">
        <f>dsd("RBC Monthly Incoming Wire",21)</f>
        <v>#NAME?</v>
      </c>
      <c r="G26" s="43" t="e">
        <f>dsd("RBC Commercial Deposit",21)</f>
        <v>#NAME?</v>
      </c>
      <c r="H26" s="43" t="e">
        <f>dsd("RBC Debits",21)</f>
        <v>#NAME?</v>
      </c>
      <c r="I26" s="43" t="e">
        <f>dsd("RBC Outgoing ACH",21)</f>
        <v>#NAME?</v>
      </c>
      <c r="J26" s="43" t="e">
        <f>dsd("RBC Monthly Outgoing Wire",21)</f>
        <v>#NAME?</v>
      </c>
      <c r="K26" s="43" t="e">
        <f>dsd("RBC Check Paid",21)</f>
        <v>#NAME?</v>
      </c>
      <c r="L26" s="43" t="e">
        <f>dsd("RBC Monthly Other",21)</f>
        <v>#NAME?</v>
      </c>
      <c r="M26" s="72" t="e">
        <f>SUM(C26:I26,J26:L26)</f>
        <v>#NULL!</v>
      </c>
      <c r="O26" s="43" t="e">
        <f>dsd("RBC Monthly Credits and Debits",21)</f>
        <v>#NAME?</v>
      </c>
    </row>
    <row r="27" ht="12.75" s="66" customFormat="true">
      <c r="A27" s="41" t="n">
        <f>IF(A26&lt;&gt;"",IF(MONTH(A26)=MONTH(A26+1),A26+1,""),"")</f>
        <v>42299.0</v>
      </c>
      <c r="B27" s="71"/>
      <c r="C27" s="43" t="e">
        <f>dsd("RBC Monthly Opening Ledger",22)</f>
        <v>#NAME?</v>
      </c>
      <c r="D27" s="43" t="e">
        <f>dsd("RBC Credits",22)</f>
        <v>#NAME?</v>
      </c>
      <c r="E27" s="43" t="e">
        <f>dsd("RBC Monthly Incoming ACH",22)</f>
        <v>#NAME?</v>
      </c>
      <c r="F27" s="43" t="e">
        <f>dsd("RBC Monthly Incoming Wire",22)</f>
        <v>#NAME?</v>
      </c>
      <c r="G27" s="43" t="e">
        <f>dsd("RBC Commercial Deposit",22)</f>
        <v>#NAME?</v>
      </c>
      <c r="H27" s="43" t="e">
        <f>dsd("RBC Debits",22)</f>
        <v>#NAME?</v>
      </c>
      <c r="I27" s="43" t="e">
        <f>dsd("RBC Outgoing ACH",22)</f>
        <v>#NAME?</v>
      </c>
      <c r="J27" s="43" t="e">
        <f>dsd("RBC Monthly Outgoing Wire",22)</f>
        <v>#NAME?</v>
      </c>
      <c r="K27" s="43" t="e">
        <f>dsd("RBC Check Paid",22)</f>
        <v>#NAME?</v>
      </c>
      <c r="L27" s="43" t="e">
        <f>dsd("RBC Monthly Other",22)</f>
        <v>#NAME?</v>
      </c>
      <c r="M27" s="72" t="e">
        <f>SUM(C27:I27,J27:L27)</f>
        <v>#NULL!</v>
      </c>
      <c r="O27" s="43" t="e">
        <f>dsd("RBC Monthly Credits and Debits",22)</f>
        <v>#NAME?</v>
      </c>
    </row>
    <row r="28" ht="12.75" s="66" customFormat="true">
      <c r="A28" s="41" t="n">
        <f>IF(A27&lt;&gt;"",IF(MONTH(A27)=MONTH(A27+1),A27+1,""),"")</f>
        <v>42300.0</v>
      </c>
      <c r="B28" s="71"/>
      <c r="C28" s="43" t="e">
        <f>dsd("RBC Monthly Opening Ledger",23)</f>
        <v>#NAME?</v>
      </c>
      <c r="D28" s="43" t="e">
        <f>dsd("RBC Credits",23)</f>
        <v>#NAME?</v>
      </c>
      <c r="E28" s="43" t="e">
        <f>dsd("RBC Monthly Incoming ACH",23)</f>
        <v>#NAME?</v>
      </c>
      <c r="F28" s="43" t="e">
        <f>dsd("RBC Monthly Incoming Wire",23)</f>
        <v>#NAME?</v>
      </c>
      <c r="G28" s="43" t="e">
        <f>dsd("RBC Commercial Deposit",23)</f>
        <v>#NAME?</v>
      </c>
      <c r="H28" s="43" t="e">
        <f>dsd("RBC Debits",23)</f>
        <v>#NAME?</v>
      </c>
      <c r="I28" s="43" t="e">
        <f>dsd("RBC Outgoing ACH",23)</f>
        <v>#NAME?</v>
      </c>
      <c r="J28" s="43" t="e">
        <f>dsd("RBC Monthly Outgoing Wire",23)</f>
        <v>#NAME?</v>
      </c>
      <c r="K28" s="43" t="e">
        <f>dsd("RBC Check Paid",23)</f>
        <v>#NAME?</v>
      </c>
      <c r="L28" s="43" t="e">
        <f>dsd("RBC Monthly Other",23)</f>
        <v>#NAME?</v>
      </c>
      <c r="M28" s="72" t="e">
        <f>SUM(C28:I28,J28:L28)</f>
        <v>#NULL!</v>
      </c>
      <c r="O28" s="43" t="e">
        <f>dsd("RBC Monthly Credits and Debits",23)</f>
        <v>#NAME?</v>
      </c>
    </row>
    <row r="29" ht="12.75" s="66" customFormat="true">
      <c r="A29" s="41" t="n">
        <f>IF(A28&lt;&gt;"",IF(MONTH(A28)=MONTH(A28+1),A28+1,""),"")</f>
        <v>42301.0</v>
      </c>
      <c r="B29" s="71"/>
      <c r="C29" s="43" t="e">
        <f>dsd("RBC Monthly Opening Ledger",24)</f>
        <v>#NAME?</v>
      </c>
      <c r="D29" s="43" t="e">
        <f>dsd("RBC Credits",24)</f>
        <v>#NAME?</v>
      </c>
      <c r="E29" s="43" t="e">
        <f>dsd("RBC Monthly Incoming ACH",24)</f>
        <v>#NAME?</v>
      </c>
      <c r="F29" s="43" t="e">
        <f>dsd("RBC Monthly Incoming Wire",24)</f>
        <v>#NAME?</v>
      </c>
      <c r="G29" s="43" t="e">
        <f>dsd("RBC Commercial Deposit",24)</f>
        <v>#NAME?</v>
      </c>
      <c r="H29" s="43" t="e">
        <f>dsd("RBC Debits",24)</f>
        <v>#NAME?</v>
      </c>
      <c r="I29" s="43" t="e">
        <f>dsd("RBC Outgoing ACH",24)</f>
        <v>#NAME?</v>
      </c>
      <c r="J29" s="43" t="e">
        <f>dsd("RBC Monthly Outgoing Wire",24)</f>
        <v>#NAME?</v>
      </c>
      <c r="K29" s="43" t="e">
        <f>dsd("RBC Check Paid",24)</f>
        <v>#NAME?</v>
      </c>
      <c r="L29" s="43" t="e">
        <f>dsd("RBC Monthly Other",24)</f>
        <v>#NAME?</v>
      </c>
      <c r="M29" s="72" t="e">
        <f>SUM(C29:I29,J29:L29)</f>
        <v>#NULL!</v>
      </c>
      <c r="O29" s="43" t="e">
        <f>dsd("RBC Monthly Credits and Debits",24)</f>
        <v>#NAME?</v>
      </c>
    </row>
    <row r="30" ht="12.75" s="66" customFormat="true">
      <c r="A30" s="41" t="n">
        <f>IF(A29&lt;&gt;"",IF(MONTH(A29)=MONTH(A29+1),A29+1,""),"")</f>
        <v>42302.0</v>
      </c>
      <c r="B30" s="71"/>
      <c r="C30" s="43" t="e">
        <f>dsd("RBC Monthly Opening Ledger",25)</f>
        <v>#NAME?</v>
      </c>
      <c r="D30" s="43" t="e">
        <f>dsd("RBC Credits",25)</f>
        <v>#NAME?</v>
      </c>
      <c r="E30" s="43" t="e">
        <f>dsd("RBC Monthly Incoming ACH",25)</f>
        <v>#NAME?</v>
      </c>
      <c r="F30" s="43" t="e">
        <f>dsd("RBC Monthly Incoming Wire",25)</f>
        <v>#NAME?</v>
      </c>
      <c r="G30" s="43" t="e">
        <f>dsd("RBC Commercial Deposit",25)</f>
        <v>#NAME?</v>
      </c>
      <c r="H30" s="43" t="e">
        <f>dsd("RBC Debits",25)</f>
        <v>#NAME?</v>
      </c>
      <c r="I30" s="43" t="e">
        <f>dsd("RBC Outgoing ACH",25)</f>
        <v>#NAME?</v>
      </c>
      <c r="J30" s="43" t="e">
        <f>dsd("RBC Monthly Outgoing Wire",25)</f>
        <v>#NAME?</v>
      </c>
      <c r="K30" s="43" t="e">
        <f>dsd("RBC Check Paid",25)</f>
        <v>#NAME?</v>
      </c>
      <c r="L30" s="43" t="e">
        <f>dsd("RBC Monthly Other",25)</f>
        <v>#NAME?</v>
      </c>
      <c r="M30" s="72" t="e">
        <f>SUM(C30:I30,J30:L30)</f>
        <v>#NULL!</v>
      </c>
      <c r="O30" s="43" t="e">
        <f>dsd("RBC Monthly Credits and Debits",25)</f>
        <v>#NAME?</v>
      </c>
    </row>
    <row r="31" ht="12.75" s="66" customFormat="true">
      <c r="A31" s="41" t="n">
        <f>IF(A30&lt;&gt;"",IF(MONTH(A30)=MONTH(A30+1),A30+1,""),"")</f>
        <v>42303.0</v>
      </c>
      <c r="B31" s="71"/>
      <c r="C31" s="43" t="e">
        <f>dsd("RBC Monthly Opening Ledger",26)</f>
        <v>#NAME?</v>
      </c>
      <c r="D31" s="43" t="e">
        <f>dsd("RBC Credits",26)</f>
        <v>#NAME?</v>
      </c>
      <c r="E31" s="43" t="e">
        <f>dsd("RBC Monthly Incoming ACH",26)</f>
        <v>#NAME?</v>
      </c>
      <c r="F31" s="43" t="e">
        <f>dsd("RBC Monthly Incoming Wire",26)</f>
        <v>#NAME?</v>
      </c>
      <c r="G31" s="43" t="e">
        <f>dsd("RBC Commercial Deposit",26)</f>
        <v>#NAME?</v>
      </c>
      <c r="H31" s="43" t="e">
        <f>dsd("RBC Debits",26)</f>
        <v>#NAME?</v>
      </c>
      <c r="I31" s="43" t="e">
        <f>dsd("RBC Outgoing ACH",26)</f>
        <v>#NAME?</v>
      </c>
      <c r="J31" s="43" t="e">
        <f>dsd("RBC Monthly Outgoing Wire",26)</f>
        <v>#NAME?</v>
      </c>
      <c r="K31" s="43" t="e">
        <f>dsd("RBC Check Paid",26)</f>
        <v>#NAME?</v>
      </c>
      <c r="L31" s="43" t="e">
        <f>dsd("RBC Monthly Other",26)</f>
        <v>#NAME?</v>
      </c>
      <c r="M31" s="72" t="e">
        <f>SUM(C31:I31,J31:L31)</f>
        <v>#NULL!</v>
      </c>
      <c r="O31" s="43" t="e">
        <f>dsd("RBC Monthly Credits and Debits",26)</f>
        <v>#NAME?</v>
      </c>
    </row>
    <row r="32" ht="12.75" s="66" customFormat="true">
      <c r="A32" s="41" t="n">
        <f>IF(A31&lt;&gt;"",IF(MONTH(A31)=MONTH(A31+1),A31+1,""),"")</f>
        <v>42304.0</v>
      </c>
      <c r="B32" s="71"/>
      <c r="C32" s="43" t="e">
        <f>dsd("RBC Monthly Opening Ledger",27)</f>
        <v>#NAME?</v>
      </c>
      <c r="D32" s="43" t="e">
        <f>dsd("RBC Credits",27)</f>
        <v>#NAME?</v>
      </c>
      <c r="E32" s="43" t="e">
        <f>dsd("RBC Monthly Incoming ACH",27)</f>
        <v>#NAME?</v>
      </c>
      <c r="F32" s="43" t="e">
        <f>dsd("RBC Monthly Incoming Wire",27)</f>
        <v>#NAME?</v>
      </c>
      <c r="G32" s="43" t="e">
        <f>dsd("RBC Commercial Deposit",27)</f>
        <v>#NAME?</v>
      </c>
      <c r="H32" s="43" t="e">
        <f>dsd("RBC Debits",27)</f>
        <v>#NAME?</v>
      </c>
      <c r="I32" s="43" t="e">
        <f>dsd("RBC Outgoing ACH",27)</f>
        <v>#NAME?</v>
      </c>
      <c r="J32" s="43" t="e">
        <f>dsd("RBC Monthly Outgoing Wire",27)</f>
        <v>#NAME?</v>
      </c>
      <c r="K32" s="43" t="e">
        <f>dsd("RBC Check Paid",27)</f>
        <v>#NAME?</v>
      </c>
      <c r="L32" s="43" t="e">
        <f>dsd("RBC Monthly Other",27)</f>
        <v>#NAME?</v>
      </c>
      <c r="M32" s="72" t="e">
        <f>SUM(C32:I32,J32:L32)</f>
        <v>#NULL!</v>
      </c>
      <c r="O32" s="43" t="e">
        <f>dsd("RBC Monthly Credits and Debits",27)</f>
        <v>#NAME?</v>
      </c>
    </row>
    <row r="33" ht="12.75" s="66" customFormat="true">
      <c r="A33" s="41" t="n">
        <f>IF(A32&lt;&gt;"",IF(MONTH(A32)=MONTH(A32+1),A32+1,""),"")</f>
        <v>42305.0</v>
      </c>
      <c r="B33" s="71"/>
      <c r="C33" s="43" t="e">
        <f>dsd("RBC Monthly Opening Ledger",28)</f>
        <v>#NAME?</v>
      </c>
      <c r="D33" s="43" t="e">
        <f>dsd("RBC Credits",28)</f>
        <v>#NAME?</v>
      </c>
      <c r="E33" s="43" t="e">
        <f>dsd("RBC Monthly Incoming ACH",28)</f>
        <v>#NAME?</v>
      </c>
      <c r="F33" s="43" t="e">
        <f>dsd("RBC Monthly Incoming Wire",28)</f>
        <v>#NAME?</v>
      </c>
      <c r="G33" s="43" t="e">
        <f>dsd("RBC Commercial Deposit",28)</f>
        <v>#NAME?</v>
      </c>
      <c r="H33" s="43" t="e">
        <f>dsd("RBC Debits",28)</f>
        <v>#NAME?</v>
      </c>
      <c r="I33" s="43" t="e">
        <f>dsd("RBC Outgoing ACH",28)</f>
        <v>#NAME?</v>
      </c>
      <c r="J33" s="43" t="e">
        <f>dsd("RBC Monthly Outgoing Wire",28)</f>
        <v>#NAME?</v>
      </c>
      <c r="K33" s="43" t="e">
        <f>dsd("RBC Check Paid",28)</f>
        <v>#NAME?</v>
      </c>
      <c r="L33" s="43" t="e">
        <f>dsd("RBC Monthly Other",28)</f>
        <v>#NAME?</v>
      </c>
      <c r="M33" s="72" t="e">
        <f>SUM(C33:I33,J33:L33)</f>
        <v>#NULL!</v>
      </c>
      <c r="O33" s="43" t="e">
        <f>dsd("RBC Monthly Credits and Debits",28)</f>
        <v>#NAME?</v>
      </c>
    </row>
    <row r="34" ht="12.75" s="66" customFormat="true">
      <c r="A34" s="41" t="n">
        <f>IF(A33&lt;&gt;"",IF(MONTH(A33)=MONTH(A33+1),A33+1,""),"")</f>
        <v>42306.0</v>
      </c>
      <c r="B34" s="71"/>
      <c r="C34" s="43" t="e">
        <f>dsd("RBC Monthly Opening Ledger",29)</f>
        <v>#NAME?</v>
      </c>
      <c r="D34" s="43" t="e">
        <f>dsd("RBC Credits",29)</f>
        <v>#NAME?</v>
      </c>
      <c r="E34" s="43" t="e">
        <f>dsd("RBC Monthly Incoming ACH",29)</f>
        <v>#NAME?</v>
      </c>
      <c r="F34" s="43" t="e">
        <f>dsd("RBC Monthly Incoming Wire",29)</f>
        <v>#NAME?</v>
      </c>
      <c r="G34" s="43" t="e">
        <f>dsd("RBC Commercial Deposit",29)</f>
        <v>#NAME?</v>
      </c>
      <c r="H34" s="43" t="e">
        <f>dsd("RBC Debits",29)</f>
        <v>#NAME?</v>
      </c>
      <c r="I34" s="43" t="e">
        <f>dsd("RBC Outgoing ACH",29)</f>
        <v>#NAME?</v>
      </c>
      <c r="J34" s="43" t="e">
        <f>dsd("RBC Monthly Outgoing Wire",29)</f>
        <v>#NAME?</v>
      </c>
      <c r="K34" s="43" t="e">
        <f>dsd("RBC Check Paid",29)</f>
        <v>#NAME?</v>
      </c>
      <c r="L34" s="43" t="e">
        <f>dsd("RBC Monthly Other",29)</f>
        <v>#NAME?</v>
      </c>
      <c r="M34" s="72" t="e">
        <f>SUM(C34:I34,J34:L34)</f>
        <v>#NULL!</v>
      </c>
      <c r="O34" s="43" t="e">
        <f>dsd("RBC Monthly Credits and Debits",29)</f>
        <v>#NAME?</v>
      </c>
    </row>
    <row r="35" ht="12.75" s="66" customFormat="true">
      <c r="A35" s="73" t="n">
        <f>IF(A34&lt;&gt;"",IF(MONTH(A34)=MONTH(A34+1),A34+1,""),"")</f>
        <v>42307.0</v>
      </c>
      <c r="B35" s="71"/>
      <c r="C35" s="43" t="e">
        <f>dsd("RBC Monthly Opening Ledger",30)</f>
        <v>#NAME?</v>
      </c>
      <c r="D35" s="43" t="e">
        <f>dsd("RBC Credits",30)</f>
        <v>#NAME?</v>
      </c>
      <c r="E35" s="43" t="e">
        <f>dsd("RBC Monthly Incoming ACH",30)</f>
        <v>#NAME?</v>
      </c>
      <c r="F35" s="43" t="e">
        <f>dsd("RBC Monthly Incoming Wire",30)</f>
        <v>#NAME?</v>
      </c>
      <c r="G35" s="43" t="e">
        <f>dsd("RBC Commercial Deposit",30)</f>
        <v>#NAME?</v>
      </c>
      <c r="H35" s="43" t="e">
        <f>dsd("RBC Debits",30)</f>
        <v>#NAME?</v>
      </c>
      <c r="I35" s="43" t="e">
        <f>dsd("RBC Outgoing ACH",30)</f>
        <v>#NAME?</v>
      </c>
      <c r="J35" s="43" t="e">
        <f>dsd("RBC Monthly Outgoing Wire",30)</f>
        <v>#NAME?</v>
      </c>
      <c r="K35" s="43" t="e">
        <f>dsd("RBC Check Paid",30)</f>
        <v>#NAME?</v>
      </c>
      <c r="L35" s="43" t="e">
        <f>dsd("RBC Monthly Other",30)</f>
        <v>#NAME?</v>
      </c>
      <c r="M35" s="72" t="e">
        <f>SUM(C35:I35,J35:L35)</f>
        <v>#NULL!</v>
      </c>
      <c r="O35" s="43" t="e">
        <f>dsd("RBC Monthly Credits and Debits",30)</f>
        <v>#NAME?</v>
      </c>
    </row>
    <row r="36" ht="12.75" s="66" customFormat="true">
      <c r="A36" s="73" t="n">
        <f>IF(A35&lt;&gt;"",IF(MONTH(A35)=MONTH(A35+1),A35+1,""),"")</f>
        <v>42308.0</v>
      </c>
      <c r="B36" s="71"/>
      <c r="C36" s="43" t="e">
        <f>dsd("RBC Monthly Opening Ledger",31)</f>
        <v>#NAME?</v>
      </c>
      <c r="D36" s="43" t="e">
        <f>dsd("RBC Credits",31)</f>
        <v>#NAME?</v>
      </c>
      <c r="E36" s="43" t="e">
        <f>dsd("RBC Monthly Incoming ACH",31)</f>
        <v>#NAME?</v>
      </c>
      <c r="F36" s="43" t="e">
        <f>dsd("RBC Monthly Incoming Wire",31)</f>
        <v>#NAME?</v>
      </c>
      <c r="G36" s="43" t="e">
        <f>dsd("RBC Commercial Deposit",31)</f>
        <v>#NAME?</v>
      </c>
      <c r="H36" s="43" t="e">
        <f>dsd("RBC Debits",31)</f>
        <v>#NAME?</v>
      </c>
      <c r="I36" s="43" t="e">
        <f>dsd("RBC Outgoing ACH",31)</f>
        <v>#NAME?</v>
      </c>
      <c r="J36" s="43" t="e">
        <f>dsd("RBC Monthly Outgoing Wire",31)</f>
        <v>#NAME?</v>
      </c>
      <c r="K36" s="43" t="e">
        <f>dsd("RBC Check Paid",31)</f>
        <v>#NAME?</v>
      </c>
      <c r="L36" s="43" t="e">
        <f>dsd("RBC Monthly Other",31)</f>
        <v>#NAME?</v>
      </c>
      <c r="M36" s="72" t="e">
        <f>SUM(C36:I36,J36:L36)</f>
        <v>#NULL!</v>
      </c>
      <c r="O36" s="43" t="e">
        <f>dsd("RBC Monthly Credits and Debits",31)</f>
        <v>#NAME?</v>
      </c>
    </row>
    <row r="37" ht="12.75" s="66" customFormat="true">
      <c r="A37" s="71"/>
      <c r="B37" s="7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72"/>
      <c r="O37" s="36"/>
    </row>
    <row r="38" ht="12.75" s="66" customFormat="true">
      <c r="A38" s="74" t="s">
        <v>54</v>
      </c>
      <c r="B38" s="75"/>
      <c r="C38" s="54" t="e">
        <f>ds("RBC Monthly Opening Ledger")</f>
        <v>#NAME?</v>
      </c>
      <c r="D38" s="54" t="e">
        <f>ds("RBC Credits")</f>
        <v>#NAME?</v>
      </c>
      <c r="E38" s="54" t="e">
        <f>ds("RBC Monthly Incoming ACH")</f>
        <v>#NAME?</v>
      </c>
      <c r="F38" s="54" t="e">
        <f>ds("RBC Monthly Incoming Wire")</f>
        <v>#NAME?</v>
      </c>
      <c r="G38" s="54" t="e">
        <f>ds("RBC Commercial Deposit")</f>
        <v>#NAME?</v>
      </c>
      <c r="H38" s="54" t="e">
        <f>ds("RBC Debits")</f>
        <v>#NAME?</v>
      </c>
      <c r="I38" s="54" t="e">
        <f>ds("RBC Outgoing ACH")</f>
        <v>#NAME?</v>
      </c>
      <c r="J38" s="54" t="e">
        <f>ds("RBC Monthly Outgoing Wire")</f>
        <v>#NAME?</v>
      </c>
      <c r="K38" s="54" t="e">
        <f>ds("RBC Check Paid")</f>
        <v>#NAME?</v>
      </c>
      <c r="L38" s="54" t="e">
        <f>ds("RBC Monthly Other")</f>
        <v>#NAME?</v>
      </c>
      <c r="M38" s="72" t="e">
        <f>SUM(C38:I38,J38:L38)</f>
        <v>#NAME?</v>
      </c>
      <c r="O38" s="54" t="e">
        <f>ds("RBC Monthly Credits and Debits")</f>
        <v>#NAME?</v>
      </c>
    </row>
    <row r="39" ht="12.75" s="66" customFormat="true">
      <c r="A39" s="76"/>
      <c r="B39" s="76"/>
      <c r="C39" s="59"/>
      <c r="D39" s="59"/>
      <c r="E39" s="59"/>
      <c r="F39" s="59"/>
      <c r="G39" s="59"/>
      <c r="H39" s="59"/>
      <c r="I39" s="59"/>
      <c r="J39" s="59"/>
      <c r="K39" s="77"/>
      <c r="L39" s="77"/>
      <c r="M39" s="77"/>
    </row>
    <row r="40" ht="12.75" s="66" customFormat="true">
      <c r="B40" s="76"/>
      <c r="J40" s="59"/>
      <c r="K40" s="77"/>
      <c r="L40" s="77"/>
      <c r="M40" s="77"/>
    </row>
    <row r="41" ht="12.75" s="66" customFormat="true">
      <c r="B41" s="76"/>
      <c r="J41" s="59"/>
      <c r="K41" s="77"/>
      <c r="L41" s="77"/>
      <c r="M41" s="77"/>
    </row>
    <row r="42" customHeight="true" ht="1.5" s="66" customFormat="true">
      <c r="B42" s="76"/>
      <c r="J42" s="59"/>
      <c r="K42" s="77"/>
      <c r="L42" s="77"/>
      <c r="M42" s="77"/>
    </row>
    <row r="43" hidden="true" s="66" customFormat="true">
      <c r="B43" s="76"/>
      <c r="J43" s="59"/>
      <c r="K43" s="77"/>
      <c r="L43" s="77"/>
      <c r="M43" s="77"/>
    </row>
    <row r="44" hidden="true" s="66" customFormat="true">
      <c r="B44" s="76"/>
      <c r="J44" s="59"/>
      <c r="K44" s="77"/>
      <c r="L44" s="77"/>
      <c r="M44" s="77"/>
    </row>
    <row r="45" hidden="true" s="66" customFormat="true">
      <c r="B45" s="76"/>
      <c r="J45" s="59"/>
      <c r="K45" s="77"/>
      <c r="L45" s="77"/>
      <c r="M45" s="77"/>
    </row>
  </sheetData>
  <mergeCells>
    <mergeCell ref="A1:M1"/>
    <mergeCell ref="A2:M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0" hidden="false"/>
    <col min="2" max="2" style="63" customWidth="true" width="2.5703125" hidden="false"/>
    <col min="3" max="3" style="62" customWidth="true" width="15.85546875" hidden="false"/>
    <col min="4" max="4" style="62" customWidth="true" width="15.85546875" hidden="false"/>
    <col min="5" max="5" style="62" customWidth="true" width="12.71484375" hidden="false"/>
    <col min="6" max="6" style="62" customWidth="true" width="12.28515625" hidden="false"/>
    <col min="7" max="7" style="62" customWidth="true" width="14.71484375" hidden="false"/>
    <col min="8" max="8" style="62" customWidth="true" width="14.71484375" hidden="false"/>
    <col min="9" max="9" style="64" customWidth="true" width="13.71484375" hidden="false"/>
    <col min="10" max="10" style="62" customWidth="true" width="13.5703125" hidden="false"/>
    <col min="11" max="11" style="62" customWidth="true" width="13.0" hidden="false"/>
    <col min="12" max="12" style="62" customWidth="true" width="13.4296875" hidden="false"/>
    <col min="13" max="13" style="62" customWidth="true" width="15.14453125" hidden="false"/>
    <col min="14" max="14" style="62" customWidth="false" width="9.14453125" hidden="false"/>
    <col min="15" max="15" style="62" customWidth="true" width="13.71484375" hidden="false"/>
    <col min="16" max="16" style="62" customWidth="false" width="9.14453125" hidden="false"/>
    <col min="17" max="17" style="62" customWidth="false" width="9.14453125" hidden="false"/>
    <col min="18" max="18" style="62" customWidth="false" width="9.14453125" hidden="false"/>
    <col min="19" max="25" style="62" customWidth="false" width="9.14453125" hidden="false"/>
    <col min="26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Height="true" ht="12.75">
      <c r="A2" s="26" t="n">
        <f>NOW()</f>
        <v>42279.99510584491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customHeight="true" ht="12.7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customHeight="true" ht="35.25" s="27" customFormat="true">
      <c r="A4" s="28" t="s">
        <v>39</v>
      </c>
      <c r="B4" s="29"/>
      <c r="C4" s="29" t="s">
        <v>40</v>
      </c>
      <c r="D4" s="29" t="s">
        <v>56</v>
      </c>
      <c r="E4" s="29" t="s">
        <v>17</v>
      </c>
      <c r="F4" s="29" t="s">
        <v>16</v>
      </c>
      <c r="G4" s="29" t="s">
        <v>42</v>
      </c>
      <c r="H4" s="29" t="s">
        <v>57</v>
      </c>
      <c r="I4" s="29" t="s">
        <v>58</v>
      </c>
      <c r="J4" s="29" t="s">
        <v>22</v>
      </c>
      <c r="K4" s="29" t="s">
        <v>50</v>
      </c>
      <c r="L4" s="29" t="s">
        <v>51</v>
      </c>
      <c r="M4" s="29" t="s">
        <v>52</v>
      </c>
      <c r="O4" s="31" t="s">
        <v>55</v>
      </c>
    </row>
    <row r="5" customHeight="true" ht="12.75" s="32" customFormat="true">
      <c r="A5" s="67"/>
      <c r="B5" s="67"/>
      <c r="C5" s="36"/>
      <c r="D5" s="36"/>
      <c r="E5" s="36"/>
      <c r="F5" s="36"/>
      <c r="G5" s="36"/>
      <c r="H5" s="36"/>
      <c r="I5" s="36"/>
      <c r="J5" s="68"/>
      <c r="K5" s="69"/>
      <c r="L5" s="69"/>
      <c r="M5" s="69"/>
    </row>
    <row r="6" ht="12.0" s="70" customFormat="true">
      <c r="A6" s="41" t="n">
        <f>DATEVALUE(MONTH(TODAY())&amp;"/1/"&amp;YEAR(TODAY()))</f>
        <v>42278.0</v>
      </c>
      <c r="B6" s="71"/>
      <c r="C6" s="43" t="e">
        <f>dsd("RBC CAD Monthly Opening Ledger",1)</f>
        <v>#NAME?</v>
      </c>
      <c r="D6" s="43" t="e">
        <f>dsd("RBC CAD Credits",1)</f>
        <v>#NAME?</v>
      </c>
      <c r="E6" s="43" t="e">
        <f>dsd("RBC CAD Monthly Incoming ACH",1)</f>
        <v>#NAME?</v>
      </c>
      <c r="F6" s="43" t="e">
        <f>dsd("RBC CAD Monthly Incoming wires",1)</f>
        <v>#NAME?</v>
      </c>
      <c r="G6" s="43" t="e">
        <f>dsd("RBC CAD Commercial Deposit",1)</f>
        <v>#NAME?</v>
      </c>
      <c r="H6" s="43" t="e">
        <f>dsd("RBC CAD Debits",1)</f>
        <v>#NAME?</v>
      </c>
      <c r="I6" s="43" t="e">
        <f>dsd("RBC CAD Outgoing ACH",1)</f>
        <v>#NAME?</v>
      </c>
      <c r="J6" s="43" t="e">
        <f>dsd("RBC CAD Monthly Outgoing wires",1)</f>
        <v>#NAME?</v>
      </c>
      <c r="K6" s="43" t="e">
        <f>dsd("RBC CAD Check Paid",1)</f>
        <v>#NAME?</v>
      </c>
      <c r="L6" s="43" t="e">
        <f>dsd("RBC CAD Monthly Other",1)</f>
        <v>#NAME?</v>
      </c>
      <c r="M6" s="72" t="e">
        <f>SUM(C6:I6,J6:L6)</f>
        <v>#NULL!</v>
      </c>
      <c r="O6" s="43" t="e">
        <f>dsd("RBC CAD Monthly Credits and Debits",1)</f>
        <v>#NAME?</v>
      </c>
    </row>
    <row r="7" ht="12.0" s="70" customFormat="true">
      <c r="A7" s="41" t="n">
        <f>IF(A6&lt;&gt;"",IF(MONTH(A6)=MONTH(A6+1),A6+1,""),"")</f>
        <v>42279.0</v>
      </c>
      <c r="B7" s="71"/>
      <c r="C7" s="43" t="e">
        <f>dsd("RBC CAD Monthly Opening Ledger",2)</f>
        <v>#NAME?</v>
      </c>
      <c r="D7" s="43" t="e">
        <f>dsd("RBC CAD Credits",2)</f>
        <v>#NAME?</v>
      </c>
      <c r="E7" s="43" t="e">
        <f>dsd("RBC CAD Monthly Incoming ACH",2)</f>
        <v>#NAME?</v>
      </c>
      <c r="F7" s="43" t="e">
        <f>dsd("RBC CAD Monthly Incoming wires",2)</f>
        <v>#NAME?</v>
      </c>
      <c r="G7" s="43" t="e">
        <f>dsd("RBC CAD Commercial Deposit",2)</f>
        <v>#NAME?</v>
      </c>
      <c r="H7" s="43" t="e">
        <f>dsd("RBC CAD Debits",2)</f>
        <v>#NAME?</v>
      </c>
      <c r="I7" s="43" t="e">
        <f>dsd("RBC CAD Outgoing ACH",2)</f>
        <v>#NAME?</v>
      </c>
      <c r="J7" s="43" t="e">
        <f>dsd("RBC CAD Monthly Outgoing wires",2)</f>
        <v>#NAME?</v>
      </c>
      <c r="K7" s="43" t="e">
        <f>dsd("RBC CAD Check Paid",2)</f>
        <v>#NAME?</v>
      </c>
      <c r="L7" s="43" t="e">
        <f>dsd("RBC CAD Monthly Other",2)</f>
        <v>#NAME?</v>
      </c>
      <c r="M7" s="72" t="e">
        <f>SUM(C7:I7,J7:L7)</f>
        <v>#NULL!</v>
      </c>
      <c r="O7" s="43" t="e">
        <f>dsd("RBC CAD Monthly Credits and Debits",2)</f>
        <v>#NAME?</v>
      </c>
    </row>
    <row r="8" ht="12.75" s="66" customFormat="true">
      <c r="A8" s="41" t="n">
        <f>IF(A7&lt;&gt;"",IF(MONTH(A7)=MONTH(A7+1),A7+1,""),"")</f>
        <v>42280.0</v>
      </c>
      <c r="B8" s="71"/>
      <c r="C8" s="43" t="e">
        <f>dsd("RBC CAD Monthly Opening Ledger",3)</f>
        <v>#NAME?</v>
      </c>
      <c r="D8" s="43" t="e">
        <f>dsd("RBC CAD Credits",3)</f>
        <v>#NAME?</v>
      </c>
      <c r="E8" s="43" t="e">
        <f>dsd("RBC CAD Monthly Incoming ACH",3)</f>
        <v>#NAME?</v>
      </c>
      <c r="F8" s="43" t="e">
        <f>dsd("RBC CAD Monthly Incoming wires",3)</f>
        <v>#NAME?</v>
      </c>
      <c r="G8" s="43" t="e">
        <f>dsd("RBC CAD Commercial Deposit",3)</f>
        <v>#NAME?</v>
      </c>
      <c r="H8" s="43" t="e">
        <f>dsd("RBC CAD Debits",3)</f>
        <v>#NAME?</v>
      </c>
      <c r="I8" s="43" t="e">
        <f>dsd("RBC CAD Outgoing ACH",3)</f>
        <v>#NAME?</v>
      </c>
      <c r="J8" s="43" t="e">
        <f>dsd("RBC CAD Monthly Outgoing wires",3)</f>
        <v>#NAME?</v>
      </c>
      <c r="K8" s="43" t="e">
        <f>dsd("RBC CAD Check Paid",3)</f>
        <v>#NAME?</v>
      </c>
      <c r="L8" s="43" t="e">
        <f>dsd("RBC CAD Monthly Other",3)</f>
        <v>#NAME?</v>
      </c>
      <c r="M8" s="72" t="e">
        <f>SUM(C8:I8,J8:L8)</f>
        <v>#NULL!</v>
      </c>
      <c r="O8" s="43" t="e">
        <f>dsd("RBC CAD Monthly Credits and Debits",3)</f>
        <v>#NAME?</v>
      </c>
    </row>
    <row r="9" ht="12.75" s="66" customFormat="true">
      <c r="A9" s="41" t="n">
        <f>IF(A8&lt;&gt;"",IF(MONTH(A8)=MONTH(A8+1),A8+1,""),"")</f>
        <v>42281.0</v>
      </c>
      <c r="B9" s="71"/>
      <c r="C9" s="43" t="e">
        <f>dsd("RBC CAD Monthly Opening Ledger",4)</f>
        <v>#NAME?</v>
      </c>
      <c r="D9" s="43" t="e">
        <f>dsd("RBC CAD Credits",4)</f>
        <v>#NAME?</v>
      </c>
      <c r="E9" s="43" t="e">
        <f>dsd("RBC CAD Monthly Incoming ACH",4)</f>
        <v>#NAME?</v>
      </c>
      <c r="F9" s="43" t="e">
        <f>dsd("RBC CAD Monthly Incoming wires",4)</f>
        <v>#NAME?</v>
      </c>
      <c r="G9" s="43" t="e">
        <f>dsd("RBC CAD Commercial Deposit",4)</f>
        <v>#NAME?</v>
      </c>
      <c r="H9" s="43" t="e">
        <f>dsd("RBC CAD Debits",4)</f>
        <v>#NAME?</v>
      </c>
      <c r="I9" s="43" t="e">
        <f>dsd("RBC CAD Outgoing ACH",4)</f>
        <v>#NAME?</v>
      </c>
      <c r="J9" s="43" t="e">
        <f>dsd("RBC CAD Monthly Outgoing wires",4)</f>
        <v>#NAME?</v>
      </c>
      <c r="K9" s="43" t="e">
        <f>dsd("RBC CAD Check Paid",4)</f>
        <v>#NAME?</v>
      </c>
      <c r="L9" s="43" t="e">
        <f>dsd("RBC CAD Monthly Other",4)</f>
        <v>#NAME?</v>
      </c>
      <c r="M9" s="72" t="e">
        <f>SUM(C9:I9,J9:L9)</f>
        <v>#NULL!</v>
      </c>
      <c r="O9" s="43" t="e">
        <f>dsd("RBC CAD Monthly Credits and Debits",4)</f>
        <v>#NAME?</v>
      </c>
    </row>
    <row r="10" ht="12.75" s="66" customFormat="true">
      <c r="A10" s="41" t="n">
        <f>IF(A9&lt;&gt;"",IF(MONTH(A9)=MONTH(A9+1),A9+1,""),"")</f>
        <v>42282.0</v>
      </c>
      <c r="B10" s="71"/>
      <c r="C10" s="43" t="e">
        <f>dsd("RBC CAD Monthly Opening Ledger",5)</f>
        <v>#NAME?</v>
      </c>
      <c r="D10" s="43" t="e">
        <f>dsd("RBC CAD Credits",5)</f>
        <v>#NAME?</v>
      </c>
      <c r="E10" s="43" t="e">
        <f>dsd("RBC CAD Monthly Incoming ACH",5)</f>
        <v>#NAME?</v>
      </c>
      <c r="F10" s="43" t="e">
        <f>dsd("RBC CAD Monthly Incoming wires",5)</f>
        <v>#NAME?</v>
      </c>
      <c r="G10" s="43" t="e">
        <f>dsd("RBC CAD Commercial Deposit",5)</f>
        <v>#NAME?</v>
      </c>
      <c r="H10" s="43" t="e">
        <f>dsd("RBC CAD Debits",5)</f>
        <v>#NAME?</v>
      </c>
      <c r="I10" s="43" t="e">
        <f>dsd("RBC CAD Outgoing ACH",5)</f>
        <v>#NAME?</v>
      </c>
      <c r="J10" s="43" t="e">
        <f>dsd("RBC CAD Monthly Outgoing wires",5)</f>
        <v>#NAME?</v>
      </c>
      <c r="K10" s="43" t="e">
        <f>dsd("RBC CAD Check Paid",5)</f>
        <v>#NAME?</v>
      </c>
      <c r="L10" s="43" t="e">
        <f>dsd("RBC CAD Monthly Other",5)</f>
        <v>#NAME?</v>
      </c>
      <c r="M10" s="72" t="e">
        <f>SUM(C10:I10,J10:L10)</f>
        <v>#NULL!</v>
      </c>
      <c r="O10" s="43" t="e">
        <f>dsd("RBC CAD Monthly Credits and Debits",5)</f>
        <v>#NAME?</v>
      </c>
    </row>
    <row r="11" ht="12.75" s="66" customFormat="true">
      <c r="A11" s="41" t="n">
        <f>IF(A10&lt;&gt;"",IF(MONTH(A10)=MONTH(A10+1),A10+1,""),"")</f>
        <v>42283.0</v>
      </c>
      <c r="B11" s="71"/>
      <c r="C11" s="43" t="e">
        <f>dsd("RBC CAD Monthly Opening Ledger",6)</f>
        <v>#NAME?</v>
      </c>
      <c r="D11" s="43" t="e">
        <f>dsd("RBC CAD Credits",6)</f>
        <v>#NAME?</v>
      </c>
      <c r="E11" s="43" t="e">
        <f>dsd("RBC CAD Monthly Incoming ACH",6)</f>
        <v>#NAME?</v>
      </c>
      <c r="F11" s="43" t="e">
        <f>dsd("RBC CAD Monthly Incoming wires",6)</f>
        <v>#NAME?</v>
      </c>
      <c r="G11" s="43" t="e">
        <f>dsd("RBC CAD Commercial Deposit",6)</f>
        <v>#NAME?</v>
      </c>
      <c r="H11" s="43" t="e">
        <f>dsd("RBC CAD Debits",6)</f>
        <v>#NAME?</v>
      </c>
      <c r="I11" s="43" t="e">
        <f>dsd("RBC CAD Outgoing ACH",6)</f>
        <v>#NAME?</v>
      </c>
      <c r="J11" s="43" t="e">
        <f>dsd("RBC CAD Monthly Outgoing wires",6)</f>
        <v>#NAME?</v>
      </c>
      <c r="K11" s="43" t="e">
        <f>dsd("RBC CAD Check Paid",6)</f>
        <v>#NAME?</v>
      </c>
      <c r="L11" s="43" t="e">
        <f>dsd("RBC CAD Monthly Other",6)</f>
        <v>#NAME?</v>
      </c>
      <c r="M11" s="72" t="e">
        <f>SUM(C11:I11,J11:L11)</f>
        <v>#NULL!</v>
      </c>
      <c r="O11" s="43" t="e">
        <f>dsd("RBC CAD Monthly Credits and Debits",6)</f>
        <v>#NAME?</v>
      </c>
    </row>
    <row r="12" ht="12.75" s="66" customFormat="true">
      <c r="A12" s="41" t="n">
        <f>IF(A11&lt;&gt;"",IF(MONTH(A11)=MONTH(A11+1),A11+1,""),"")</f>
        <v>42284.0</v>
      </c>
      <c r="B12" s="71"/>
      <c r="C12" s="43" t="e">
        <f>dsd("RBC CAD Monthly Opening Ledger",7)</f>
        <v>#NAME?</v>
      </c>
      <c r="D12" s="43" t="e">
        <f>dsd("RBC CAD Credits",7)</f>
        <v>#NAME?</v>
      </c>
      <c r="E12" s="43" t="e">
        <f>dsd("RBC CAD Monthly Incoming ACH",7)</f>
        <v>#NAME?</v>
      </c>
      <c r="F12" s="43" t="e">
        <f>dsd("RBC CAD Monthly Incoming wires",7)</f>
        <v>#NAME?</v>
      </c>
      <c r="G12" s="43" t="e">
        <f>dsd("RBC CAD Commercial Deposit",7)</f>
        <v>#NAME?</v>
      </c>
      <c r="H12" s="43" t="e">
        <f>dsd("RBC CAD Debits",7)</f>
        <v>#NAME?</v>
      </c>
      <c r="I12" s="43" t="e">
        <f>dsd("RBC CAD Outgoing ACH",7)</f>
        <v>#NAME?</v>
      </c>
      <c r="J12" s="43" t="e">
        <f>dsd("RBC CAD Monthly Outgoing wires",7)</f>
        <v>#NAME?</v>
      </c>
      <c r="K12" s="43" t="e">
        <f>dsd("RBC CAD Check Paid",7)</f>
        <v>#NAME?</v>
      </c>
      <c r="L12" s="43" t="e">
        <f>dsd("RBC CAD Monthly Other",7)</f>
        <v>#NAME?</v>
      </c>
      <c r="M12" s="72" t="e">
        <f>SUM(C12:I12,J12:L12)</f>
        <v>#NULL!</v>
      </c>
      <c r="O12" s="43" t="e">
        <f>dsd("RBC CAD Monthly Credits and Debits",7)</f>
        <v>#NAME?</v>
      </c>
    </row>
    <row r="13" ht="12.75" s="66" customFormat="true">
      <c r="A13" s="41" t="n">
        <f>IF(A12&lt;&gt;"",IF(MONTH(A12)=MONTH(A12+1),A12+1,""),"")</f>
        <v>42285.0</v>
      </c>
      <c r="B13" s="71"/>
      <c r="C13" s="43" t="e">
        <f>dsd("RBC CAD Monthly Opening Ledger",8)</f>
        <v>#NAME?</v>
      </c>
      <c r="D13" s="43" t="e">
        <f>dsd("RBC CAD Credits",8)</f>
        <v>#NAME?</v>
      </c>
      <c r="E13" s="43" t="e">
        <f>dsd("RBC CAD Monthly Incoming ACH",8)</f>
        <v>#NAME?</v>
      </c>
      <c r="F13" s="43" t="e">
        <f>dsd("RBC CAD Monthly Incoming wires",8)</f>
        <v>#NAME?</v>
      </c>
      <c r="G13" s="43" t="e">
        <f>dsd("RBC CAD Commercial Deposit",8)</f>
        <v>#NAME?</v>
      </c>
      <c r="H13" s="43" t="e">
        <f>dsd("RBC CAD Debits",8)</f>
        <v>#NAME?</v>
      </c>
      <c r="I13" s="43" t="e">
        <f>dsd("RBC CAD Outgoing ACH",8)</f>
        <v>#NAME?</v>
      </c>
      <c r="J13" s="43" t="e">
        <f>dsd("RBC CAD Monthly Outgoing wires",8)</f>
        <v>#NAME?</v>
      </c>
      <c r="K13" s="43" t="e">
        <f>dsd("RBC CAD Check Paid",8)</f>
        <v>#NAME?</v>
      </c>
      <c r="L13" s="43" t="e">
        <f>dsd("RBC CAD Monthly Other",8)</f>
        <v>#NAME?</v>
      </c>
      <c r="M13" s="72" t="e">
        <f>SUM(C13:I13,J13:L13)</f>
        <v>#NULL!</v>
      </c>
      <c r="O13" s="43" t="e">
        <f>dsd("RBC CAD Monthly Credits and Debits",8)</f>
        <v>#NAME?</v>
      </c>
    </row>
    <row r="14" ht="12.75" s="66" customFormat="true">
      <c r="A14" s="41" t="n">
        <f>IF(A13&lt;&gt;"",IF(MONTH(A13)=MONTH(A13+1),A13+1,""),"")</f>
        <v>42286.0</v>
      </c>
      <c r="B14" s="71"/>
      <c r="C14" s="43" t="e">
        <f>dsd("RBC CAD Monthly Opening Ledger",9)</f>
        <v>#NAME?</v>
      </c>
      <c r="D14" s="43" t="e">
        <f>dsd("RBC CAD Credits",9)</f>
        <v>#NAME?</v>
      </c>
      <c r="E14" s="43" t="e">
        <f>dsd("RBC CAD Monthly Incoming ACH",9)</f>
        <v>#NAME?</v>
      </c>
      <c r="F14" s="43" t="e">
        <f>dsd("RBC CAD Monthly Incoming wires",9)</f>
        <v>#NAME?</v>
      </c>
      <c r="G14" s="43" t="e">
        <f>dsd("RBC CAD Commercial Deposit",9)</f>
        <v>#NAME?</v>
      </c>
      <c r="H14" s="43" t="e">
        <f>dsd("RBC CAD Debits",9)</f>
        <v>#NAME?</v>
      </c>
      <c r="I14" s="43" t="e">
        <f>dsd("RBC CAD Outgoing ACH",9)</f>
        <v>#NAME?</v>
      </c>
      <c r="J14" s="43" t="e">
        <f>dsd("RBC CAD Monthly Outgoing wires",9)</f>
        <v>#NAME?</v>
      </c>
      <c r="K14" s="43" t="e">
        <f>dsd("RBC CAD Check Paid",9)</f>
        <v>#NAME?</v>
      </c>
      <c r="L14" s="43" t="e">
        <f>dsd("RBC CAD Monthly Other",9)</f>
        <v>#NAME?</v>
      </c>
      <c r="M14" s="72" t="e">
        <f>SUM(C14:I14,J14:L14)</f>
        <v>#NULL!</v>
      </c>
      <c r="O14" s="43" t="e">
        <f>dsd("RBC CAD Monthly Credits and Debits",9)</f>
        <v>#NAME?</v>
      </c>
    </row>
    <row r="15" ht="12.75" s="66" customFormat="true">
      <c r="A15" s="41" t="n">
        <f>IF(A14&lt;&gt;"",IF(MONTH(A14)=MONTH(A14+1),A14+1,""),"")</f>
        <v>42287.0</v>
      </c>
      <c r="B15" s="71"/>
      <c r="C15" s="43" t="e">
        <f>dsd("RBC CAD Monthly Opening Ledger",10)</f>
        <v>#NAME?</v>
      </c>
      <c r="D15" s="43" t="e">
        <f>dsd("RBC CAD Credits",10)</f>
        <v>#NAME?</v>
      </c>
      <c r="E15" s="43" t="e">
        <f>dsd("RBC CAD Monthly Incoming ACH",10)</f>
        <v>#NAME?</v>
      </c>
      <c r="F15" s="43" t="e">
        <f>dsd("RBC CAD Monthly Incoming wires",10)</f>
        <v>#NAME?</v>
      </c>
      <c r="G15" s="43" t="e">
        <f>dsd("RBC CAD Commercial Deposit",10)</f>
        <v>#NAME?</v>
      </c>
      <c r="H15" s="43" t="e">
        <f>dsd("RBC CAD Debits",10)</f>
        <v>#NAME?</v>
      </c>
      <c r="I15" s="43" t="e">
        <f>dsd("RBC CAD Outgoing ACH",10)</f>
        <v>#NAME?</v>
      </c>
      <c r="J15" s="43" t="e">
        <f>dsd("RBC CAD Monthly Outgoing wires",10)</f>
        <v>#NAME?</v>
      </c>
      <c r="K15" s="43" t="e">
        <f>dsd("RBC CAD Check Paid",10)</f>
        <v>#NAME?</v>
      </c>
      <c r="L15" s="43" t="e">
        <f>dsd("RBC CAD Monthly Other",10)</f>
        <v>#NAME?</v>
      </c>
      <c r="M15" s="72" t="e">
        <f>SUM(C15:I15,J15:L15)</f>
        <v>#NULL!</v>
      </c>
      <c r="O15" s="43" t="e">
        <f>dsd("RBC CAD Monthly Credits and Debits",10)</f>
        <v>#NAME?</v>
      </c>
    </row>
    <row r="16" ht="12.75" s="66" customFormat="true">
      <c r="A16" s="41" t="n">
        <f>IF(A15&lt;&gt;"",IF(MONTH(A15)=MONTH(A15+1),A15+1,""),"")</f>
        <v>42288.0</v>
      </c>
      <c r="B16" s="71"/>
      <c r="C16" s="43" t="e">
        <f>dsd("RBC CAD Monthly Opening Ledger",11)</f>
        <v>#NAME?</v>
      </c>
      <c r="D16" s="43" t="e">
        <f>dsd("RBC CAD Credits",11)</f>
        <v>#NAME?</v>
      </c>
      <c r="E16" s="43" t="e">
        <f>dsd("RBC CAD Monthly Incoming ACH",11)</f>
        <v>#NAME?</v>
      </c>
      <c r="F16" s="43" t="e">
        <f>dsd("RBC CAD Monthly Incoming wires",11)</f>
        <v>#NAME?</v>
      </c>
      <c r="G16" s="43" t="e">
        <f>dsd("RBC CAD Commercial Deposit",11)</f>
        <v>#NAME?</v>
      </c>
      <c r="H16" s="43" t="e">
        <f>dsd("RBC CAD Debits",11)</f>
        <v>#NAME?</v>
      </c>
      <c r="I16" s="43" t="e">
        <f>dsd("RBC CAD Outgoing ACH",11)</f>
        <v>#NAME?</v>
      </c>
      <c r="J16" s="43" t="e">
        <f>dsd("RBC CAD Monthly Outgoing wires",11)</f>
        <v>#NAME?</v>
      </c>
      <c r="K16" s="43" t="e">
        <f>dsd("RBC CAD Check Paid",11)</f>
        <v>#NAME?</v>
      </c>
      <c r="L16" s="43" t="e">
        <f>dsd("RBC CAD Monthly Other",11)</f>
        <v>#NAME?</v>
      </c>
      <c r="M16" s="72" t="e">
        <f>SUM(C16:I16,J16:L16)</f>
        <v>#NULL!</v>
      </c>
      <c r="O16" s="43" t="e">
        <f>dsd("RBC CAD Monthly Credits and Debits",11)</f>
        <v>#NAME?</v>
      </c>
    </row>
    <row r="17" ht="12.75" s="66" customFormat="true">
      <c r="A17" s="41" t="n">
        <f>IF(A16&lt;&gt;"",IF(MONTH(A16)=MONTH(A16+1),A16+1,""),"")</f>
        <v>42289.0</v>
      </c>
      <c r="B17" s="71"/>
      <c r="C17" s="43" t="e">
        <f>dsd("RBC CAD Monthly Opening Ledger",12)</f>
        <v>#NAME?</v>
      </c>
      <c r="D17" s="43" t="e">
        <f>dsd("RBC CAD Credits",12)</f>
        <v>#NAME?</v>
      </c>
      <c r="E17" s="43" t="e">
        <f>dsd("RBC CAD Monthly Incoming ACH",12)</f>
        <v>#NAME?</v>
      </c>
      <c r="F17" s="43" t="e">
        <f>dsd("RBC CAD Monthly Incoming wires",12)</f>
        <v>#NAME?</v>
      </c>
      <c r="G17" s="43" t="e">
        <f>dsd("RBC CAD Commercial Deposit",12)</f>
        <v>#NAME?</v>
      </c>
      <c r="H17" s="43" t="e">
        <f>dsd("RBC CAD Debits",12)</f>
        <v>#NAME?</v>
      </c>
      <c r="I17" s="43" t="e">
        <f>dsd("RBC CAD Outgoing ACH",12)</f>
        <v>#NAME?</v>
      </c>
      <c r="J17" s="43" t="e">
        <f>dsd("RBC CAD Monthly Outgoing wires",12)</f>
        <v>#NAME?</v>
      </c>
      <c r="K17" s="43" t="e">
        <f>dsd("RBC CAD Check Paid",12)</f>
        <v>#NAME?</v>
      </c>
      <c r="L17" s="43" t="e">
        <f>dsd("RBC CAD Monthly Other",12)</f>
        <v>#NAME?</v>
      </c>
      <c r="M17" s="72" t="e">
        <f>SUM(C17:I17,J17:L17)</f>
        <v>#NULL!</v>
      </c>
      <c r="O17" s="43" t="e">
        <f>dsd("RBC CAD Monthly Credits and Debits",12)</f>
        <v>#NAME?</v>
      </c>
    </row>
    <row r="18" ht="12.75" s="66" customFormat="true">
      <c r="A18" s="41" t="n">
        <f>IF(A17&lt;&gt;"",IF(MONTH(A17)=MONTH(A17+1),A17+1,""),"")</f>
        <v>42290.0</v>
      </c>
      <c r="B18" s="71"/>
      <c r="C18" s="43" t="e">
        <f>dsd("RBC CAD Monthly Opening Ledger",13)</f>
        <v>#NAME?</v>
      </c>
      <c r="D18" s="43" t="e">
        <f>dsd("RBC CAD Credits",13)</f>
        <v>#NAME?</v>
      </c>
      <c r="E18" s="43" t="e">
        <f>dsd("RBC CAD Monthly Incoming ACH",13)</f>
        <v>#NAME?</v>
      </c>
      <c r="F18" s="43" t="e">
        <f>dsd("RBC CAD Monthly Incoming wires",13)</f>
        <v>#NAME?</v>
      </c>
      <c r="G18" s="43" t="e">
        <f>dsd("RBC CAD Commercial Deposit",13)</f>
        <v>#NAME?</v>
      </c>
      <c r="H18" s="43" t="e">
        <f>dsd("RBC CAD Debits",13)</f>
        <v>#NAME?</v>
      </c>
      <c r="I18" s="43" t="e">
        <f>dsd("RBC CAD Outgoing ACH",13)</f>
        <v>#NAME?</v>
      </c>
      <c r="J18" s="43" t="e">
        <f>dsd("RBC CAD Monthly Outgoing wires",13)</f>
        <v>#NAME?</v>
      </c>
      <c r="K18" s="43" t="e">
        <f>dsd("RBC CAD Check Paid",13)</f>
        <v>#NAME?</v>
      </c>
      <c r="L18" s="43" t="e">
        <f>dsd("RBC CAD Monthly Other",13)</f>
        <v>#NAME?</v>
      </c>
      <c r="M18" s="72" t="e">
        <f>SUM(C18:I18,J18:L18)</f>
        <v>#NULL!</v>
      </c>
      <c r="O18" s="43" t="e">
        <f>dsd("RBC CAD Monthly Credits and Debits",13)</f>
        <v>#NAME?</v>
      </c>
    </row>
    <row r="19" ht="12.75" s="66" customFormat="true">
      <c r="A19" s="41" t="n">
        <f>IF(A18&lt;&gt;"",IF(MONTH(A18)=MONTH(A18+1),A18+1,""),"")</f>
        <v>42291.0</v>
      </c>
      <c r="B19" s="71"/>
      <c r="C19" s="43" t="e">
        <f>dsd("RBC CAD Monthly Opening Ledger",14)</f>
        <v>#NAME?</v>
      </c>
      <c r="D19" s="43" t="e">
        <f>dsd("RBC CAD Credits",14)</f>
        <v>#NAME?</v>
      </c>
      <c r="E19" s="43" t="e">
        <f>dsd("RBC CAD Monthly Incoming ACH",14)</f>
        <v>#NAME?</v>
      </c>
      <c r="F19" s="43" t="e">
        <f>dsd("RBC CAD Monthly Incoming wires",14)</f>
        <v>#NAME?</v>
      </c>
      <c r="G19" s="43" t="e">
        <f>dsd("RBC CAD Commercial Deposit",14)</f>
        <v>#NAME?</v>
      </c>
      <c r="H19" s="43" t="e">
        <f>dsd("RBC CAD Debits",14)</f>
        <v>#NAME?</v>
      </c>
      <c r="I19" s="43" t="e">
        <f>dsd("RBC CAD Outgoing ACH",14)</f>
        <v>#NAME?</v>
      </c>
      <c r="J19" s="43" t="e">
        <f>dsd("RBC CAD Monthly Outgoing wires",14)</f>
        <v>#NAME?</v>
      </c>
      <c r="K19" s="43" t="e">
        <f>dsd("RBC CAD Check Paid",14)</f>
        <v>#NAME?</v>
      </c>
      <c r="L19" s="43" t="e">
        <f>dsd("RBC CAD Monthly Other",14)</f>
        <v>#NAME?</v>
      </c>
      <c r="M19" s="72" t="e">
        <f>SUM(C19:I19,J19:L19)</f>
        <v>#NULL!</v>
      </c>
      <c r="O19" s="43" t="e">
        <f>dsd("RBC CAD Monthly Credits and Debits",14)</f>
        <v>#NAME?</v>
      </c>
    </row>
    <row r="20" ht="12.75" s="66" customFormat="true">
      <c r="A20" s="41" t="n">
        <f>IF(A19&lt;&gt;"",IF(MONTH(A19)=MONTH(A19+1),A19+1,""),"")</f>
        <v>42292.0</v>
      </c>
      <c r="B20" s="71"/>
      <c r="C20" s="43" t="e">
        <f>dsd("RBC CAD Monthly Opening Ledger",15)</f>
        <v>#NAME?</v>
      </c>
      <c r="D20" s="43" t="e">
        <f>dsd("RBC CAD Credits",15)</f>
        <v>#NAME?</v>
      </c>
      <c r="E20" s="43" t="e">
        <f>dsd("RBC CAD Monthly Incoming ACH",15)</f>
        <v>#NAME?</v>
      </c>
      <c r="F20" s="43" t="e">
        <f>dsd("RBC CAD Monthly Incoming wires",15)</f>
        <v>#NAME?</v>
      </c>
      <c r="G20" s="43" t="e">
        <f>dsd("RBC CAD Commercial Deposit",15)</f>
        <v>#NAME?</v>
      </c>
      <c r="H20" s="43" t="e">
        <f>dsd("RBC CAD Debits",15)</f>
        <v>#NAME?</v>
      </c>
      <c r="I20" s="43" t="e">
        <f>dsd("RBC CAD Outgoing ACH",15)</f>
        <v>#NAME?</v>
      </c>
      <c r="J20" s="43" t="e">
        <f>dsd("RBC CAD Monthly Outgoing wires",15)</f>
        <v>#NAME?</v>
      </c>
      <c r="K20" s="43" t="e">
        <f>dsd("RBC CAD Check Paid",15)</f>
        <v>#NAME?</v>
      </c>
      <c r="L20" s="43" t="e">
        <f>dsd("RBC CAD Monthly Other",15)</f>
        <v>#NAME?</v>
      </c>
      <c r="M20" s="72" t="e">
        <f>SUM(C20:I20,J20:L20)</f>
        <v>#NULL!</v>
      </c>
      <c r="O20" s="43" t="e">
        <f>dsd("RBC CAD Monthly Credits and Debits",15)</f>
        <v>#NAME?</v>
      </c>
    </row>
    <row r="21" ht="12.75" s="66" customFormat="true">
      <c r="A21" s="41" t="n">
        <f>IF(A20&lt;&gt;"",IF(MONTH(A20)=MONTH(A20+1),A20+1,""),"")</f>
        <v>42293.0</v>
      </c>
      <c r="B21" s="71"/>
      <c r="C21" s="43" t="e">
        <f>dsd("RBC CAD Monthly Opening Ledger",16)</f>
        <v>#NAME?</v>
      </c>
      <c r="D21" s="43" t="e">
        <f>dsd("RBC CAD Credits",16)</f>
        <v>#NAME?</v>
      </c>
      <c r="E21" s="43" t="e">
        <f>dsd("RBC CAD Monthly Incoming ACH",16)</f>
        <v>#NAME?</v>
      </c>
      <c r="F21" s="43" t="e">
        <f>dsd("RBC CAD Monthly Incoming wires",16)</f>
        <v>#NAME?</v>
      </c>
      <c r="G21" s="43" t="e">
        <f>dsd("RBC CAD Commercial Deposit",16)</f>
        <v>#NAME?</v>
      </c>
      <c r="H21" s="43" t="e">
        <f>dsd("RBC CAD Debits",16)</f>
        <v>#NAME?</v>
      </c>
      <c r="I21" s="43" t="e">
        <f>dsd("RBC CAD Outgoing ACH",16)</f>
        <v>#NAME?</v>
      </c>
      <c r="J21" s="43" t="e">
        <f>dsd("RBC CAD Monthly Outgoing wires",16)</f>
        <v>#NAME?</v>
      </c>
      <c r="K21" s="43" t="e">
        <f>dsd("RBC CAD Check Paid",16)</f>
        <v>#NAME?</v>
      </c>
      <c r="L21" s="43" t="e">
        <f>dsd("RBC CAD Monthly Other",16)</f>
        <v>#NAME?</v>
      </c>
      <c r="M21" s="72" t="e">
        <f>SUM(C21:I21,J21:L21)</f>
        <v>#NULL!</v>
      </c>
      <c r="O21" s="43" t="e">
        <f>dsd("RBC CAD Monthly Credits and Debits",16)</f>
        <v>#NAME?</v>
      </c>
    </row>
    <row r="22" ht="12.75" s="66" customFormat="true">
      <c r="A22" s="41" t="n">
        <f>IF(A21&lt;&gt;"",IF(MONTH(A21)=MONTH(A21+1),A21+1,""),"")</f>
        <v>42294.0</v>
      </c>
      <c r="B22" s="71"/>
      <c r="C22" s="43" t="e">
        <f>dsd("RBC CAD Monthly Opening Ledger",17)</f>
        <v>#NAME?</v>
      </c>
      <c r="D22" s="43" t="e">
        <f>dsd("RBC CAD Credits",17)</f>
        <v>#NAME?</v>
      </c>
      <c r="E22" s="43" t="e">
        <f>dsd("RBC CAD Monthly Incoming ACH",17)</f>
        <v>#NAME?</v>
      </c>
      <c r="F22" s="43" t="e">
        <f>dsd("RBC CAD Monthly Incoming wires",17)</f>
        <v>#NAME?</v>
      </c>
      <c r="G22" s="43" t="e">
        <f>dsd("RBC CAD Commercial Deposit",17)</f>
        <v>#NAME?</v>
      </c>
      <c r="H22" s="43" t="e">
        <f>dsd("RBC CAD Debits",17)</f>
        <v>#NAME?</v>
      </c>
      <c r="I22" s="43" t="e">
        <f>dsd("RBC CAD Outgoing ACH",17)</f>
        <v>#NAME?</v>
      </c>
      <c r="J22" s="43" t="e">
        <f>dsd("RBC CAD Monthly Outgoing wires",17)</f>
        <v>#NAME?</v>
      </c>
      <c r="K22" s="43" t="e">
        <f>dsd("RBC CAD Check Paid",17)</f>
        <v>#NAME?</v>
      </c>
      <c r="L22" s="43" t="e">
        <f>dsd("RBC CAD Monthly Other",17)</f>
        <v>#NAME?</v>
      </c>
      <c r="M22" s="72" t="e">
        <f>SUM(C22:I22,J22:L22)</f>
        <v>#NULL!</v>
      </c>
      <c r="O22" s="43" t="e">
        <f>dsd("RBC CAD Monthly Credits and Debits",17)</f>
        <v>#NAME?</v>
      </c>
    </row>
    <row r="23" ht="12.75" s="66" customFormat="true">
      <c r="A23" s="41" t="n">
        <f>IF(A22&lt;&gt;"",IF(MONTH(A22)=MONTH(A22+1),A22+1,""),"")</f>
        <v>42295.0</v>
      </c>
      <c r="B23" s="71"/>
      <c r="C23" s="43" t="e">
        <f>dsd("RBC CAD Monthly Opening Ledger",18)</f>
        <v>#NAME?</v>
      </c>
      <c r="D23" s="43" t="e">
        <f>dsd("RBC CAD Credits",18)</f>
        <v>#NAME?</v>
      </c>
      <c r="E23" s="43" t="e">
        <f>dsd("RBC CAD Monthly Incoming ACH",18)</f>
        <v>#NAME?</v>
      </c>
      <c r="F23" s="43" t="e">
        <f>dsd("RBC CAD Monthly Incoming wires",18)</f>
        <v>#NAME?</v>
      </c>
      <c r="G23" s="43" t="e">
        <f>dsd("RBC CAD Commercial Deposit",18)</f>
        <v>#NAME?</v>
      </c>
      <c r="H23" s="43" t="e">
        <f>dsd("RBC CAD Debits",18)</f>
        <v>#NAME?</v>
      </c>
      <c r="I23" s="43" t="e">
        <f>dsd("RBC CAD Outgoing ACH",18)</f>
        <v>#NAME?</v>
      </c>
      <c r="J23" s="43" t="e">
        <f>dsd("RBC CAD Monthly Outgoing wires",18)</f>
        <v>#NAME?</v>
      </c>
      <c r="K23" s="43" t="e">
        <f>dsd("RBC CAD Check Paid",18)</f>
        <v>#NAME?</v>
      </c>
      <c r="L23" s="43" t="e">
        <f>dsd("RBC CAD Monthly Other",18)</f>
        <v>#NAME?</v>
      </c>
      <c r="M23" s="72" t="e">
        <f>SUM(C23:I23,J23:L23)</f>
        <v>#NULL!</v>
      </c>
      <c r="O23" s="43" t="e">
        <f>dsd("RBC CAD Monthly Credits and Debits",18)</f>
        <v>#NAME?</v>
      </c>
    </row>
    <row r="24" ht="12.75" s="66" customFormat="true">
      <c r="A24" s="41" t="n">
        <f>IF(A23&lt;&gt;"",IF(MONTH(A23)=MONTH(A23+1),A23+1,""),"")</f>
        <v>42296.0</v>
      </c>
      <c r="B24" s="71"/>
      <c r="C24" s="43" t="e">
        <f>dsd("RBC CAD Monthly Opening Ledger",19)</f>
        <v>#NAME?</v>
      </c>
      <c r="D24" s="43" t="e">
        <f>dsd("RBC CAD Credits",19)</f>
        <v>#NAME?</v>
      </c>
      <c r="E24" s="43" t="e">
        <f>dsd("RBC CAD Monthly Incoming ACH",19)</f>
        <v>#NAME?</v>
      </c>
      <c r="F24" s="43" t="e">
        <f>dsd("RBC CAD Monthly Incoming wires",19)</f>
        <v>#NAME?</v>
      </c>
      <c r="G24" s="43" t="e">
        <f>dsd("RBC CAD Commercial Deposit",19)</f>
        <v>#NAME?</v>
      </c>
      <c r="H24" s="43" t="e">
        <f>dsd("RBC CAD Debits",19)</f>
        <v>#NAME?</v>
      </c>
      <c r="I24" s="43" t="e">
        <f>dsd("RBC CAD Outgoing ACH",19)</f>
        <v>#NAME?</v>
      </c>
      <c r="J24" s="43" t="e">
        <f>dsd("RBC CAD Monthly Outgoing wires",19)</f>
        <v>#NAME?</v>
      </c>
      <c r="K24" s="43" t="e">
        <f>dsd("RBC CAD Check Paid",19)</f>
        <v>#NAME?</v>
      </c>
      <c r="L24" s="43" t="e">
        <f>dsd("RBC CAD Monthly Other",19)</f>
        <v>#NAME?</v>
      </c>
      <c r="M24" s="72" t="e">
        <f>SUM(C24:I24,J24:L24)</f>
        <v>#NULL!</v>
      </c>
      <c r="O24" s="43" t="e">
        <f>dsd("RBC CAD Monthly Credits and Debits",19)</f>
        <v>#NAME?</v>
      </c>
    </row>
    <row r="25" ht="12.75" s="66" customFormat="true">
      <c r="A25" s="41" t="n">
        <f>IF(A24&lt;&gt;"",IF(MONTH(A24)=MONTH(A24+1),A24+1,""),"")</f>
        <v>42297.0</v>
      </c>
      <c r="B25" s="71"/>
      <c r="C25" s="43" t="e">
        <f>dsd("RBC CAD Monthly Opening Ledger",20)</f>
        <v>#NAME?</v>
      </c>
      <c r="D25" s="43" t="e">
        <f>dsd("RBC CAD Credits",20)</f>
        <v>#NAME?</v>
      </c>
      <c r="E25" s="43" t="e">
        <f>dsd("RBC CAD Monthly Incoming ACH",20)</f>
        <v>#NAME?</v>
      </c>
      <c r="F25" s="43" t="e">
        <f>dsd("RBC CAD Monthly Incoming wires",20)</f>
        <v>#NAME?</v>
      </c>
      <c r="G25" s="43" t="e">
        <f>dsd("RBC CAD Commercial Deposit",20)</f>
        <v>#NAME?</v>
      </c>
      <c r="H25" s="43" t="e">
        <f>dsd("RBC CAD Debits",20)</f>
        <v>#NAME?</v>
      </c>
      <c r="I25" s="43" t="e">
        <f>dsd("RBC CAD Outgoing ACH",20)</f>
        <v>#NAME?</v>
      </c>
      <c r="J25" s="43" t="e">
        <f>dsd("RBC CAD Monthly Outgoing wires",20)</f>
        <v>#NAME?</v>
      </c>
      <c r="K25" s="43" t="e">
        <f>dsd("RBC CAD Check Paid",20)</f>
        <v>#NAME?</v>
      </c>
      <c r="L25" s="43" t="e">
        <f>dsd("RBC CAD Monthly Other",20)</f>
        <v>#NAME?</v>
      </c>
      <c r="M25" s="72" t="e">
        <f>SUM(C25:I25,J25:L25)</f>
        <v>#NULL!</v>
      </c>
      <c r="O25" s="43" t="e">
        <f>dsd("RBC CAD Monthly Credits and Debits",20)</f>
        <v>#NAME?</v>
      </c>
    </row>
    <row r="26" ht="12.75" s="66" customFormat="true">
      <c r="A26" s="41" t="n">
        <f>IF(A25&lt;&gt;"",IF(MONTH(A25)=MONTH(A25+1),A25+1,""),"")</f>
        <v>42298.0</v>
      </c>
      <c r="B26" s="71"/>
      <c r="C26" s="43" t="e">
        <f>dsd("RBC CAD Monthly Opening Ledger",21)</f>
        <v>#NAME?</v>
      </c>
      <c r="D26" s="43" t="e">
        <f>dsd("RBC CAD Credits",21)</f>
        <v>#NAME?</v>
      </c>
      <c r="E26" s="43" t="e">
        <f>dsd("RBC CAD Monthly Incoming ACH",21)</f>
        <v>#NAME?</v>
      </c>
      <c r="F26" s="43" t="e">
        <f>dsd("RBC CAD Monthly Incoming wires",21)</f>
        <v>#NAME?</v>
      </c>
      <c r="G26" s="43" t="e">
        <f>dsd("RBC CAD Commercial Deposit",21)</f>
        <v>#NAME?</v>
      </c>
      <c r="H26" s="43" t="e">
        <f>dsd("RBC CAD Debits",21)</f>
        <v>#NAME?</v>
      </c>
      <c r="I26" s="43" t="e">
        <f>dsd("RBC CAD Outgoing ACH",21)</f>
        <v>#NAME?</v>
      </c>
      <c r="J26" s="43" t="e">
        <f>dsd("RBC CAD Monthly Outgoing wires",21)</f>
        <v>#NAME?</v>
      </c>
      <c r="K26" s="43" t="e">
        <f>dsd("RBC CAD Check Paid",21)</f>
        <v>#NAME?</v>
      </c>
      <c r="L26" s="43" t="e">
        <f>dsd("RBC CAD Monthly Other",21)</f>
        <v>#NAME?</v>
      </c>
      <c r="M26" s="72" t="e">
        <f>SUM(C26:I26,J26:L26)</f>
        <v>#NULL!</v>
      </c>
      <c r="O26" s="43" t="e">
        <f>dsd("RBC CAD Monthly Credits and Debits",21)</f>
        <v>#NAME?</v>
      </c>
    </row>
    <row r="27" ht="12.75" s="66" customFormat="true">
      <c r="A27" s="41" t="n">
        <f>IF(A26&lt;&gt;"",IF(MONTH(A26)=MONTH(A26+1),A26+1,""),"")</f>
        <v>42299.0</v>
      </c>
      <c r="B27" s="71"/>
      <c r="C27" s="43" t="e">
        <f>dsd("RBC CAD Monthly Opening Ledger",22)</f>
        <v>#NAME?</v>
      </c>
      <c r="D27" s="43" t="e">
        <f>dsd("RBC CAD Credits",22)</f>
        <v>#NAME?</v>
      </c>
      <c r="E27" s="43" t="e">
        <f>dsd("RBC CAD Monthly Incoming ACH",22)</f>
        <v>#NAME?</v>
      </c>
      <c r="F27" s="43" t="e">
        <f>dsd("RBC CAD Monthly Incoming wires",22)</f>
        <v>#NAME?</v>
      </c>
      <c r="G27" s="43" t="e">
        <f>dsd("RBC CAD Commercial Deposit",22)</f>
        <v>#NAME?</v>
      </c>
      <c r="H27" s="43" t="e">
        <f>dsd("RBC CAD Debits",22)</f>
        <v>#NAME?</v>
      </c>
      <c r="I27" s="43" t="e">
        <f>dsd("RBC CAD Outgoing ACH",22)</f>
        <v>#NAME?</v>
      </c>
      <c r="J27" s="43" t="e">
        <f>dsd("RBC CAD Monthly Outgoing wires",22)</f>
        <v>#NAME?</v>
      </c>
      <c r="K27" s="43" t="e">
        <f>dsd("RBC CAD Check Paid",22)</f>
        <v>#NAME?</v>
      </c>
      <c r="L27" s="43" t="e">
        <f>dsd("RBC CAD Monthly Other",22)</f>
        <v>#NAME?</v>
      </c>
      <c r="M27" s="72" t="e">
        <f>SUM(C27:I27,J27:L27)</f>
        <v>#NULL!</v>
      </c>
      <c r="O27" s="43" t="e">
        <f>dsd("RBC CAD Monthly Credits and Debits",22)</f>
        <v>#NAME?</v>
      </c>
    </row>
    <row r="28" ht="12.75" s="66" customFormat="true">
      <c r="A28" s="41" t="n">
        <f>IF(A27&lt;&gt;"",IF(MONTH(A27)=MONTH(A27+1),A27+1,""),"")</f>
        <v>42300.0</v>
      </c>
      <c r="B28" s="71"/>
      <c r="C28" s="43" t="e">
        <f>dsd("RBC CAD Monthly Opening Ledger",23)</f>
        <v>#NAME?</v>
      </c>
      <c r="D28" s="43" t="e">
        <f>dsd("RBC CAD Credits",23)</f>
        <v>#NAME?</v>
      </c>
      <c r="E28" s="43" t="e">
        <f>dsd("RBC CAD Monthly Incoming ACH",23)</f>
        <v>#NAME?</v>
      </c>
      <c r="F28" s="43" t="e">
        <f>dsd("RBC CAD Monthly Incoming wires",23)</f>
        <v>#NAME?</v>
      </c>
      <c r="G28" s="43" t="e">
        <f>dsd("RBC CAD Commercial Deposit",23)</f>
        <v>#NAME?</v>
      </c>
      <c r="H28" s="43" t="e">
        <f>dsd("RBC CAD Debits",23)</f>
        <v>#NAME?</v>
      </c>
      <c r="I28" s="43" t="e">
        <f>dsd("RBC CAD Outgoing ACH",23)</f>
        <v>#NAME?</v>
      </c>
      <c r="J28" s="43" t="e">
        <f>dsd("RBC CAD Monthly Outgoing wires",23)</f>
        <v>#NAME?</v>
      </c>
      <c r="K28" s="43" t="e">
        <f>dsd("RBC CAD Check Paid",23)</f>
        <v>#NAME?</v>
      </c>
      <c r="L28" s="43" t="e">
        <f>dsd("RBC CAD Monthly Other",23)</f>
        <v>#NAME?</v>
      </c>
      <c r="M28" s="72" t="e">
        <f>SUM(C28:I28,J28:L28)</f>
        <v>#NULL!</v>
      </c>
      <c r="O28" s="43" t="e">
        <f>dsd("RBC CAD Monthly Credits and Debits",23)</f>
        <v>#NAME?</v>
      </c>
    </row>
    <row r="29" ht="12.75" s="66" customFormat="true">
      <c r="A29" s="41" t="n">
        <f>IF(A28&lt;&gt;"",IF(MONTH(A28)=MONTH(A28+1),A28+1,""),"")</f>
        <v>42301.0</v>
      </c>
      <c r="B29" s="71"/>
      <c r="C29" s="43" t="e">
        <f>dsd("RBC CAD Monthly Opening Ledger",24)</f>
        <v>#NAME?</v>
      </c>
      <c r="D29" s="43" t="e">
        <f>dsd("RBC CAD Credits",24)</f>
        <v>#NAME?</v>
      </c>
      <c r="E29" s="43" t="e">
        <f>dsd("RBC CAD Monthly Incoming ACH",24)</f>
        <v>#NAME?</v>
      </c>
      <c r="F29" s="43" t="e">
        <f>dsd("RBC CAD Monthly Incoming wires",24)</f>
        <v>#NAME?</v>
      </c>
      <c r="G29" s="43" t="e">
        <f>dsd("RBC CAD Commercial Deposit",24)</f>
        <v>#NAME?</v>
      </c>
      <c r="H29" s="43" t="e">
        <f>dsd("RBC CAD Debits",24)</f>
        <v>#NAME?</v>
      </c>
      <c r="I29" s="43" t="e">
        <f>dsd("RBC CAD Outgoing ACH",24)</f>
        <v>#NAME?</v>
      </c>
      <c r="J29" s="43" t="e">
        <f>dsd("RBC CAD Monthly Outgoing wires",24)</f>
        <v>#NAME?</v>
      </c>
      <c r="K29" s="43" t="e">
        <f>dsd("RBC CAD Check Paid",24)</f>
        <v>#NAME?</v>
      </c>
      <c r="L29" s="43" t="e">
        <f>dsd("RBC CAD Monthly Other",24)</f>
        <v>#NAME?</v>
      </c>
      <c r="M29" s="72" t="e">
        <f>SUM(C29:I29,J29:L29)</f>
        <v>#NULL!</v>
      </c>
      <c r="O29" s="43" t="e">
        <f>dsd("RBC CAD Monthly Credits and Debits",24)</f>
        <v>#NAME?</v>
      </c>
    </row>
    <row r="30" ht="12.75" s="66" customFormat="true">
      <c r="A30" s="41" t="n">
        <f>IF(A29&lt;&gt;"",IF(MONTH(A29)=MONTH(A29+1),A29+1,""),"")</f>
        <v>42302.0</v>
      </c>
      <c r="B30" s="71"/>
      <c r="C30" s="43" t="e">
        <f>dsd("RBC CAD Monthly Opening Ledger",25)</f>
        <v>#NAME?</v>
      </c>
      <c r="D30" s="43" t="e">
        <f>dsd("RBC CAD Credits",25)</f>
        <v>#NAME?</v>
      </c>
      <c r="E30" s="43" t="e">
        <f>dsd("RBC CAD Monthly Incoming ACH",25)</f>
        <v>#NAME?</v>
      </c>
      <c r="F30" s="43" t="e">
        <f>dsd("RBC CAD Monthly Incoming wires",25)</f>
        <v>#NAME?</v>
      </c>
      <c r="G30" s="43" t="e">
        <f>dsd("RBC CAD Commercial Deposit",25)</f>
        <v>#NAME?</v>
      </c>
      <c r="H30" s="43" t="e">
        <f>dsd("RBC CAD Debits",25)</f>
        <v>#NAME?</v>
      </c>
      <c r="I30" s="43" t="e">
        <f>dsd("RBC CAD Outgoing ACH",25)</f>
        <v>#NAME?</v>
      </c>
      <c r="J30" s="43" t="e">
        <f>dsd("RBC CAD Monthly Outgoing wires",25)</f>
        <v>#NAME?</v>
      </c>
      <c r="K30" s="43" t="e">
        <f>dsd("RBC CAD Check Paid",25)</f>
        <v>#NAME?</v>
      </c>
      <c r="L30" s="43" t="e">
        <f>dsd("RBC CAD Monthly Other",25)</f>
        <v>#NAME?</v>
      </c>
      <c r="M30" s="72" t="e">
        <f>SUM(C30:I30,J30:L30)</f>
        <v>#NULL!</v>
      </c>
      <c r="O30" s="43" t="e">
        <f>dsd("RBC CAD Monthly Credits and Debits",25)</f>
        <v>#NAME?</v>
      </c>
    </row>
    <row r="31" ht="12.75" s="66" customFormat="true">
      <c r="A31" s="41" t="n">
        <f>IF(A30&lt;&gt;"",IF(MONTH(A30)=MONTH(A30+1),A30+1,""),"")</f>
        <v>42303.0</v>
      </c>
      <c r="B31" s="71"/>
      <c r="C31" s="43" t="e">
        <f>dsd("RBC CAD Monthly Opening Ledger",26)</f>
        <v>#NAME?</v>
      </c>
      <c r="D31" s="43" t="e">
        <f>dsd("RBC CAD Credits",26)</f>
        <v>#NAME?</v>
      </c>
      <c r="E31" s="43" t="e">
        <f>dsd("RBC CAD Monthly Incoming ACH",26)</f>
        <v>#NAME?</v>
      </c>
      <c r="F31" s="43" t="e">
        <f>dsd("RBC CAD Monthly Incoming wires",26)</f>
        <v>#NAME?</v>
      </c>
      <c r="G31" s="43" t="e">
        <f>dsd("RBC CAD Commercial Deposit",26)</f>
        <v>#NAME?</v>
      </c>
      <c r="H31" s="43" t="e">
        <f>dsd("RBC CAD Debits",26)</f>
        <v>#NAME?</v>
      </c>
      <c r="I31" s="43" t="e">
        <f>dsd("RBC CAD Outgoing ACH",26)</f>
        <v>#NAME?</v>
      </c>
      <c r="J31" s="43" t="e">
        <f>dsd("RBC CAD Monthly Outgoing wires",26)</f>
        <v>#NAME?</v>
      </c>
      <c r="K31" s="43" t="e">
        <f>dsd("RBC CAD Check Paid",26)</f>
        <v>#NAME?</v>
      </c>
      <c r="L31" s="43" t="e">
        <f>dsd("RBC CAD Monthly Other",26)</f>
        <v>#NAME?</v>
      </c>
      <c r="M31" s="72" t="e">
        <f>SUM(C31:I31,J31:L31)</f>
        <v>#NULL!</v>
      </c>
      <c r="O31" s="43" t="e">
        <f>dsd("RBC CAD Monthly Credits and Debits",26)</f>
        <v>#NAME?</v>
      </c>
    </row>
    <row r="32" ht="12.75" s="66" customFormat="true">
      <c r="A32" s="41" t="n">
        <f>IF(A31&lt;&gt;"",IF(MONTH(A31)=MONTH(A31+1),A31+1,""),"")</f>
        <v>42304.0</v>
      </c>
      <c r="B32" s="71"/>
      <c r="C32" s="43" t="e">
        <f>dsd("RBC CAD Monthly Opening Ledger",27)</f>
        <v>#NAME?</v>
      </c>
      <c r="D32" s="43" t="e">
        <f>dsd("RBC CAD Credits",27)</f>
        <v>#NAME?</v>
      </c>
      <c r="E32" s="43" t="e">
        <f>dsd("RBC CAD Monthly Incoming ACH",27)</f>
        <v>#NAME?</v>
      </c>
      <c r="F32" s="43" t="e">
        <f>dsd("RBC CAD Monthly Incoming wires",27)</f>
        <v>#NAME?</v>
      </c>
      <c r="G32" s="43" t="e">
        <f>dsd("RBC CAD Commercial Deposit",27)</f>
        <v>#NAME?</v>
      </c>
      <c r="H32" s="43" t="e">
        <f>dsd("RBC CAD Debits",27)</f>
        <v>#NAME?</v>
      </c>
      <c r="I32" s="43" t="e">
        <f>dsd("RBC CAD Outgoing ACH",27)</f>
        <v>#NAME?</v>
      </c>
      <c r="J32" s="43" t="e">
        <f>dsd("RBC CAD Monthly Outgoing wires",27)</f>
        <v>#NAME?</v>
      </c>
      <c r="K32" s="43" t="e">
        <f>dsd("RBC CAD Check Paid",27)</f>
        <v>#NAME?</v>
      </c>
      <c r="L32" s="43" t="e">
        <f>dsd("RBC CAD Monthly Other",27)</f>
        <v>#NAME?</v>
      </c>
      <c r="M32" s="72" t="e">
        <f>SUM(C32:I32,J32:L32)</f>
        <v>#NULL!</v>
      </c>
      <c r="O32" s="43" t="e">
        <f>dsd("RBC CAD Monthly Credits and Debits",27)</f>
        <v>#NAME?</v>
      </c>
    </row>
    <row r="33" ht="12.75" s="66" customFormat="true">
      <c r="A33" s="41" t="n">
        <f>IF(A32&lt;&gt;"",IF(MONTH(A32)=MONTH(A32+1),A32+1,""),"")</f>
        <v>42305.0</v>
      </c>
      <c r="B33" s="71"/>
      <c r="C33" s="43" t="e">
        <f>dsd("RBC CAD Monthly Opening Ledger",28)</f>
        <v>#NAME?</v>
      </c>
      <c r="D33" s="43" t="e">
        <f>dsd("RBC CAD Credits",28)</f>
        <v>#NAME?</v>
      </c>
      <c r="E33" s="43" t="e">
        <f>dsd("RBC CAD Monthly Incoming ACH",28)</f>
        <v>#NAME?</v>
      </c>
      <c r="F33" s="43" t="e">
        <f>dsd("RBC CAD Monthly Incoming wires",28)</f>
        <v>#NAME?</v>
      </c>
      <c r="G33" s="43" t="e">
        <f>dsd("RBC CAD Commercial Deposit",28)</f>
        <v>#NAME?</v>
      </c>
      <c r="H33" s="43" t="e">
        <f>dsd("RBC CAD Debits",28)</f>
        <v>#NAME?</v>
      </c>
      <c r="I33" s="43" t="e">
        <f>dsd("RBC CAD Outgoing ACH",28)</f>
        <v>#NAME?</v>
      </c>
      <c r="J33" s="43" t="e">
        <f>dsd("RBC CAD Monthly Outgoing wires",28)</f>
        <v>#NAME?</v>
      </c>
      <c r="K33" s="43" t="e">
        <f>dsd("RBC CAD Check Paid",28)</f>
        <v>#NAME?</v>
      </c>
      <c r="L33" s="43" t="e">
        <f>dsd("RBC CAD Monthly Other",28)</f>
        <v>#NAME?</v>
      </c>
      <c r="M33" s="72" t="e">
        <f>SUM(C33:I33,J33:L33)</f>
        <v>#NULL!</v>
      </c>
      <c r="O33" s="43" t="e">
        <f>dsd("RBC CAD Monthly Credits and Debits",28)</f>
        <v>#NAME?</v>
      </c>
    </row>
    <row r="34" ht="12.75" s="66" customFormat="true">
      <c r="A34" s="41" t="n">
        <f>IF(A33&lt;&gt;"",IF(MONTH(A33)=MONTH(A33+1),A33+1,""),"")</f>
        <v>42306.0</v>
      </c>
      <c r="B34" s="71"/>
      <c r="C34" s="43" t="e">
        <f>dsd("RBC CAD Monthly Opening Ledger",29)</f>
        <v>#NAME?</v>
      </c>
      <c r="D34" s="43" t="e">
        <f>dsd("RBC CAD Credits",29)</f>
        <v>#NAME?</v>
      </c>
      <c r="E34" s="43" t="e">
        <f>dsd("RBC CAD Monthly Incoming ACH",29)</f>
        <v>#NAME?</v>
      </c>
      <c r="F34" s="43" t="e">
        <f>dsd("RBC CAD Monthly Incoming wires",29)</f>
        <v>#NAME?</v>
      </c>
      <c r="G34" s="43" t="e">
        <f>dsd("RBC CAD Commercial Deposit",29)</f>
        <v>#NAME?</v>
      </c>
      <c r="H34" s="43" t="e">
        <f>dsd("RBC CAD Debits",29)</f>
        <v>#NAME?</v>
      </c>
      <c r="I34" s="43" t="e">
        <f>dsd("RBC CAD Outgoing ACH",29)</f>
        <v>#NAME?</v>
      </c>
      <c r="J34" s="43" t="e">
        <f>dsd("RBC CAD Monthly Outgoing wires",29)</f>
        <v>#NAME?</v>
      </c>
      <c r="K34" s="43" t="e">
        <f>dsd("RBC CAD Check Paid",29)</f>
        <v>#NAME?</v>
      </c>
      <c r="L34" s="43" t="e">
        <f>dsd("RBC CAD Monthly Other",29)</f>
        <v>#NAME?</v>
      </c>
      <c r="M34" s="72" t="e">
        <f>SUM(C34:I34,J34:L34)</f>
        <v>#NULL!</v>
      </c>
      <c r="O34" s="43" t="e">
        <f>dsd("RBC CAD Monthly Credits and Debits",29)</f>
        <v>#NAME?</v>
      </c>
    </row>
    <row r="35" ht="12.75" s="66" customFormat="true">
      <c r="A35" s="73" t="n">
        <f>IF(A34&lt;&gt;"",IF(MONTH(A34)=MONTH(A34+1),A34+1,""),"")</f>
        <v>42307.0</v>
      </c>
      <c r="B35" s="71"/>
      <c r="C35" s="43" t="e">
        <f>dsd("RBC CAD Monthly Opening Ledger",30)</f>
        <v>#NAME?</v>
      </c>
      <c r="D35" s="43" t="e">
        <f>dsd("RBC CAD Credits",30)</f>
        <v>#NAME?</v>
      </c>
      <c r="E35" s="43" t="e">
        <f>dsd("RBC CAD Monthly Incoming ACH",30)</f>
        <v>#NAME?</v>
      </c>
      <c r="F35" s="43" t="e">
        <f>dsd("RBC CAD Monthly Incoming wires",30)</f>
        <v>#NAME?</v>
      </c>
      <c r="G35" s="43" t="e">
        <f>dsd("RBC CAD Commercial Deposit",30)</f>
        <v>#NAME?</v>
      </c>
      <c r="H35" s="43" t="e">
        <f>dsd("RBC CAD Debits",30)</f>
        <v>#NAME?</v>
      </c>
      <c r="I35" s="43" t="e">
        <f>dsd("RBC CAD Outgoing ACH",30)</f>
        <v>#NAME?</v>
      </c>
      <c r="J35" s="43" t="e">
        <f>dsd("RBC CAD Monthly Outgoing wires",30)</f>
        <v>#NAME?</v>
      </c>
      <c r="K35" s="43" t="e">
        <f>dsd("RBC CAD Check Paid",30)</f>
        <v>#NAME?</v>
      </c>
      <c r="L35" s="43" t="e">
        <f>dsd("RBC CAD Monthly Other",30)</f>
        <v>#NAME?</v>
      </c>
      <c r="M35" s="72" t="e">
        <f>SUM(C35:I35,J35:L35)</f>
        <v>#NULL!</v>
      </c>
      <c r="O35" s="43" t="e">
        <f>dsd("RBC CAD Monthly Credits and Debits",30)</f>
        <v>#NAME?</v>
      </c>
    </row>
    <row r="36" ht="12.75" s="66" customFormat="true">
      <c r="A36" s="73" t="n">
        <f>IF(A35&lt;&gt;"",IF(MONTH(A35)=MONTH(A35+1),A35+1,""),"")</f>
        <v>42308.0</v>
      </c>
      <c r="B36" s="71"/>
      <c r="C36" s="43" t="e">
        <f>dsd("RBC CAD Monthly Opening Ledger",31)</f>
        <v>#NAME?</v>
      </c>
      <c r="D36" s="43" t="e">
        <f>dsd("RBC CAD Credits",31)</f>
        <v>#NAME?</v>
      </c>
      <c r="E36" s="43" t="e">
        <f>dsd("RBC CAD Monthly Incoming ACH",31)</f>
        <v>#NAME?</v>
      </c>
      <c r="F36" s="43" t="e">
        <f>dsd("RBC CAD Monthly Incoming wires",31)</f>
        <v>#NAME?</v>
      </c>
      <c r="G36" s="43" t="e">
        <f>dsd("RBC CAD Commercial Deposit",31)</f>
        <v>#NAME?</v>
      </c>
      <c r="H36" s="43" t="e">
        <f>dsd("RBC CAD Debits",31)</f>
        <v>#NAME?</v>
      </c>
      <c r="I36" s="43" t="e">
        <f>dsd("RBC CAD Outgoing ACH",31)</f>
        <v>#NAME?</v>
      </c>
      <c r="J36" s="43" t="e">
        <f>dsd("RBC CAD Monthly Outgoing wires",31)</f>
        <v>#NAME?</v>
      </c>
      <c r="K36" s="43" t="e">
        <f>dsd("RBC CAD Check Paid",31)</f>
        <v>#NAME?</v>
      </c>
      <c r="L36" s="43" t="e">
        <f>dsd("RBC CAD Monthly Other",31)</f>
        <v>#NAME?</v>
      </c>
      <c r="M36" s="72" t="e">
        <f>SUM(C36:I36,J36:L36)</f>
        <v>#NULL!</v>
      </c>
      <c r="O36" s="43" t="e">
        <f>dsd("RBC CAD Monthly Credits and Debits",31)</f>
        <v>#NAME?</v>
      </c>
    </row>
    <row r="37" ht="12.75" s="66" customFormat="true">
      <c r="A37" s="71"/>
      <c r="B37" s="7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72"/>
      <c r="O37" s="36"/>
    </row>
    <row r="38" ht="12.75" s="66" customFormat="true">
      <c r="A38" s="74" t="s">
        <v>54</v>
      </c>
      <c r="B38" s="75"/>
      <c r="C38" s="54" t="e">
        <f>ds("RBC CAD Monthly Opening Ledger")</f>
        <v>#NAME?</v>
      </c>
      <c r="D38" s="54" t="e">
        <f>ds("RBC CAD Credits")</f>
        <v>#NAME?</v>
      </c>
      <c r="E38" s="54" t="e">
        <f>ds("RBC CAD Monthly Incoming ACH")</f>
        <v>#NAME?</v>
      </c>
      <c r="F38" s="54" t="e">
        <f>ds("RBC CAD Monthly Incoming wires")</f>
        <v>#NAME?</v>
      </c>
      <c r="G38" s="54" t="e">
        <f>ds("RBC CAD Commercial Deposit")</f>
        <v>#NAME?</v>
      </c>
      <c r="H38" s="54" t="e">
        <f>ds("RBC CAD Debits")</f>
        <v>#NAME?</v>
      </c>
      <c r="I38" s="54" t="e">
        <f>ds("RBC CAD Outgoing ACH")</f>
        <v>#NAME?</v>
      </c>
      <c r="J38" s="54" t="e">
        <f>ds("RBC CAD Monthly Outgoing wires")</f>
        <v>#NAME?</v>
      </c>
      <c r="K38" s="54" t="e">
        <f>ds("RBC CAD Check Paid")</f>
        <v>#NAME?</v>
      </c>
      <c r="L38" s="54" t="e">
        <f>ds("RBC CAD Monthly Other")</f>
        <v>#NAME?</v>
      </c>
      <c r="M38" s="72" t="e">
        <f>SUM(C38:I38,J38:L38)</f>
        <v>#NAME?</v>
      </c>
      <c r="O38" s="54" t="e">
        <f>ds("RBC CAD Monthly Credits and Debits")</f>
        <v>#NAME?</v>
      </c>
    </row>
    <row r="39" ht="12.75" s="66" customFormat="true">
      <c r="A39" s="76"/>
      <c r="B39" s="76"/>
      <c r="C39" s="59"/>
      <c r="D39" s="59"/>
      <c r="E39" s="59"/>
      <c r="F39" s="59"/>
      <c r="G39" s="59"/>
      <c r="H39" s="59"/>
      <c r="I39" s="59"/>
      <c r="J39" s="59"/>
      <c r="K39" s="77"/>
      <c r="L39" s="77"/>
      <c r="M39" s="77"/>
    </row>
    <row r="40" ht="12.75" s="66" customFormat="true">
      <c r="B40" s="76"/>
      <c r="J40" s="59"/>
      <c r="K40" s="77"/>
      <c r="L40" s="77"/>
      <c r="M40" s="77"/>
    </row>
  </sheetData>
  <mergeCells>
    <mergeCell ref="A1:M1"/>
    <mergeCell ref="A2:M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2" customWidth="true" width="10.0" hidden="false"/>
    <col min="2" max="2" style="63" customWidth="true" width="2.5703125" hidden="false"/>
    <col min="3" max="3" style="62" customWidth="true" width="15.85546875" hidden="false"/>
    <col min="4" max="4" style="62" customWidth="true" width="15.85546875" hidden="false"/>
    <col min="5" max="5" style="62" customWidth="true" width="12.71484375" hidden="false"/>
    <col min="6" max="6" style="62" customWidth="true" width="12.28515625" hidden="false"/>
    <col min="7" max="7" style="62" customWidth="true" width="14.71484375" hidden="false"/>
    <col min="8" max="8" style="62" customWidth="true" width="14.71484375" hidden="false"/>
    <col min="9" max="9" style="64" customWidth="true" width="13.71484375" hidden="false"/>
    <col min="10" max="10" style="62" customWidth="true" width="13.5703125" hidden="false"/>
    <col min="11" max="11" style="62" customWidth="true" width="13.0" hidden="false"/>
    <col min="12" max="12" style="62" customWidth="true" width="13.4296875" hidden="false"/>
    <col min="13" max="13" style="62" customWidth="true" width="15.14453125" hidden="false"/>
    <col min="14" max="14" style="62" customWidth="false" width="9.14453125" hidden="false"/>
    <col min="15" max="15" style="62" customWidth="true" width="13.71484375" hidden="false"/>
    <col min="16" max="16" style="62" customWidth="false" width="9.14453125" hidden="false"/>
    <col min="17" max="17" style="62" customWidth="false" width="9.14453125" hidden="false"/>
    <col min="18" max="18" style="62" customWidth="false" width="9.14453125" hidden="false"/>
    <col min="19" max="25" style="62" customWidth="false" width="9.14453125" hidden="false"/>
    <col min="26" max="16384" style="62" customWidth="false" width="9.14453125" hidden="false"/>
  </cols>
  <sheetData>
    <row r="1" customHeight="true" ht="15.0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customHeight="true" ht="12.75">
      <c r="A2" s="26" t="n">
        <f>NOW()</f>
        <v>42279.99510652778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customHeight="true" ht="12.75">
      <c r="A3" s="26"/>
      <c r="B3" s="26"/>
      <c r="C3" s="26"/>
      <c r="D3" s="26"/>
      <c r="E3" s="78"/>
      <c r="F3" s="78"/>
      <c r="G3" s="26"/>
      <c r="H3" s="26"/>
      <c r="I3" s="26"/>
      <c r="J3" s="26"/>
      <c r="K3" s="26"/>
      <c r="L3" s="26"/>
      <c r="M3" s="78"/>
    </row>
    <row r="4" customHeight="true" ht="35.25" s="27" customFormat="true">
      <c r="A4" s="28" t="s">
        <v>39</v>
      </c>
      <c r="B4" s="29"/>
      <c r="C4" s="29" t="s">
        <v>40</v>
      </c>
      <c r="D4" s="29" t="s">
        <v>56</v>
      </c>
      <c r="E4" s="29" t="s">
        <v>17</v>
      </c>
      <c r="F4" s="29" t="s">
        <v>16</v>
      </c>
      <c r="G4" s="29" t="s">
        <v>42</v>
      </c>
      <c r="H4" s="29" t="s">
        <v>57</v>
      </c>
      <c r="I4" s="29" t="s">
        <v>58</v>
      </c>
      <c r="J4" s="29" t="s">
        <v>22</v>
      </c>
      <c r="K4" s="29" t="s">
        <v>50</v>
      </c>
      <c r="L4" s="29" t="s">
        <v>51</v>
      </c>
      <c r="M4" s="29" t="s">
        <v>52</v>
      </c>
      <c r="O4" s="31" t="s">
        <v>55</v>
      </c>
    </row>
    <row r="5" customHeight="true" ht="12.75" s="32" customFormat="true">
      <c r="A5" s="67"/>
      <c r="B5" s="67"/>
      <c r="C5" s="36"/>
      <c r="D5" s="36"/>
      <c r="E5" s="36"/>
      <c r="F5" s="36"/>
      <c r="G5" s="36"/>
      <c r="H5" s="36"/>
      <c r="I5" s="36"/>
      <c r="J5" s="68"/>
      <c r="K5" s="69"/>
      <c r="L5" s="69"/>
      <c r="M5" s="69"/>
    </row>
    <row r="6" ht="12.0" s="70" customFormat="true">
      <c r="A6" s="41" t="n">
        <f>DATEVALUE(MONTH(TODAY())&amp;"/1/"&amp;YEAR(TODAY()))</f>
        <v>42278.0</v>
      </c>
      <c r="B6" s="71"/>
      <c r="C6" s="43" t="e">
        <f>dsd("Avfuel LTD Euro Monthly Opening Ledger",1)</f>
        <v>#NAME?</v>
      </c>
      <c r="D6" s="43" t="e">
        <f>dsd("Avfuel LTD Euro Credits",1)</f>
        <v>#NAME?</v>
      </c>
      <c r="E6" s="43" t="e">
        <f>dsd("Avfuel LTD Euro Incoming ACH",1)</f>
        <v>#NAME?</v>
      </c>
      <c r="F6" s="43" t="e">
        <f>dsd("Avfuel LTD Euro Incoming Wire",1)</f>
        <v>#NAME?</v>
      </c>
      <c r="G6" s="43" t="e">
        <f>dsd("Avfuel LTD Euro Commercial Deposit",1)</f>
        <v>#NAME?</v>
      </c>
      <c r="H6" s="43" t="e">
        <f>dsd("Avfuel LTD Euro Debits",1)</f>
        <v>#NAME?</v>
      </c>
      <c r="I6" s="43" t="e">
        <f>dsd("Avfuel LTD Euro Outgoing ACH",1)</f>
        <v>#NAME?</v>
      </c>
      <c r="J6" s="43" t="e">
        <f>dsd("Avfuel LTD Euro Monthly Outgoing wires",1)</f>
        <v>#NAME?</v>
      </c>
      <c r="K6" s="43" t="e">
        <f>dsd("Avfuel LTD Euro Check Paid",1)</f>
        <v>#NAME?</v>
      </c>
      <c r="L6" s="43" t="e">
        <f>dsd("Avfuel LTD Euro Monthly Other",1)</f>
        <v>#NAME?</v>
      </c>
      <c r="M6" s="72" t="e">
        <f>SUM(C6:I6,J6:L6)</f>
        <v>#NULL!</v>
      </c>
      <c r="O6" s="43" t="e">
        <f>dsd("Avfuel LTD Euro Monthly Debits &amp; Credits",1)</f>
        <v>#NAME?</v>
      </c>
    </row>
    <row r="7" ht="12.0" s="70" customFormat="true">
      <c r="A7" s="41" t="n">
        <f>IF(A6&lt;&gt;"",IF(MONTH(A6)=MONTH(A6+1),A6+1,""),"")</f>
        <v>42279.0</v>
      </c>
      <c r="B7" s="71"/>
      <c r="C7" s="43" t="e">
        <f>dsd("Avfuel LTD Euro Monthly Opening Ledger",2)</f>
        <v>#NAME?</v>
      </c>
      <c r="D7" s="43" t="e">
        <f>dsd("Avfuel LTD Euro Credits",2)</f>
        <v>#NAME?</v>
      </c>
      <c r="E7" s="43" t="e">
        <f>dsd("Avfuel LTD Euro Incoming ACH",2)</f>
        <v>#NAME?</v>
      </c>
      <c r="F7" s="43" t="e">
        <f>dsd("Avfuel LTD Euro Incoming Wire",2)</f>
        <v>#NAME?</v>
      </c>
      <c r="G7" s="43" t="e">
        <f>dsd("Avfuel LTD Euro Commercial Deposit",2)</f>
        <v>#NAME?</v>
      </c>
      <c r="H7" s="43" t="e">
        <f>dsd("Avfuel LTD Euro Debits",2)</f>
        <v>#NAME?</v>
      </c>
      <c r="I7" s="43" t="e">
        <f>dsd("Avfuel LTD Euro Outgoing ACH",2)</f>
        <v>#NAME?</v>
      </c>
      <c r="J7" s="43" t="e">
        <f>dsd("Avfuel LTD Euro Monthly Outgoing wires",2)</f>
        <v>#NAME?</v>
      </c>
      <c r="K7" s="43" t="e">
        <f>dsd("Avfuel LTD Euro Check Paid",2)</f>
        <v>#NAME?</v>
      </c>
      <c r="L7" s="43" t="e">
        <f>dsd("Avfuel LTD Euro Monthly Other",2)</f>
        <v>#NAME?</v>
      </c>
      <c r="M7" s="72" t="e">
        <f>SUM(C7:I7,J7:L7)</f>
        <v>#NULL!</v>
      </c>
      <c r="O7" s="43" t="e">
        <f>dsd("Avfuel LTD Euro Monthly Debits &amp; Credits",2)</f>
        <v>#NAME?</v>
      </c>
    </row>
    <row r="8" ht="12.75" s="66" customFormat="true">
      <c r="A8" s="41" t="n">
        <f>IF(A7&lt;&gt;"",IF(MONTH(A7)=MONTH(A7+1),A7+1,""),"")</f>
        <v>42280.0</v>
      </c>
      <c r="B8" s="71"/>
      <c r="C8" s="43" t="e">
        <f>dsd("Avfuel LTD Euro Monthly Opening Ledger",3)</f>
        <v>#NAME?</v>
      </c>
      <c r="D8" s="43" t="e">
        <f>dsd("Avfuel LTD Euro Credits",3)</f>
        <v>#NAME?</v>
      </c>
      <c r="E8" s="43" t="e">
        <f>dsd("Avfuel LTD Euro Incoming ACH",3)</f>
        <v>#NAME?</v>
      </c>
      <c r="F8" s="43" t="e">
        <f>dsd("Avfuel LTD Euro Incoming Wire",3)</f>
        <v>#NAME?</v>
      </c>
      <c r="G8" s="43" t="e">
        <f>dsd("Avfuel LTD Euro Commercial Deposit",3)</f>
        <v>#NAME?</v>
      </c>
      <c r="H8" s="43" t="e">
        <f>dsd("Avfuel LTD Euro Debits",3)</f>
        <v>#NAME?</v>
      </c>
      <c r="I8" s="43" t="e">
        <f>dsd("Avfuel LTD Euro Outgoing ACH",3)</f>
        <v>#NAME?</v>
      </c>
      <c r="J8" s="43" t="e">
        <f>dsd("Avfuel LTD Euro Monthly Outgoing wires",3)</f>
        <v>#NAME?</v>
      </c>
      <c r="K8" s="43" t="e">
        <f>dsd("Avfuel LTD Euro Check Paid",3)</f>
        <v>#NAME?</v>
      </c>
      <c r="L8" s="43" t="e">
        <f>dsd("Avfuel LTD Euro Monthly Other",3)</f>
        <v>#NAME?</v>
      </c>
      <c r="M8" s="72" t="e">
        <f>SUM(C8:I8,J8:L8)</f>
        <v>#NULL!</v>
      </c>
      <c r="O8" s="43" t="e">
        <f>dsd("Avfuel LTD Euro Monthly Debits &amp; Credits",3)</f>
        <v>#NAME?</v>
      </c>
    </row>
    <row r="9" ht="12.75" s="66" customFormat="true">
      <c r="A9" s="41" t="n">
        <f>IF(A8&lt;&gt;"",IF(MONTH(A8)=MONTH(A8+1),A8+1,""),"")</f>
        <v>42281.0</v>
      </c>
      <c r="B9" s="71"/>
      <c r="C9" s="43" t="e">
        <f>dsd("Avfuel LTD Euro Monthly Opening Ledger",4)</f>
        <v>#NAME?</v>
      </c>
      <c r="D9" s="43" t="e">
        <f>dsd("Avfuel LTD Euro Credits",4)</f>
        <v>#NAME?</v>
      </c>
      <c r="E9" s="43" t="e">
        <f>dsd("Avfuel LTD Euro Incoming ACH",4)</f>
        <v>#NAME?</v>
      </c>
      <c r="F9" s="43" t="e">
        <f>dsd("Avfuel LTD Euro Incoming Wire",4)</f>
        <v>#NAME?</v>
      </c>
      <c r="G9" s="43" t="e">
        <f>dsd("Avfuel LTD Euro Commercial Deposit",4)</f>
        <v>#NAME?</v>
      </c>
      <c r="H9" s="43" t="e">
        <f>dsd("Avfuel LTD Euro Debits",4)</f>
        <v>#NAME?</v>
      </c>
      <c r="I9" s="43" t="e">
        <f>dsd("Avfuel LTD Euro Outgoing ACH",4)</f>
        <v>#NAME?</v>
      </c>
      <c r="J9" s="43" t="e">
        <f>dsd("Avfuel LTD Euro Monthly Outgoing wires",4)</f>
        <v>#NAME?</v>
      </c>
      <c r="K9" s="43" t="e">
        <f>dsd("Avfuel LTD Euro Check Paid",4)</f>
        <v>#NAME?</v>
      </c>
      <c r="L9" s="43" t="e">
        <f>dsd("Avfuel LTD Euro Monthly Other",4)</f>
        <v>#NAME?</v>
      </c>
      <c r="M9" s="72" t="e">
        <f>SUM(C9:I9,J9:L9)</f>
        <v>#NULL!</v>
      </c>
      <c r="O9" s="43" t="e">
        <f>dsd("Avfuel LTD Euro Monthly Debits &amp; Credits",4)</f>
        <v>#NAME?</v>
      </c>
    </row>
    <row r="10" ht="12.75" s="66" customFormat="true">
      <c r="A10" s="41" t="n">
        <f>IF(A9&lt;&gt;"",IF(MONTH(A9)=MONTH(A9+1),A9+1,""),"")</f>
        <v>42282.0</v>
      </c>
      <c r="B10" s="71"/>
      <c r="C10" s="43" t="e">
        <f>dsd("Avfuel LTD Euro Monthly Opening Ledger",5)</f>
        <v>#NAME?</v>
      </c>
      <c r="D10" s="43" t="e">
        <f>dsd("Avfuel LTD Euro Credits",5)</f>
        <v>#NAME?</v>
      </c>
      <c r="E10" s="43" t="e">
        <f>dsd("Avfuel LTD Euro Incoming ACH",5)</f>
        <v>#NAME?</v>
      </c>
      <c r="F10" s="43" t="e">
        <f>dsd("Avfuel LTD Euro Incoming Wire",5)</f>
        <v>#NAME?</v>
      </c>
      <c r="G10" s="43" t="e">
        <f>dsd("Avfuel LTD Euro Commercial Deposit",5)</f>
        <v>#NAME?</v>
      </c>
      <c r="H10" s="43" t="e">
        <f>dsd("Avfuel LTD Euro Debits",5)</f>
        <v>#NAME?</v>
      </c>
      <c r="I10" s="43" t="e">
        <f>dsd("Avfuel LTD Euro Outgoing ACH",5)</f>
        <v>#NAME?</v>
      </c>
      <c r="J10" s="43" t="e">
        <f>dsd("Avfuel LTD Euro Monthly Outgoing wires",5)</f>
        <v>#NAME?</v>
      </c>
      <c r="K10" s="43" t="e">
        <f>dsd("Avfuel LTD Euro Check Paid",5)</f>
        <v>#NAME?</v>
      </c>
      <c r="L10" s="43" t="e">
        <f>dsd("Avfuel LTD Euro Monthly Other",5)</f>
        <v>#NAME?</v>
      </c>
      <c r="M10" s="72" t="e">
        <f>SUM(C10:I10,J10:L10)</f>
        <v>#NULL!</v>
      </c>
      <c r="O10" s="43" t="e">
        <f>dsd("Avfuel LTD Euro Monthly Debits &amp; Credits",5)</f>
        <v>#NAME?</v>
      </c>
    </row>
    <row r="11" ht="12.75" s="66" customFormat="true">
      <c r="A11" s="41" t="n">
        <f>IF(A10&lt;&gt;"",IF(MONTH(A10)=MONTH(A10+1),A10+1,""),"")</f>
        <v>42283.0</v>
      </c>
      <c r="B11" s="71"/>
      <c r="C11" s="43" t="e">
        <f>dsd("Avfuel LTD Euro Monthly Opening Ledger",6)</f>
        <v>#NAME?</v>
      </c>
      <c r="D11" s="43" t="e">
        <f>dsd("Avfuel LTD Euro Credits",6)</f>
        <v>#NAME?</v>
      </c>
      <c r="E11" s="43" t="e">
        <f>dsd("Avfuel LTD Euro Incoming ACH",6)</f>
        <v>#NAME?</v>
      </c>
      <c r="F11" s="43" t="e">
        <f>dsd("Avfuel LTD Euro Incoming Wire",6)</f>
        <v>#NAME?</v>
      </c>
      <c r="G11" s="43" t="e">
        <f>dsd("Avfuel LTD Euro Commercial Deposit",6)</f>
        <v>#NAME?</v>
      </c>
      <c r="H11" s="43" t="e">
        <f>dsd("Avfuel LTD Euro Debits",6)</f>
        <v>#NAME?</v>
      </c>
      <c r="I11" s="43" t="e">
        <f>dsd("Avfuel LTD Euro Outgoing ACH",6)</f>
        <v>#NAME?</v>
      </c>
      <c r="J11" s="43" t="e">
        <f>dsd("Avfuel LTD Euro Monthly Outgoing wires",6)</f>
        <v>#NAME?</v>
      </c>
      <c r="K11" s="43" t="e">
        <f>dsd("Avfuel LTD Euro Check Paid",6)</f>
        <v>#NAME?</v>
      </c>
      <c r="L11" s="43" t="e">
        <f>dsd("Avfuel LTD Euro Monthly Other",6)</f>
        <v>#NAME?</v>
      </c>
      <c r="M11" s="72" t="e">
        <f>SUM(C11:I11,J11:L11)</f>
        <v>#NULL!</v>
      </c>
      <c r="O11" s="43" t="e">
        <f>dsd("Avfuel LTD Euro Monthly Debits &amp; Credits",6)</f>
        <v>#NAME?</v>
      </c>
    </row>
    <row r="12" ht="12.75" s="66" customFormat="true">
      <c r="A12" s="41" t="n">
        <f>IF(A11&lt;&gt;"",IF(MONTH(A11)=MONTH(A11+1),A11+1,""),"")</f>
        <v>42284.0</v>
      </c>
      <c r="B12" s="71"/>
      <c r="C12" s="43" t="e">
        <f>dsd("Avfuel LTD Euro Monthly Opening Ledger",7)</f>
        <v>#NAME?</v>
      </c>
      <c r="D12" s="43" t="e">
        <f>dsd("Avfuel LTD Euro Credits",7)</f>
        <v>#NAME?</v>
      </c>
      <c r="E12" s="43" t="e">
        <f>dsd("Avfuel LTD Euro Incoming ACH",7)</f>
        <v>#NAME?</v>
      </c>
      <c r="F12" s="43" t="e">
        <f>dsd("Avfuel LTD Euro Incoming Wire",7)</f>
        <v>#NAME?</v>
      </c>
      <c r="G12" s="43" t="e">
        <f>dsd("Avfuel LTD Euro Commercial Deposit",7)</f>
        <v>#NAME?</v>
      </c>
      <c r="H12" s="43" t="e">
        <f>dsd("Avfuel LTD Euro Debits",7)</f>
        <v>#NAME?</v>
      </c>
      <c r="I12" s="43" t="e">
        <f>dsd("Avfuel LTD Euro Outgoing ACH",7)</f>
        <v>#NAME?</v>
      </c>
      <c r="J12" s="43" t="e">
        <f>dsd("Avfuel LTD Euro Monthly Outgoing wires",7)</f>
        <v>#NAME?</v>
      </c>
      <c r="K12" s="43" t="e">
        <f>dsd("Avfuel LTD Euro Check Paid",7)</f>
        <v>#NAME?</v>
      </c>
      <c r="L12" s="43" t="e">
        <f>dsd("Avfuel LTD Euro Monthly Other",7)</f>
        <v>#NAME?</v>
      </c>
      <c r="M12" s="72" t="e">
        <f>SUM(C12:I12,J12:L12)</f>
        <v>#NULL!</v>
      </c>
      <c r="O12" s="43" t="e">
        <f>dsd("Avfuel LTD Euro Monthly Debits &amp; Credits",7)</f>
        <v>#NAME?</v>
      </c>
    </row>
    <row r="13" ht="12.75" s="66" customFormat="true">
      <c r="A13" s="41" t="n">
        <f>IF(A12&lt;&gt;"",IF(MONTH(A12)=MONTH(A12+1),A12+1,""),"")</f>
        <v>42285.0</v>
      </c>
      <c r="B13" s="71"/>
      <c r="C13" s="43" t="e">
        <f>dsd("Avfuel LTD Euro Monthly Opening Ledger",8)</f>
        <v>#NAME?</v>
      </c>
      <c r="D13" s="43" t="e">
        <f>dsd("Avfuel LTD Euro Credits",8)</f>
        <v>#NAME?</v>
      </c>
      <c r="E13" s="43" t="e">
        <f>dsd("Avfuel LTD Euro Incoming ACH",8)</f>
        <v>#NAME?</v>
      </c>
      <c r="F13" s="43" t="e">
        <f>dsd("Avfuel LTD Euro Incoming Wire",8)</f>
        <v>#NAME?</v>
      </c>
      <c r="G13" s="43" t="e">
        <f>dsd("Avfuel LTD Euro Commercial Deposit",8)</f>
        <v>#NAME?</v>
      </c>
      <c r="H13" s="43" t="e">
        <f>dsd("Avfuel LTD Euro Debits",8)</f>
        <v>#NAME?</v>
      </c>
      <c r="I13" s="43" t="e">
        <f>dsd("Avfuel LTD Euro Outgoing ACH",8)</f>
        <v>#NAME?</v>
      </c>
      <c r="J13" s="43" t="e">
        <f>dsd("Avfuel LTD Euro Monthly Outgoing wires",8)</f>
        <v>#NAME?</v>
      </c>
      <c r="K13" s="43" t="e">
        <f>dsd("Avfuel LTD Euro Check Paid",8)</f>
        <v>#NAME?</v>
      </c>
      <c r="L13" s="43" t="e">
        <f>dsd("Avfuel LTD Euro Monthly Other",8)</f>
        <v>#NAME?</v>
      </c>
      <c r="M13" s="72" t="e">
        <f>SUM(C13:I13,J13:L13)</f>
        <v>#NULL!</v>
      </c>
      <c r="O13" s="43" t="e">
        <f>dsd("Avfuel LTD Euro Monthly Debits &amp; Credits",8)</f>
        <v>#NAME?</v>
      </c>
    </row>
    <row r="14" ht="12.75" s="66" customFormat="true">
      <c r="A14" s="41" t="n">
        <f>IF(A13&lt;&gt;"",IF(MONTH(A13)=MONTH(A13+1),A13+1,""),"")</f>
        <v>42286.0</v>
      </c>
      <c r="B14" s="71"/>
      <c r="C14" s="43" t="e">
        <f>dsd("Avfuel LTD Euro Monthly Opening Ledger",9)</f>
        <v>#NAME?</v>
      </c>
      <c r="D14" s="43" t="e">
        <f>dsd("Avfuel LTD Euro Credits",9)</f>
        <v>#NAME?</v>
      </c>
      <c r="E14" s="43" t="e">
        <f>dsd("Avfuel LTD Euro Incoming ACH",9)</f>
        <v>#NAME?</v>
      </c>
      <c r="F14" s="43" t="e">
        <f>dsd("Avfuel LTD Euro Incoming Wire",9)</f>
        <v>#NAME?</v>
      </c>
      <c r="G14" s="43" t="e">
        <f>dsd("Avfuel LTD Euro Commercial Deposit",9)</f>
        <v>#NAME?</v>
      </c>
      <c r="H14" s="43" t="e">
        <f>dsd("Avfuel LTD Euro Debits",9)</f>
        <v>#NAME?</v>
      </c>
      <c r="I14" s="43" t="e">
        <f>dsd("Avfuel LTD Euro Outgoing ACH",9)</f>
        <v>#NAME?</v>
      </c>
      <c r="J14" s="43" t="e">
        <f>dsd("Avfuel LTD Euro Monthly Outgoing wires",9)</f>
        <v>#NAME?</v>
      </c>
      <c r="K14" s="43" t="e">
        <f>dsd("Avfuel LTD Euro Check Paid",9)</f>
        <v>#NAME?</v>
      </c>
      <c r="L14" s="43" t="e">
        <f>dsd("Avfuel LTD Euro Monthly Other",9)</f>
        <v>#NAME?</v>
      </c>
      <c r="M14" s="72" t="e">
        <f>SUM(C14:I14,J14:L14)</f>
        <v>#NULL!</v>
      </c>
      <c r="O14" s="43" t="e">
        <f>dsd("Avfuel LTD Euro Monthly Debits &amp; Credits",9)</f>
        <v>#NAME?</v>
      </c>
    </row>
    <row r="15" ht="12.75" s="66" customFormat="true">
      <c r="A15" s="41" t="n">
        <f>IF(A14&lt;&gt;"",IF(MONTH(A14)=MONTH(A14+1),A14+1,""),"")</f>
        <v>42287.0</v>
      </c>
      <c r="B15" s="71"/>
      <c r="C15" s="43" t="e">
        <f>dsd("Avfuel LTD Euro Monthly Opening Ledger",10)</f>
        <v>#NAME?</v>
      </c>
      <c r="D15" s="43" t="e">
        <f>dsd("Avfuel LTD Euro Credits",10)</f>
        <v>#NAME?</v>
      </c>
      <c r="E15" s="43" t="e">
        <f>dsd("Avfuel LTD Euro Incoming ACH",10)</f>
        <v>#NAME?</v>
      </c>
      <c r="F15" s="43" t="e">
        <f>dsd("Avfuel LTD Euro Incoming Wire",10)</f>
        <v>#NAME?</v>
      </c>
      <c r="G15" s="43" t="e">
        <f>dsd("Avfuel LTD Euro Commercial Deposit",10)</f>
        <v>#NAME?</v>
      </c>
      <c r="H15" s="43" t="e">
        <f>dsd("Avfuel LTD Euro Debits",10)</f>
        <v>#NAME?</v>
      </c>
      <c r="I15" s="43" t="e">
        <f>dsd("Avfuel LTD Euro Outgoing ACH",10)</f>
        <v>#NAME?</v>
      </c>
      <c r="J15" s="43" t="e">
        <f>dsd("Avfuel LTD Euro Monthly Outgoing wires",10)</f>
        <v>#NAME?</v>
      </c>
      <c r="K15" s="43" t="e">
        <f>dsd("Avfuel LTD Euro Check Paid",10)</f>
        <v>#NAME?</v>
      </c>
      <c r="L15" s="43" t="e">
        <f>dsd("Avfuel LTD Euro Monthly Other",10)</f>
        <v>#NAME?</v>
      </c>
      <c r="M15" s="72" t="e">
        <f>SUM(C15:I15,J15:L15)</f>
        <v>#NULL!</v>
      </c>
      <c r="O15" s="43" t="e">
        <f>dsd("Avfuel LTD Euro Monthly Debits &amp; Credits",10)</f>
        <v>#NAME?</v>
      </c>
    </row>
    <row r="16" ht="12.75" s="66" customFormat="true">
      <c r="A16" s="41" t="n">
        <f>IF(A15&lt;&gt;"",IF(MONTH(A15)=MONTH(A15+1),A15+1,""),"")</f>
        <v>42288.0</v>
      </c>
      <c r="B16" s="71"/>
      <c r="C16" s="43" t="e">
        <f>dsd("Avfuel LTD Euro Monthly Opening Ledger",11)</f>
        <v>#NAME?</v>
      </c>
      <c r="D16" s="43" t="e">
        <f>dsd("Avfuel LTD Euro Credits",11)</f>
        <v>#NAME?</v>
      </c>
      <c r="E16" s="43" t="e">
        <f>dsd("Avfuel LTD Euro Incoming ACH",11)</f>
        <v>#NAME?</v>
      </c>
      <c r="F16" s="43" t="e">
        <f>dsd("Avfuel LTD Euro Incoming Wire",11)</f>
        <v>#NAME?</v>
      </c>
      <c r="G16" s="43" t="e">
        <f>dsd("Avfuel LTD Euro Commercial Deposit",11)</f>
        <v>#NAME?</v>
      </c>
      <c r="H16" s="43" t="e">
        <f>dsd("Avfuel LTD Euro Debits",11)</f>
        <v>#NAME?</v>
      </c>
      <c r="I16" s="43" t="e">
        <f>dsd("Avfuel LTD Euro Outgoing ACH",11)</f>
        <v>#NAME?</v>
      </c>
      <c r="J16" s="43" t="e">
        <f>dsd("Avfuel LTD Euro Monthly Outgoing wires",11)</f>
        <v>#NAME?</v>
      </c>
      <c r="K16" s="43" t="e">
        <f>dsd("Avfuel LTD Euro Check Paid",11)</f>
        <v>#NAME?</v>
      </c>
      <c r="L16" s="43" t="e">
        <f>dsd("Avfuel LTD Euro Monthly Other",11)</f>
        <v>#NAME?</v>
      </c>
      <c r="M16" s="72" t="e">
        <f>SUM(C16:I16,J16:L16)</f>
        <v>#NULL!</v>
      </c>
      <c r="O16" s="43" t="e">
        <f>dsd("Avfuel LTD Euro Monthly Debits &amp; Credits",11)</f>
        <v>#NAME?</v>
      </c>
    </row>
    <row r="17" ht="12.75" s="66" customFormat="true">
      <c r="A17" s="41" t="n">
        <f>IF(A16&lt;&gt;"",IF(MONTH(A16)=MONTH(A16+1),A16+1,""),"")</f>
        <v>42289.0</v>
      </c>
      <c r="B17" s="71"/>
      <c r="C17" s="43" t="e">
        <f>dsd("Avfuel LTD Euro Monthly Opening Ledger",12)</f>
        <v>#NAME?</v>
      </c>
      <c r="D17" s="43" t="e">
        <f>dsd("Avfuel LTD Euro Credits",12)</f>
        <v>#NAME?</v>
      </c>
      <c r="E17" s="43" t="e">
        <f>dsd("Avfuel LTD Euro Incoming ACH",12)</f>
        <v>#NAME?</v>
      </c>
      <c r="F17" s="43" t="e">
        <f>dsd("Avfuel LTD Euro Incoming Wire",12)</f>
        <v>#NAME?</v>
      </c>
      <c r="G17" s="43" t="e">
        <f>dsd("Avfuel LTD Euro Commercial Deposit",12)</f>
        <v>#NAME?</v>
      </c>
      <c r="H17" s="43" t="e">
        <f>dsd("Avfuel LTD Euro Debits",12)</f>
        <v>#NAME?</v>
      </c>
      <c r="I17" s="43" t="e">
        <f>dsd("Avfuel LTD Euro Outgoing ACH",12)</f>
        <v>#NAME?</v>
      </c>
      <c r="J17" s="43" t="e">
        <f>dsd("Avfuel LTD Euro Monthly Outgoing wires",12)</f>
        <v>#NAME?</v>
      </c>
      <c r="K17" s="43" t="e">
        <f>dsd("Avfuel LTD Euro Check Paid",12)</f>
        <v>#NAME?</v>
      </c>
      <c r="L17" s="43" t="e">
        <f>dsd("Avfuel LTD Euro Monthly Other",12)</f>
        <v>#NAME?</v>
      </c>
      <c r="M17" s="72" t="e">
        <f>SUM(C17:I17,J17:L17)</f>
        <v>#NULL!</v>
      </c>
      <c r="O17" s="43" t="e">
        <f>dsd("Avfuel LTD Euro Monthly Debits &amp; Credits",12)</f>
        <v>#NAME?</v>
      </c>
    </row>
    <row r="18" ht="12.75" s="66" customFormat="true">
      <c r="A18" s="41" t="n">
        <f>IF(A17&lt;&gt;"",IF(MONTH(A17)=MONTH(A17+1),A17+1,""),"")</f>
        <v>42290.0</v>
      </c>
      <c r="B18" s="71"/>
      <c r="C18" s="43" t="e">
        <f>dsd("Avfuel LTD Euro Monthly Opening Ledger",13)</f>
        <v>#NAME?</v>
      </c>
      <c r="D18" s="43" t="e">
        <f>dsd("Avfuel LTD Euro Credits",13)</f>
        <v>#NAME?</v>
      </c>
      <c r="E18" s="43" t="e">
        <f>dsd("Avfuel LTD Euro Incoming ACH",13)</f>
        <v>#NAME?</v>
      </c>
      <c r="F18" s="43" t="e">
        <f>dsd("Avfuel LTD Euro Incoming Wire",13)</f>
        <v>#NAME?</v>
      </c>
      <c r="G18" s="43" t="e">
        <f>dsd("Avfuel LTD Euro Commercial Deposit",13)</f>
        <v>#NAME?</v>
      </c>
      <c r="H18" s="43" t="e">
        <f>dsd("Avfuel LTD Euro Debits",13)</f>
        <v>#NAME?</v>
      </c>
      <c r="I18" s="43" t="e">
        <f>dsd("Avfuel LTD Euro Outgoing ACH",13)</f>
        <v>#NAME?</v>
      </c>
      <c r="J18" s="43" t="e">
        <f>dsd("Avfuel LTD Euro Monthly Outgoing wires",13)</f>
        <v>#NAME?</v>
      </c>
      <c r="K18" s="43" t="e">
        <f>dsd("Avfuel LTD Euro Check Paid",13)</f>
        <v>#NAME?</v>
      </c>
      <c r="L18" s="43" t="e">
        <f>dsd("Avfuel LTD Euro Monthly Other",13)</f>
        <v>#NAME?</v>
      </c>
      <c r="M18" s="72" t="e">
        <f>SUM(C18:I18,J18:L18)</f>
        <v>#NULL!</v>
      </c>
      <c r="O18" s="43" t="e">
        <f>dsd("Avfuel LTD Euro Monthly Debits &amp; Credits",13)</f>
        <v>#NAME?</v>
      </c>
    </row>
    <row r="19" ht="12.75" s="66" customFormat="true">
      <c r="A19" s="41" t="n">
        <f>IF(A18&lt;&gt;"",IF(MONTH(A18)=MONTH(A18+1),A18+1,""),"")</f>
        <v>42291.0</v>
      </c>
      <c r="B19" s="71"/>
      <c r="C19" s="43" t="e">
        <f>dsd("Avfuel LTD Euro Monthly Opening Ledger",14)</f>
        <v>#NAME?</v>
      </c>
      <c r="D19" s="43" t="e">
        <f>dsd("Avfuel LTD Euro Credits",14)</f>
        <v>#NAME?</v>
      </c>
      <c r="E19" s="43" t="e">
        <f>dsd("Avfuel LTD Euro Incoming ACH",14)</f>
        <v>#NAME?</v>
      </c>
      <c r="F19" s="43" t="e">
        <f>dsd("Avfuel LTD Euro Incoming Wire",14)</f>
        <v>#NAME?</v>
      </c>
      <c r="G19" s="43" t="e">
        <f>dsd("Avfuel LTD Euro Commercial Deposit",14)</f>
        <v>#NAME?</v>
      </c>
      <c r="H19" s="43" t="e">
        <f>dsd("Avfuel LTD Euro Debits",14)</f>
        <v>#NAME?</v>
      </c>
      <c r="I19" s="43" t="e">
        <f>dsd("Avfuel LTD Euro Outgoing ACH",14)</f>
        <v>#NAME?</v>
      </c>
      <c r="J19" s="43" t="e">
        <f>dsd("Avfuel LTD Euro Monthly Outgoing wires",14)</f>
        <v>#NAME?</v>
      </c>
      <c r="K19" s="43" t="e">
        <f>dsd("Avfuel LTD Euro Check Paid",14)</f>
        <v>#NAME?</v>
      </c>
      <c r="L19" s="43" t="e">
        <f>dsd("Avfuel LTD Euro Monthly Other",14)</f>
        <v>#NAME?</v>
      </c>
      <c r="M19" s="72" t="e">
        <f>SUM(C19:I19,J19:L19)</f>
        <v>#NULL!</v>
      </c>
      <c r="O19" s="43" t="e">
        <f>dsd("Avfuel LTD Euro Monthly Debits &amp; Credits",14)</f>
        <v>#NAME?</v>
      </c>
    </row>
    <row r="20" ht="12.75" s="66" customFormat="true">
      <c r="A20" s="41" t="n">
        <f>IF(A19&lt;&gt;"",IF(MONTH(A19)=MONTH(A19+1),A19+1,""),"")</f>
        <v>42292.0</v>
      </c>
      <c r="B20" s="71"/>
      <c r="C20" s="43" t="e">
        <f>dsd("Avfuel LTD Euro Monthly Opening Ledger",15)</f>
        <v>#NAME?</v>
      </c>
      <c r="D20" s="43" t="e">
        <f>dsd("Avfuel LTD Euro Credits",15)</f>
        <v>#NAME?</v>
      </c>
      <c r="E20" s="43" t="e">
        <f>dsd("Avfuel LTD Euro Incoming ACH",15)</f>
        <v>#NAME?</v>
      </c>
      <c r="F20" s="43" t="e">
        <f>dsd("Avfuel LTD Euro Incoming Wire",15)</f>
        <v>#NAME?</v>
      </c>
      <c r="G20" s="43" t="e">
        <f>dsd("Avfuel LTD Euro Commercial Deposit",15)</f>
        <v>#NAME?</v>
      </c>
      <c r="H20" s="43" t="e">
        <f>dsd("Avfuel LTD Euro Debits",15)</f>
        <v>#NAME?</v>
      </c>
      <c r="I20" s="43" t="e">
        <f>dsd("Avfuel LTD Euro Outgoing ACH",15)</f>
        <v>#NAME?</v>
      </c>
      <c r="J20" s="43" t="e">
        <f>dsd("Avfuel LTD Euro Monthly Outgoing wires",15)</f>
        <v>#NAME?</v>
      </c>
      <c r="K20" s="43" t="e">
        <f>dsd("Avfuel LTD Euro Check Paid",15)</f>
        <v>#NAME?</v>
      </c>
      <c r="L20" s="43" t="e">
        <f>dsd("Avfuel LTD Euro Monthly Other",15)</f>
        <v>#NAME?</v>
      </c>
      <c r="M20" s="72" t="e">
        <f>SUM(C20:I20,J20:L20)</f>
        <v>#NULL!</v>
      </c>
      <c r="O20" s="43" t="e">
        <f>dsd("Avfuel LTD Euro Monthly Debits &amp; Credits",15)</f>
        <v>#NAME?</v>
      </c>
    </row>
    <row r="21" ht="12.75" s="66" customFormat="true">
      <c r="A21" s="41" t="n">
        <f>IF(A20&lt;&gt;"",IF(MONTH(A20)=MONTH(A20+1),A20+1,""),"")</f>
        <v>42293.0</v>
      </c>
      <c r="B21" s="71"/>
      <c r="C21" s="43" t="e">
        <f>dsd("Avfuel LTD Euro Monthly Opening Ledger",16)</f>
        <v>#NAME?</v>
      </c>
      <c r="D21" s="43" t="e">
        <f>dsd("Avfuel LTD Euro Credits",16)</f>
        <v>#NAME?</v>
      </c>
      <c r="E21" s="43" t="e">
        <f>dsd("Avfuel LTD Euro Incoming ACH",16)</f>
        <v>#NAME?</v>
      </c>
      <c r="F21" s="43" t="e">
        <f>dsd("Avfuel LTD Euro Incoming Wire",16)</f>
        <v>#NAME?</v>
      </c>
      <c r="G21" s="43" t="e">
        <f>dsd("Avfuel LTD Euro Commercial Deposit",16)</f>
        <v>#NAME?</v>
      </c>
      <c r="H21" s="43" t="e">
        <f>dsd("Avfuel LTD Euro Debits",16)</f>
        <v>#NAME?</v>
      </c>
      <c r="I21" s="43" t="e">
        <f>dsd("Avfuel LTD Euro Outgoing ACH",16)</f>
        <v>#NAME?</v>
      </c>
      <c r="J21" s="43" t="e">
        <f>dsd("Avfuel LTD Euro Monthly Outgoing wires",16)</f>
        <v>#NAME?</v>
      </c>
      <c r="K21" s="43" t="e">
        <f>dsd("Avfuel LTD Euro Check Paid",16)</f>
        <v>#NAME?</v>
      </c>
      <c r="L21" s="43" t="e">
        <f>dsd("Avfuel LTD Euro Monthly Other",16)</f>
        <v>#NAME?</v>
      </c>
      <c r="M21" s="72" t="e">
        <f>SUM(C21:I21,J21:L21)</f>
        <v>#NULL!</v>
      </c>
      <c r="O21" s="43" t="e">
        <f>dsd("Avfuel LTD Euro Monthly Debits &amp; Credits",16)</f>
        <v>#NAME?</v>
      </c>
    </row>
    <row r="22" ht="12.75" s="66" customFormat="true">
      <c r="A22" s="41" t="n">
        <f>IF(A21&lt;&gt;"",IF(MONTH(A21)=MONTH(A21+1),A21+1,""),"")</f>
        <v>42294.0</v>
      </c>
      <c r="B22" s="71"/>
      <c r="C22" s="43" t="e">
        <f>dsd("Avfuel LTD Euro Monthly Opening Ledger",17)</f>
        <v>#NAME?</v>
      </c>
      <c r="D22" s="43" t="e">
        <f>dsd("Avfuel LTD Euro Credits",17)</f>
        <v>#NAME?</v>
      </c>
      <c r="E22" s="43" t="e">
        <f>dsd("Avfuel LTD Euro Incoming ACH",17)</f>
        <v>#NAME?</v>
      </c>
      <c r="F22" s="43" t="e">
        <f>dsd("Avfuel LTD Euro Incoming Wire",17)</f>
        <v>#NAME?</v>
      </c>
      <c r="G22" s="43" t="e">
        <f>dsd("Avfuel LTD Euro Commercial Deposit",17)</f>
        <v>#NAME?</v>
      </c>
      <c r="H22" s="43" t="e">
        <f>dsd("Avfuel LTD Euro Debits",17)</f>
        <v>#NAME?</v>
      </c>
      <c r="I22" s="43" t="e">
        <f>dsd("Avfuel LTD Euro Outgoing ACH",17)</f>
        <v>#NAME?</v>
      </c>
      <c r="J22" s="43" t="e">
        <f>dsd("Avfuel LTD Euro Monthly Outgoing wires",17)</f>
        <v>#NAME?</v>
      </c>
      <c r="K22" s="43" t="e">
        <f>dsd("Avfuel LTD Euro Check Paid",17)</f>
        <v>#NAME?</v>
      </c>
      <c r="L22" s="43" t="e">
        <f>dsd("Avfuel LTD Euro Monthly Other",17)</f>
        <v>#NAME?</v>
      </c>
      <c r="M22" s="72" t="e">
        <f>SUM(C22:I22,J22:L22)</f>
        <v>#NULL!</v>
      </c>
      <c r="O22" s="43" t="e">
        <f>dsd("Avfuel LTD Euro Monthly Debits &amp; Credits",17)</f>
        <v>#NAME?</v>
      </c>
    </row>
    <row r="23" ht="12.75" s="66" customFormat="true">
      <c r="A23" s="41" t="n">
        <f>IF(A22&lt;&gt;"",IF(MONTH(A22)=MONTH(A22+1),A22+1,""),"")</f>
        <v>42295.0</v>
      </c>
      <c r="B23" s="71"/>
      <c r="C23" s="43" t="e">
        <f>dsd("Avfuel LTD Euro Monthly Opening Ledger",18)</f>
        <v>#NAME?</v>
      </c>
      <c r="D23" s="43" t="e">
        <f>dsd("Avfuel LTD Euro Credits",18)</f>
        <v>#NAME?</v>
      </c>
      <c r="E23" s="43" t="e">
        <f>dsd("Avfuel LTD Euro Incoming ACH",18)</f>
        <v>#NAME?</v>
      </c>
      <c r="F23" s="43" t="e">
        <f>dsd("Avfuel LTD Euro Incoming Wire",18)</f>
        <v>#NAME?</v>
      </c>
      <c r="G23" s="43" t="e">
        <f>dsd("Avfuel LTD Euro Commercial Deposit",18)</f>
        <v>#NAME?</v>
      </c>
      <c r="H23" s="43" t="e">
        <f>dsd("Avfuel LTD Euro Debits",18)</f>
        <v>#NAME?</v>
      </c>
      <c r="I23" s="43" t="e">
        <f>dsd("Avfuel LTD Euro Outgoing ACH",18)</f>
        <v>#NAME?</v>
      </c>
      <c r="J23" s="43" t="e">
        <f>dsd("Avfuel LTD Euro Monthly Outgoing wires",18)</f>
        <v>#NAME?</v>
      </c>
      <c r="K23" s="43" t="e">
        <f>dsd("Avfuel LTD Euro Check Paid",18)</f>
        <v>#NAME?</v>
      </c>
      <c r="L23" s="43" t="e">
        <f>dsd("Avfuel LTD Euro Monthly Other",18)</f>
        <v>#NAME?</v>
      </c>
      <c r="M23" s="72" t="e">
        <f>SUM(C23:I23,J23:L23)</f>
        <v>#NULL!</v>
      </c>
      <c r="O23" s="43" t="e">
        <f>dsd("Avfuel LTD Euro Monthly Debits &amp; Credits",18)</f>
        <v>#NAME?</v>
      </c>
    </row>
    <row r="24" ht="12.75" s="66" customFormat="true">
      <c r="A24" s="41" t="n">
        <f>IF(A23&lt;&gt;"",IF(MONTH(A23)=MONTH(A23+1),A23+1,""),"")</f>
        <v>42296.0</v>
      </c>
      <c r="B24" s="71"/>
      <c r="C24" s="43" t="e">
        <f>dsd("Avfuel LTD Euro Monthly Opening Ledger",19)</f>
        <v>#NAME?</v>
      </c>
      <c r="D24" s="43" t="e">
        <f>dsd("Avfuel LTD Euro Credits",19)</f>
        <v>#NAME?</v>
      </c>
      <c r="E24" s="43" t="e">
        <f>dsd("Avfuel LTD Euro Incoming ACH",19)</f>
        <v>#NAME?</v>
      </c>
      <c r="F24" s="43" t="e">
        <f>dsd("Avfuel LTD Euro Incoming Wire",19)</f>
        <v>#NAME?</v>
      </c>
      <c r="G24" s="43" t="e">
        <f>dsd("Avfuel LTD Euro Commercial Deposit",19)</f>
        <v>#NAME?</v>
      </c>
      <c r="H24" s="43" t="e">
        <f>dsd("Avfuel LTD Euro Debits",19)</f>
        <v>#NAME?</v>
      </c>
      <c r="I24" s="43" t="e">
        <f>dsd("Avfuel LTD Euro Outgoing ACH",19)</f>
        <v>#NAME?</v>
      </c>
      <c r="J24" s="43" t="e">
        <f>dsd("Avfuel LTD Euro Monthly Outgoing wires",19)</f>
        <v>#NAME?</v>
      </c>
      <c r="K24" s="43" t="e">
        <f>dsd("Avfuel LTD Euro Check Paid",19)</f>
        <v>#NAME?</v>
      </c>
      <c r="L24" s="43" t="e">
        <f>dsd("Avfuel LTD Euro Monthly Other",19)</f>
        <v>#NAME?</v>
      </c>
      <c r="M24" s="72" t="e">
        <f>SUM(C24:I24,J24:L24)</f>
        <v>#NULL!</v>
      </c>
      <c r="O24" s="43" t="e">
        <f>dsd("Avfuel LTD Euro Monthly Debits &amp; Credits",19)</f>
        <v>#NAME?</v>
      </c>
    </row>
    <row r="25" ht="12.75" s="66" customFormat="true">
      <c r="A25" s="41" t="n">
        <f>IF(A24&lt;&gt;"",IF(MONTH(A24)=MONTH(A24+1),A24+1,""),"")</f>
        <v>42297.0</v>
      </c>
      <c r="B25" s="71"/>
      <c r="C25" s="43" t="e">
        <f>dsd("Avfuel LTD Euro Monthly Opening Ledger",20)</f>
        <v>#NAME?</v>
      </c>
      <c r="D25" s="43" t="e">
        <f>dsd("Avfuel LTD Euro Credits",20)</f>
        <v>#NAME?</v>
      </c>
      <c r="E25" s="43" t="e">
        <f>dsd("Avfuel LTD Euro Incoming ACH",20)</f>
        <v>#NAME?</v>
      </c>
      <c r="F25" s="43" t="e">
        <f>dsd("Avfuel LTD Euro Incoming Wire",20)</f>
        <v>#NAME?</v>
      </c>
      <c r="G25" s="43" t="e">
        <f>dsd("Avfuel LTD Euro Commercial Deposit",20)</f>
        <v>#NAME?</v>
      </c>
      <c r="H25" s="43" t="e">
        <f>dsd("Avfuel LTD Euro Debits",20)</f>
        <v>#NAME?</v>
      </c>
      <c r="I25" s="43" t="e">
        <f>dsd("Avfuel LTD Euro Outgoing ACH",20)</f>
        <v>#NAME?</v>
      </c>
      <c r="J25" s="43" t="e">
        <f>dsd("Avfuel LTD Euro Monthly Outgoing wires",20)</f>
        <v>#NAME?</v>
      </c>
      <c r="K25" s="43" t="e">
        <f>dsd("Avfuel LTD Euro Check Paid",20)</f>
        <v>#NAME?</v>
      </c>
      <c r="L25" s="43" t="e">
        <f>dsd("Avfuel LTD Euro Monthly Other",20)</f>
        <v>#NAME?</v>
      </c>
      <c r="M25" s="72" t="e">
        <f>SUM(C25:I25,J25:L25)</f>
        <v>#NULL!</v>
      </c>
      <c r="O25" s="43" t="e">
        <f>dsd("Avfuel LTD Euro Monthly Debits &amp; Credits",20)</f>
        <v>#NAME?</v>
      </c>
    </row>
    <row r="26" ht="12.75" s="66" customFormat="true">
      <c r="A26" s="41" t="n">
        <f>IF(A25&lt;&gt;"",IF(MONTH(A25)=MONTH(A25+1),A25+1,""),"")</f>
        <v>42298.0</v>
      </c>
      <c r="B26" s="71"/>
      <c r="C26" s="43" t="e">
        <f>dsd("Avfuel LTD Euro Monthly Opening Ledger",21)</f>
        <v>#NAME?</v>
      </c>
      <c r="D26" s="43" t="e">
        <f>dsd("Avfuel LTD Euro Credits",21)</f>
        <v>#NAME?</v>
      </c>
      <c r="E26" s="43" t="e">
        <f>dsd("Avfuel LTD Euro Incoming ACH",21)</f>
        <v>#NAME?</v>
      </c>
      <c r="F26" s="43" t="e">
        <f>dsd("Avfuel LTD Euro Incoming Wire",21)</f>
        <v>#NAME?</v>
      </c>
      <c r="G26" s="43" t="e">
        <f>dsd("Avfuel LTD Euro Commercial Deposit",21)</f>
        <v>#NAME?</v>
      </c>
      <c r="H26" s="43" t="e">
        <f>dsd("Avfuel LTD Euro Debits",21)</f>
        <v>#NAME?</v>
      </c>
      <c r="I26" s="43" t="e">
        <f>dsd("Avfuel LTD Euro Outgoing ACH",21)</f>
        <v>#NAME?</v>
      </c>
      <c r="J26" s="43" t="e">
        <f>dsd("Avfuel LTD Euro Monthly Outgoing wires",21)</f>
        <v>#NAME?</v>
      </c>
      <c r="K26" s="43" t="e">
        <f>dsd("Avfuel LTD Euro Check Paid",21)</f>
        <v>#NAME?</v>
      </c>
      <c r="L26" s="43" t="e">
        <f>dsd("Avfuel LTD Euro Monthly Other",21)</f>
        <v>#NAME?</v>
      </c>
      <c r="M26" s="72" t="e">
        <f>SUM(C26:I26,J26:L26)</f>
        <v>#NULL!</v>
      </c>
      <c r="O26" s="43" t="e">
        <f>dsd("Avfuel LTD Euro Monthly Debits &amp; Credits",21)</f>
        <v>#NAME?</v>
      </c>
    </row>
    <row r="27" ht="12.75" s="66" customFormat="true">
      <c r="A27" s="41" t="n">
        <f>IF(A26&lt;&gt;"",IF(MONTH(A26)=MONTH(A26+1),A26+1,""),"")</f>
        <v>42299.0</v>
      </c>
      <c r="B27" s="71"/>
      <c r="C27" s="43" t="e">
        <f>dsd("Avfuel LTD Euro Monthly Opening Ledger",22)</f>
        <v>#NAME?</v>
      </c>
      <c r="D27" s="43" t="e">
        <f>dsd("Avfuel LTD Euro Credits",22)</f>
        <v>#NAME?</v>
      </c>
      <c r="E27" s="43" t="e">
        <f>dsd("Avfuel LTD Euro Incoming ACH",22)</f>
        <v>#NAME?</v>
      </c>
      <c r="F27" s="43" t="e">
        <f>dsd("Avfuel LTD Euro Incoming Wire",22)</f>
        <v>#NAME?</v>
      </c>
      <c r="G27" s="43" t="e">
        <f>dsd("Avfuel LTD Euro Commercial Deposit",22)</f>
        <v>#NAME?</v>
      </c>
      <c r="H27" s="43" t="e">
        <f>dsd("Avfuel LTD Euro Debits",22)</f>
        <v>#NAME?</v>
      </c>
      <c r="I27" s="43" t="e">
        <f>dsd("Avfuel LTD Euro Outgoing ACH",22)</f>
        <v>#NAME?</v>
      </c>
      <c r="J27" s="43" t="e">
        <f>dsd("Avfuel LTD Euro Monthly Outgoing wires",22)</f>
        <v>#NAME?</v>
      </c>
      <c r="K27" s="43" t="e">
        <f>dsd("Avfuel LTD Euro Check Paid",22)</f>
        <v>#NAME?</v>
      </c>
      <c r="L27" s="43" t="e">
        <f>dsd("Avfuel LTD Euro Monthly Other",22)</f>
        <v>#NAME?</v>
      </c>
      <c r="M27" s="72" t="e">
        <f>SUM(C27:I27,J27:L27)</f>
        <v>#NULL!</v>
      </c>
      <c r="O27" s="43" t="e">
        <f>dsd("Avfuel LTD Euro Monthly Debits &amp; Credits",22)</f>
        <v>#NAME?</v>
      </c>
    </row>
    <row r="28" ht="12.75" s="66" customFormat="true">
      <c r="A28" s="41" t="n">
        <f>IF(A27&lt;&gt;"",IF(MONTH(A27)=MONTH(A27+1),A27+1,""),"")</f>
        <v>42300.0</v>
      </c>
      <c r="B28" s="71"/>
      <c r="C28" s="43" t="e">
        <f>dsd("Avfuel LTD Euro Monthly Opening Ledger",23)</f>
        <v>#NAME?</v>
      </c>
      <c r="D28" s="43" t="e">
        <f>dsd("Avfuel LTD Euro Credits",23)</f>
        <v>#NAME?</v>
      </c>
      <c r="E28" s="43" t="e">
        <f>dsd("Avfuel LTD Euro Incoming ACH",23)</f>
        <v>#NAME?</v>
      </c>
      <c r="F28" s="43" t="e">
        <f>dsd("Avfuel LTD Euro Incoming Wire",23)</f>
        <v>#NAME?</v>
      </c>
      <c r="G28" s="43" t="e">
        <f>dsd("Avfuel LTD Euro Commercial Deposit",23)</f>
        <v>#NAME?</v>
      </c>
      <c r="H28" s="43" t="e">
        <f>dsd("Avfuel LTD Euro Debits",23)</f>
        <v>#NAME?</v>
      </c>
      <c r="I28" s="43" t="e">
        <f>dsd("Avfuel LTD Euro Outgoing ACH",23)</f>
        <v>#NAME?</v>
      </c>
      <c r="J28" s="43" t="e">
        <f>dsd("Avfuel LTD Euro Monthly Outgoing wires",23)</f>
        <v>#NAME?</v>
      </c>
      <c r="K28" s="43" t="e">
        <f>dsd("Avfuel LTD Euro Check Paid",23)</f>
        <v>#NAME?</v>
      </c>
      <c r="L28" s="43" t="e">
        <f>dsd("Avfuel LTD Euro Monthly Other",23)</f>
        <v>#NAME?</v>
      </c>
      <c r="M28" s="72" t="e">
        <f>SUM(C28:I28,J28:L28)</f>
        <v>#NULL!</v>
      </c>
      <c r="O28" s="43" t="e">
        <f>dsd("Avfuel LTD Euro Monthly Debits &amp; Credits",23)</f>
        <v>#NAME?</v>
      </c>
    </row>
    <row r="29" ht="12.75" s="66" customFormat="true">
      <c r="A29" s="41" t="n">
        <f>IF(A28&lt;&gt;"",IF(MONTH(A28)=MONTH(A28+1),A28+1,""),"")</f>
        <v>42301.0</v>
      </c>
      <c r="B29" s="71"/>
      <c r="C29" s="43" t="e">
        <f>dsd("Avfuel LTD Euro Monthly Opening Ledger",24)</f>
        <v>#NAME?</v>
      </c>
      <c r="D29" s="43" t="e">
        <f>dsd("Avfuel LTD Euro Credits",24)</f>
        <v>#NAME?</v>
      </c>
      <c r="E29" s="43" t="e">
        <f>dsd("Avfuel LTD Euro Incoming ACH",24)</f>
        <v>#NAME?</v>
      </c>
      <c r="F29" s="43" t="e">
        <f>dsd("Avfuel LTD Euro Incoming Wire",24)</f>
        <v>#NAME?</v>
      </c>
      <c r="G29" s="43" t="e">
        <f>dsd("Avfuel LTD Euro Commercial Deposit",24)</f>
        <v>#NAME?</v>
      </c>
      <c r="H29" s="43" t="e">
        <f>dsd("Avfuel LTD Euro Debits",24)</f>
        <v>#NAME?</v>
      </c>
      <c r="I29" s="43" t="e">
        <f>dsd("Avfuel LTD Euro Outgoing ACH",24)</f>
        <v>#NAME?</v>
      </c>
      <c r="J29" s="43" t="e">
        <f>dsd("Avfuel LTD Euro Monthly Outgoing wires",24)</f>
        <v>#NAME?</v>
      </c>
      <c r="K29" s="43" t="e">
        <f>dsd("Avfuel LTD Euro Check Paid",24)</f>
        <v>#NAME?</v>
      </c>
      <c r="L29" s="43" t="e">
        <f>dsd("Avfuel LTD Euro Monthly Other",24)</f>
        <v>#NAME?</v>
      </c>
      <c r="M29" s="72" t="e">
        <f>SUM(C29:I29,J29:L29)</f>
        <v>#NULL!</v>
      </c>
      <c r="O29" s="43" t="e">
        <f>dsd("Avfuel LTD Euro Monthly Debits &amp; Credits",24)</f>
        <v>#NAME?</v>
      </c>
    </row>
    <row r="30" ht="12.75" s="66" customFormat="true">
      <c r="A30" s="41" t="n">
        <f>IF(A29&lt;&gt;"",IF(MONTH(A29)=MONTH(A29+1),A29+1,""),"")</f>
        <v>42302.0</v>
      </c>
      <c r="B30" s="71"/>
      <c r="C30" s="43" t="e">
        <f>dsd("Avfuel LTD Euro Monthly Opening Ledger",25)</f>
        <v>#NAME?</v>
      </c>
      <c r="D30" s="43" t="e">
        <f>dsd("Avfuel LTD Euro Credits",25)</f>
        <v>#NAME?</v>
      </c>
      <c r="E30" s="43" t="e">
        <f>dsd("Avfuel LTD Euro Incoming ACH",25)</f>
        <v>#NAME?</v>
      </c>
      <c r="F30" s="43" t="e">
        <f>dsd("Avfuel LTD Euro Incoming Wire",25)</f>
        <v>#NAME?</v>
      </c>
      <c r="G30" s="43" t="e">
        <f>dsd("Avfuel LTD Euro Commercial Deposit",25)</f>
        <v>#NAME?</v>
      </c>
      <c r="H30" s="43" t="e">
        <f>dsd("Avfuel LTD Euro Debits",25)</f>
        <v>#NAME?</v>
      </c>
      <c r="I30" s="43" t="e">
        <f>dsd("Avfuel LTD Euro Outgoing ACH",25)</f>
        <v>#NAME?</v>
      </c>
      <c r="J30" s="43" t="e">
        <f>dsd("Avfuel LTD Euro Monthly Outgoing wires",25)</f>
        <v>#NAME?</v>
      </c>
      <c r="K30" s="43" t="e">
        <f>dsd("Avfuel LTD Euro Check Paid",25)</f>
        <v>#NAME?</v>
      </c>
      <c r="L30" s="43" t="e">
        <f>dsd("Avfuel LTD Euro Monthly Other",25)</f>
        <v>#NAME?</v>
      </c>
      <c r="M30" s="72" t="e">
        <f>SUM(C30:I30,J30:L30)</f>
        <v>#NULL!</v>
      </c>
      <c r="O30" s="43" t="e">
        <f>dsd("Avfuel LTD Euro Monthly Debits &amp; Credits",25)</f>
        <v>#NAME?</v>
      </c>
    </row>
    <row r="31" ht="12.75" s="66" customFormat="true">
      <c r="A31" s="41" t="n">
        <f>IF(A30&lt;&gt;"",IF(MONTH(A30)=MONTH(A30+1),A30+1,""),"")</f>
        <v>42303.0</v>
      </c>
      <c r="B31" s="71"/>
      <c r="C31" s="43" t="e">
        <f>dsd("Avfuel LTD Euro Monthly Opening Ledger",26)</f>
        <v>#NAME?</v>
      </c>
      <c r="D31" s="43" t="e">
        <f>dsd("Avfuel LTD Euro Credits",26)</f>
        <v>#NAME?</v>
      </c>
      <c r="E31" s="43" t="e">
        <f>dsd("Avfuel LTD Euro Incoming ACH",26)</f>
        <v>#NAME?</v>
      </c>
      <c r="F31" s="43" t="e">
        <f>dsd("Avfuel LTD Euro Incoming Wire",26)</f>
        <v>#NAME?</v>
      </c>
      <c r="G31" s="43" t="e">
        <f>dsd("Avfuel LTD Euro Commercial Deposit",26)</f>
        <v>#NAME?</v>
      </c>
      <c r="H31" s="43" t="e">
        <f>dsd("Avfuel LTD Euro Debits",26)</f>
        <v>#NAME?</v>
      </c>
      <c r="I31" s="43" t="e">
        <f>dsd("Avfuel LTD Euro Outgoing ACH",26)</f>
        <v>#NAME?</v>
      </c>
      <c r="J31" s="43" t="e">
        <f>dsd("Avfuel LTD Euro Monthly Outgoing wires",26)</f>
        <v>#NAME?</v>
      </c>
      <c r="K31" s="43" t="e">
        <f>dsd("Avfuel LTD Euro Check Paid",26)</f>
        <v>#NAME?</v>
      </c>
      <c r="L31" s="43" t="e">
        <f>dsd("Avfuel LTD Euro Monthly Other",26)</f>
        <v>#NAME?</v>
      </c>
      <c r="M31" s="72" t="e">
        <f>SUM(C31:I31,J31:L31)</f>
        <v>#NULL!</v>
      </c>
      <c r="O31" s="43" t="e">
        <f>dsd("Avfuel LTD Euro Monthly Debits &amp; Credits",26)</f>
        <v>#NAME?</v>
      </c>
    </row>
    <row r="32" ht="12.75" s="66" customFormat="true">
      <c r="A32" s="41" t="n">
        <f>IF(A31&lt;&gt;"",IF(MONTH(A31)=MONTH(A31+1),A31+1,""),"")</f>
        <v>42304.0</v>
      </c>
      <c r="B32" s="71"/>
      <c r="C32" s="43" t="e">
        <f>dsd("Avfuel LTD Euro Monthly Opening Ledger",27)</f>
        <v>#NAME?</v>
      </c>
      <c r="D32" s="43" t="e">
        <f>dsd("Avfuel LTD Euro Credits",27)</f>
        <v>#NAME?</v>
      </c>
      <c r="E32" s="43" t="e">
        <f>dsd("Avfuel LTD Euro Incoming ACH",27)</f>
        <v>#NAME?</v>
      </c>
      <c r="F32" s="43" t="e">
        <f>dsd("Avfuel LTD Euro Incoming Wire",27)</f>
        <v>#NAME?</v>
      </c>
      <c r="G32" s="43" t="e">
        <f>dsd("Avfuel LTD Euro Commercial Deposit",27)</f>
        <v>#NAME?</v>
      </c>
      <c r="H32" s="43" t="e">
        <f>dsd("Avfuel LTD Euro Debits",27)</f>
        <v>#NAME?</v>
      </c>
      <c r="I32" s="43" t="e">
        <f>dsd("Avfuel LTD Euro Outgoing ACH",27)</f>
        <v>#NAME?</v>
      </c>
      <c r="J32" s="43" t="e">
        <f>dsd("Avfuel LTD Euro Monthly Outgoing wires",27)</f>
        <v>#NAME?</v>
      </c>
      <c r="K32" s="43" t="e">
        <f>dsd("Avfuel LTD Euro Check Paid",27)</f>
        <v>#NAME?</v>
      </c>
      <c r="L32" s="43" t="e">
        <f>dsd("Avfuel LTD Euro Monthly Other",27)</f>
        <v>#NAME?</v>
      </c>
      <c r="M32" s="72" t="e">
        <f>SUM(C32:I32,J32:L32)</f>
        <v>#NULL!</v>
      </c>
      <c r="O32" s="43" t="e">
        <f>dsd("Avfuel LTD Euro Monthly Debits &amp; Credits",27)</f>
        <v>#NAME?</v>
      </c>
    </row>
    <row r="33" ht="12.75" s="66" customFormat="true">
      <c r="A33" s="41" t="n">
        <f>IF(A32&lt;&gt;"",IF(MONTH(A32)=MONTH(A32+1),A32+1,""),"")</f>
        <v>42305.0</v>
      </c>
      <c r="B33" s="71"/>
      <c r="C33" s="43" t="e">
        <f>dsd("Avfuel LTD Euro Monthly Opening Ledger",28)</f>
        <v>#NAME?</v>
      </c>
      <c r="D33" s="43" t="e">
        <f>dsd("Avfuel LTD Euro Credits",28)</f>
        <v>#NAME?</v>
      </c>
      <c r="E33" s="43" t="e">
        <f>dsd("Avfuel LTD Euro Incoming ACH",28)</f>
        <v>#NAME?</v>
      </c>
      <c r="F33" s="43" t="e">
        <f>dsd("Avfuel LTD Euro Incoming Wire",28)</f>
        <v>#NAME?</v>
      </c>
      <c r="G33" s="43" t="e">
        <f>dsd("Avfuel LTD Euro Commercial Deposit",28)</f>
        <v>#NAME?</v>
      </c>
      <c r="H33" s="43" t="e">
        <f>dsd("Avfuel LTD Euro Debits",28)</f>
        <v>#NAME?</v>
      </c>
      <c r="I33" s="43" t="e">
        <f>dsd("Avfuel LTD Euro Outgoing ACH",28)</f>
        <v>#NAME?</v>
      </c>
      <c r="J33" s="43" t="e">
        <f>dsd("Avfuel LTD Euro Monthly Outgoing wires",28)</f>
        <v>#NAME?</v>
      </c>
      <c r="K33" s="43" t="e">
        <f>dsd("Avfuel LTD Euro Check Paid",28)</f>
        <v>#NAME?</v>
      </c>
      <c r="L33" s="43" t="e">
        <f>dsd("Avfuel LTD Euro Monthly Other",28)</f>
        <v>#NAME?</v>
      </c>
      <c r="M33" s="72" t="e">
        <f>SUM(C33:I33,J33:L33)</f>
        <v>#NULL!</v>
      </c>
      <c r="O33" s="43" t="e">
        <f>dsd("Avfuel LTD Euro Monthly Debits &amp; Credits",28)</f>
        <v>#NAME?</v>
      </c>
    </row>
    <row r="34" ht="12.75" s="66" customFormat="true">
      <c r="A34" s="41" t="n">
        <f>IF(A33&lt;&gt;"",IF(MONTH(A33)=MONTH(A33+1),A33+1,""),"")</f>
        <v>42306.0</v>
      </c>
      <c r="B34" s="71"/>
      <c r="C34" s="43" t="e">
        <f>dsd("Avfuel LTD Euro Monthly Opening Ledger",29)</f>
        <v>#NAME?</v>
      </c>
      <c r="D34" s="43" t="e">
        <f>dsd("Avfuel LTD Euro Credits",29)</f>
        <v>#NAME?</v>
      </c>
      <c r="E34" s="43" t="e">
        <f>dsd("Avfuel LTD Euro Incoming ACH",29)</f>
        <v>#NAME?</v>
      </c>
      <c r="F34" s="43" t="e">
        <f>dsd("Avfuel LTD Euro Incoming Wire",29)</f>
        <v>#NAME?</v>
      </c>
      <c r="G34" s="43" t="e">
        <f>dsd("Avfuel LTD Euro Commercial Deposit",29)</f>
        <v>#NAME?</v>
      </c>
      <c r="H34" s="43" t="e">
        <f>dsd("Avfuel LTD Euro Debits",29)</f>
        <v>#NAME?</v>
      </c>
      <c r="I34" s="43" t="e">
        <f>dsd("Avfuel LTD Euro Outgoing ACH",29)</f>
        <v>#NAME?</v>
      </c>
      <c r="J34" s="43" t="e">
        <f>dsd("Avfuel LTD Euro Monthly Outgoing wires",29)</f>
        <v>#NAME?</v>
      </c>
      <c r="K34" s="43" t="e">
        <f>dsd("Avfuel LTD Euro Check Paid",29)</f>
        <v>#NAME?</v>
      </c>
      <c r="L34" s="43" t="e">
        <f>dsd("Avfuel LTD Euro Monthly Other",29)</f>
        <v>#NAME?</v>
      </c>
      <c r="M34" s="72" t="e">
        <f>SUM(C34:I34,J34:L34)</f>
        <v>#NULL!</v>
      </c>
      <c r="O34" s="43" t="e">
        <f>dsd("Avfuel LTD Euro Monthly Debits &amp; Credits",29)</f>
        <v>#NAME?</v>
      </c>
    </row>
    <row r="35" ht="12.75" s="66" customFormat="true">
      <c r="A35" s="73" t="n">
        <f>IF(A34&lt;&gt;"",IF(MONTH(A34)=MONTH(A34+1),A34+1,""),"")</f>
        <v>42307.0</v>
      </c>
      <c r="B35" s="71"/>
      <c r="C35" s="43" t="e">
        <f>dsd("Avfuel LTD Euro Monthly Opening Ledger",30)</f>
        <v>#NAME?</v>
      </c>
      <c r="D35" s="43" t="e">
        <f>dsd("Avfuel LTD Euro Credits",30)</f>
        <v>#NAME?</v>
      </c>
      <c r="E35" s="43" t="e">
        <f>dsd("Avfuel LTD Euro Incoming ACH",30)</f>
        <v>#NAME?</v>
      </c>
      <c r="F35" s="43" t="e">
        <f>dsd("Avfuel LTD Euro Incoming Wire",30)</f>
        <v>#NAME?</v>
      </c>
      <c r="G35" s="43" t="e">
        <f>dsd("Avfuel LTD Euro Commercial Deposit",30)</f>
        <v>#NAME?</v>
      </c>
      <c r="H35" s="43" t="e">
        <f>dsd("Avfuel LTD Euro Debits",30)</f>
        <v>#NAME?</v>
      </c>
      <c r="I35" s="43" t="e">
        <f>dsd("Avfuel LTD Euro Outgoing ACH",30)</f>
        <v>#NAME?</v>
      </c>
      <c r="J35" s="43" t="e">
        <f>dsd("Avfuel LTD Euro Monthly Outgoing wires",30)</f>
        <v>#NAME?</v>
      </c>
      <c r="K35" s="43" t="e">
        <f>dsd("Avfuel LTD Euro Check Paid",30)</f>
        <v>#NAME?</v>
      </c>
      <c r="L35" s="43" t="e">
        <f>dsd("Avfuel LTD Euro Monthly Other",30)</f>
        <v>#NAME?</v>
      </c>
      <c r="M35" s="72" t="e">
        <f>SUM(C35:I35,J35:L35)</f>
        <v>#NULL!</v>
      </c>
      <c r="O35" s="43" t="e">
        <f>dsd("Avfuel LTD Euro Monthly Debits &amp; Credits",30)</f>
        <v>#NAME?</v>
      </c>
    </row>
    <row r="36" ht="12.75" s="66" customFormat="true">
      <c r="A36" s="73" t="n">
        <f>IF(A35&lt;&gt;"",IF(MONTH(A35)=MONTH(A35+1),A35+1,""),"")</f>
        <v>42308.0</v>
      </c>
      <c r="B36" s="71"/>
      <c r="C36" s="43" t="e">
        <f>dsd("Avfuel LTD Euro Monthly Opening Ledger",31)</f>
        <v>#NAME?</v>
      </c>
      <c r="D36" s="43" t="e">
        <f>dsd("Avfuel LTD Euro Credits",31)</f>
        <v>#NAME?</v>
      </c>
      <c r="E36" s="43" t="e">
        <f>dsd("Avfuel LTD Euro Incoming ACH",31)</f>
        <v>#NAME?</v>
      </c>
      <c r="F36" s="43" t="e">
        <f>dsd("Avfuel LTD Euro Incoming Wire",31)</f>
        <v>#NAME?</v>
      </c>
      <c r="G36" s="43" t="e">
        <f>dsd("Avfuel LTD Euro Commercial Deposit",31)</f>
        <v>#NAME?</v>
      </c>
      <c r="H36" s="43" t="e">
        <f>dsd("Avfuel LTD Euro Debits",31)</f>
        <v>#NAME?</v>
      </c>
      <c r="I36" s="43" t="e">
        <f>dsd("Avfuel LTD Euro Outgoing ACH",31)</f>
        <v>#NAME?</v>
      </c>
      <c r="J36" s="43" t="e">
        <f>dsd("Avfuel LTD Euro Monthly Outgoing wires",31)</f>
        <v>#NAME?</v>
      </c>
      <c r="K36" s="43" t="e">
        <f>dsd("Avfuel LTD Euro Check Paid",31)</f>
        <v>#NAME?</v>
      </c>
      <c r="L36" s="43" t="e">
        <f>dsd("Avfuel LTD Euro Monthly Other",31)</f>
        <v>#NAME?</v>
      </c>
      <c r="M36" s="72" t="e">
        <f>SUM(C36:I36,J36:L36)</f>
        <v>#NULL!</v>
      </c>
      <c r="O36" s="43" t="e">
        <f>dsd("Avfuel LTD Euro Monthly Debits &amp; Credits",31)</f>
        <v>#NAME?</v>
      </c>
    </row>
    <row r="37" ht="12.75" s="66" customFormat="true">
      <c r="A37" s="71"/>
      <c r="B37" s="7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72"/>
      <c r="O37" s="36"/>
    </row>
    <row r="38" ht="12.75" s="66" customFormat="true">
      <c r="A38" s="74" t="s">
        <v>54</v>
      </c>
      <c r="B38" s="75"/>
      <c r="C38" s="54" t="e">
        <f>ds("Avfuel LTD Euro Monthly Opening Ledger")</f>
        <v>#NAME?</v>
      </c>
      <c r="D38" s="54" t="e">
        <f>ds("Avfuel LTD Euro Credits")</f>
        <v>#NAME?</v>
      </c>
      <c r="E38" s="54" t="e">
        <f>ds("Avfuel LTD Euro Incoming ACH")</f>
        <v>#NAME?</v>
      </c>
      <c r="F38" s="54" t="e">
        <f>ds("Avfuel LTD Euro Incoming Wire")</f>
        <v>#NAME?</v>
      </c>
      <c r="G38" s="54" t="e">
        <f>ds("Avfuel LTD Euro Commercial Deposit")</f>
        <v>#NAME?</v>
      </c>
      <c r="H38" s="54" t="e">
        <f>ds("Avfuel LTD Euro Debits")</f>
        <v>#NAME?</v>
      </c>
      <c r="I38" s="54" t="e">
        <f>ds("Avfuel LTD Euro Outgoing ACH")</f>
        <v>#NAME?</v>
      </c>
      <c r="J38" s="54" t="e">
        <f>ds("Avfuel LTD Euro Monthly Outgoing wires")</f>
        <v>#NAME?</v>
      </c>
      <c r="K38" s="54" t="e">
        <f>ds("Avfuel LTD Euro Check Paid")</f>
        <v>#NAME?</v>
      </c>
      <c r="L38" s="54" t="e">
        <f>ds("Avfuel LTD Euro Monthly Other")</f>
        <v>#NAME?</v>
      </c>
      <c r="M38" s="72" t="e">
        <f>SUM(C38:I38,J38:L38)</f>
        <v>#NAME?</v>
      </c>
      <c r="O38" s="54" t="e">
        <f>ds("Avfuel LTD Euro Monthly Debits &amp; Credits")</f>
        <v>#NAME?</v>
      </c>
    </row>
    <row r="39" ht="12.75" s="66" customFormat="true">
      <c r="A39" s="76"/>
      <c r="B39" s="76"/>
      <c r="C39" s="59"/>
      <c r="D39" s="59"/>
      <c r="E39" s="59"/>
      <c r="F39" s="59"/>
      <c r="G39" s="59"/>
      <c r="H39" s="59"/>
      <c r="I39" s="59"/>
      <c r="J39" s="59"/>
      <c r="K39" s="77"/>
      <c r="L39" s="77"/>
      <c r="M39" s="77"/>
    </row>
  </sheetData>
  <mergeCells>
    <mergeCell ref="A1:M1"/>
    <mergeCell ref="A2:M2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2015-10-03T03:52:56Z</dcterms:created>
  <dc:creator>Apache POI</dc:creator>
</coreProperties>
</file>