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6885" activeTab="4"/>
  </bookViews>
  <sheets>
    <sheet name="first-error" sheetId="12" r:id="rId1"/>
    <sheet name="temp" sheetId="14" r:id="rId2"/>
    <sheet name="formula-math" sheetId="2" r:id="rId3"/>
    <sheet name="formula-logical" sheetId="4" r:id="rId4"/>
    <sheet name="formula-text" sheetId="5" r:id="rId5"/>
    <sheet name="formula-info" sheetId="6" r:id="rId6"/>
    <sheet name="formula-datetime" sheetId="7" r:id="rId7"/>
    <sheet name="formula-financial" sheetId="8" r:id="rId8"/>
    <sheet name="formula-statistical" sheetId="9" r:id="rId9"/>
    <sheet name="formula-engineering" sheetId="10" r:id="rId10"/>
    <sheet name="formula-notsupported" sheetId="11" r:id="rId11"/>
    <sheet name="formula-custom" sheetId="13" r:id="rId12"/>
  </sheets>
  <definedNames>
    <definedName name="_xlnm._FilterDatabase" localSheetId="6" hidden="1">'formula-datetime'!$A$10:$C$61</definedName>
    <definedName name="_xlnm._FilterDatabase" localSheetId="9" hidden="1">'formula-engineering'!$A$10:$C$31</definedName>
    <definedName name="_xlnm._FilterDatabase" localSheetId="7" hidden="1">'formula-financial'!$A$13:$C$42</definedName>
    <definedName name="_xlnm._FilterDatabase" localSheetId="5" hidden="1">'formula-info'!$A$8:$C$49</definedName>
    <definedName name="_xlnm._FilterDatabase" localSheetId="3" hidden="1">'formula-logical'!$A$8:$C$19</definedName>
    <definedName name="_xlnm._FilterDatabase" localSheetId="2" hidden="1">'formula-math'!$A$9:$C$21</definedName>
    <definedName name="_xlnm._FilterDatabase" localSheetId="8" hidden="1">'formula-statistical'!$A$11:$C$45</definedName>
    <definedName name="_xlnm._FilterDatabase" localSheetId="4" hidden="1">'formula-text'!$A$4:$C$34</definedName>
  </definedNames>
  <calcPr calcId="125725"/>
</workbook>
</file>

<file path=xl/calcChain.xml><?xml version="1.0" encoding="utf-8"?>
<calcChain xmlns="http://schemas.openxmlformats.org/spreadsheetml/2006/main">
  <c r="D28" i="7"/>
  <c r="B26"/>
  <c r="D26" s="1"/>
  <c r="B32"/>
  <c r="B31"/>
  <c r="B29"/>
  <c r="D29" s="1"/>
  <c r="B28"/>
  <c r="D20"/>
  <c r="D21"/>
  <c r="D22"/>
  <c r="D23"/>
  <c r="D24"/>
  <c r="D25"/>
  <c r="D47"/>
  <c r="D48"/>
  <c r="D49"/>
  <c r="D50"/>
  <c r="D51"/>
  <c r="D52"/>
  <c r="D53"/>
  <c r="D54"/>
  <c r="D55"/>
  <c r="D56"/>
  <c r="D57"/>
  <c r="D58"/>
  <c r="D72" i="5"/>
  <c r="B72"/>
  <c r="B99" i="8"/>
  <c r="D99" s="1"/>
  <c r="D100"/>
  <c r="B100"/>
  <c r="B7" i="11"/>
  <c r="B2"/>
  <c r="B25" i="7"/>
  <c r="B21"/>
  <c r="B55"/>
  <c r="B24"/>
  <c r="B20"/>
  <c r="B58"/>
  <c r="B27"/>
  <c r="B23"/>
  <c r="B22"/>
  <c r="B57"/>
  <c r="B56"/>
  <c r="D46"/>
  <c r="B54"/>
  <c r="B53"/>
  <c r="B52"/>
  <c r="B51"/>
  <c r="B49"/>
  <c r="B48"/>
  <c r="B47"/>
  <c r="B46"/>
  <c r="B15"/>
  <c r="D15" s="1"/>
  <c r="B13"/>
  <c r="D13" s="1"/>
  <c r="B36"/>
  <c r="D36" s="1"/>
  <c r="B27" i="11"/>
  <c r="B24"/>
  <c r="B20"/>
  <c r="B19"/>
  <c r="B18"/>
  <c r="B17"/>
  <c r="B16"/>
  <c r="B15"/>
  <c r="B14"/>
  <c r="B12"/>
  <c r="B11"/>
  <c r="B9"/>
  <c r="B9" i="14"/>
  <c r="D9" s="1"/>
  <c r="D7"/>
  <c r="B7"/>
  <c r="D5"/>
  <c r="B5"/>
  <c r="B3"/>
  <c r="D3" s="1"/>
  <c r="D77" i="2"/>
  <c r="D9"/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97"/>
  <c r="D193"/>
  <c r="D189"/>
  <c r="D177"/>
  <c r="D175"/>
  <c r="D164"/>
  <c r="D159"/>
  <c r="D156"/>
  <c r="D154"/>
  <c r="D149"/>
  <c r="D142"/>
  <c r="D125"/>
  <c r="D121"/>
  <c r="D118"/>
  <c r="D116"/>
  <c r="D114"/>
  <c r="D112"/>
  <c r="D110"/>
  <c r="D100"/>
  <c r="D92"/>
  <c r="D89"/>
  <c r="D82"/>
  <c r="D80"/>
  <c r="D78"/>
  <c r="D76"/>
  <c r="D61"/>
  <c r="D59"/>
  <c r="D57"/>
  <c r="D55"/>
  <c r="D47"/>
  <c r="D45"/>
  <c r="D43"/>
  <c r="D41"/>
  <c r="D25"/>
  <c r="D23"/>
  <c r="D21"/>
  <c r="D8"/>
  <c r="D6"/>
  <c r="D3"/>
  <c r="D124" i="8"/>
  <c r="D122"/>
  <c r="D120"/>
  <c r="D116"/>
  <c r="D112"/>
  <c r="D110"/>
  <c r="D108"/>
  <c r="D106"/>
  <c r="D104"/>
  <c r="D102"/>
  <c r="D97"/>
  <c r="D95"/>
  <c r="D93"/>
  <c r="D91"/>
  <c r="D89"/>
  <c r="D87"/>
  <c r="D84"/>
  <c r="D81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63" i="7"/>
  <c r="D61"/>
  <c r="D44"/>
  <c r="D38"/>
  <c r="D19"/>
  <c r="D17"/>
  <c r="D10"/>
  <c r="D8"/>
  <c r="D6"/>
  <c r="D3"/>
  <c r="B31" i="6"/>
  <c r="D31" s="1"/>
  <c r="B27" i="2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2"/>
  <c r="D100"/>
  <c r="D98"/>
  <c r="D96"/>
  <c r="D90"/>
  <c r="D88"/>
  <c r="D83"/>
  <c r="D81"/>
  <c r="D79"/>
  <c r="D75"/>
  <c r="D73"/>
  <c r="D71"/>
  <c r="D63"/>
  <c r="D59"/>
  <c r="D49"/>
  <c r="D51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B3" i="11"/>
  <c r="B3" i="13"/>
  <c r="B13" i="6"/>
  <c r="B30" i="11"/>
  <c r="B6" i="13"/>
  <c r="B12" i="6" l="1"/>
  <c r="D12" s="1"/>
  <c r="D6" i="13"/>
  <c r="D3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14"/>
  <c r="B11"/>
  <c r="B8"/>
  <c r="B6"/>
  <c r="B3"/>
  <c r="B124" i="8"/>
  <c r="B122"/>
  <c r="B120"/>
  <c r="B116"/>
  <c r="B114"/>
  <c r="B112"/>
  <c r="B110"/>
  <c r="B108"/>
  <c r="B106"/>
  <c r="B104"/>
  <c r="B102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63" i="7"/>
  <c r="B19"/>
  <c r="B50"/>
  <c r="B73" i="5"/>
  <c r="B7"/>
  <c r="B6" s="1"/>
  <c r="D6" s="1"/>
  <c r="B4"/>
  <c r="D4" s="1"/>
  <c r="B61" i="7"/>
  <c r="B44"/>
  <c r="B42"/>
  <c r="B40"/>
  <c r="B38"/>
  <c r="B34"/>
  <c r="B17"/>
  <c r="B10"/>
  <c r="B8"/>
  <c r="B6"/>
  <c r="B3"/>
  <c r="B43" i="6"/>
  <c r="D43" s="1"/>
  <c r="B41"/>
  <c r="B38"/>
  <c r="D38" s="1"/>
  <c r="B35"/>
  <c r="D35" s="1"/>
  <c r="B33"/>
  <c r="D33" s="1"/>
  <c r="B29"/>
  <c r="D29" s="1"/>
  <c r="B26"/>
  <c r="D26" s="1"/>
  <c r="B23"/>
  <c r="D23" s="1"/>
  <c r="B21"/>
  <c r="D21" s="1"/>
  <c r="B18"/>
  <c r="D18" s="1"/>
  <c r="B15"/>
  <c r="D15" s="1"/>
  <c r="B10"/>
  <c r="D10" s="1"/>
  <c r="B8"/>
  <c r="D8" s="1"/>
  <c r="B6"/>
  <c r="B3"/>
  <c r="D3" s="1"/>
  <c r="B69" i="5"/>
  <c r="D69" s="1"/>
  <c r="B67"/>
  <c r="D67" s="1"/>
  <c r="B64"/>
  <c r="D64" s="1"/>
  <c r="B61"/>
  <c r="D61" s="1"/>
  <c r="B58"/>
  <c r="D58" s="1"/>
  <c r="B56"/>
  <c r="B54"/>
  <c r="D54" s="1"/>
  <c r="B52"/>
  <c r="B50"/>
  <c r="D50" s="1"/>
  <c r="B48"/>
  <c r="D48" s="1"/>
  <c r="B46"/>
  <c r="B44"/>
  <c r="D44" s="1"/>
  <c r="B41"/>
  <c r="D41" s="1"/>
  <c r="B39"/>
  <c r="B37"/>
  <c r="D37" s="1"/>
  <c r="B34"/>
  <c r="D34" s="1"/>
  <c r="B32"/>
  <c r="B30"/>
  <c r="D30" s="1"/>
  <c r="B26"/>
  <c r="D26" s="1"/>
  <c r="B28"/>
  <c r="B23"/>
  <c r="D23" s="1"/>
  <c r="B21"/>
  <c r="B19"/>
  <c r="D19" s="1"/>
  <c r="B15"/>
  <c r="D15" s="1"/>
  <c r="B13"/>
  <c r="D13" s="1"/>
  <c r="B11"/>
  <c r="D11" s="1"/>
  <c r="B9"/>
  <c r="D9" s="1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D53" s="1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  <c r="B104" l="1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4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test in the future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5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6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comments7.xml><?xml version="1.0" encoding="utf-8"?>
<comments xmlns="http://schemas.openxmlformats.org/spreadsheetml/2006/main">
  <authors>
    <author>Hawk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<sst xmlns="http://schemas.openxmlformats.org/spreadsheetml/2006/main" count="550" uniqueCount="422">
  <si>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</si>
  <si>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</si>
  <si>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</si>
  <si>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</si>
  <si>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</si>
  <si>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</si>
  <si>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</si>
  <si>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</si>
  <si>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</si>
  <si>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</si>
  <si>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</si>
  <si>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</si>
  <si>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</si>
  <si>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</si>
  <si>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</si>
  <si>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</si>
  <si>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</si>
  <si>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</si>
  <si>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</si>
  <si>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</si>
  <si>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</si>
  <si>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</si>
  <si>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</si>
  <si>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</si>
  <si>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</si>
  <si>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</si>
  <si>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</si>
  <si>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</si>
  <si>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</si>
  <si>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</si>
  <si>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</si>
  <si>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</si>
  <si>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</si>
  <si>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</si>
  <si>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</si>
  <si>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</si>
  <si>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</si>
  <si>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</si>
  <si>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</si>
  <si>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</si>
  <si>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</si>
  <si>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</si>
  <si>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</si>
  <si>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</si>
  <si>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</si>
  <si>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</si>
  <si>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</si>
  <si>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</si>
  <si>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</si>
  <si>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</si>
  <si>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</si>
  <si>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</si>
  <si>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</si>
  <si>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</si>
  <si>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</si>
  <si>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</si>
  <si>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</si>
  <si>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</si>
  <si>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</si>
  <si>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</si>
  <si>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</si>
  <si>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</si>
  <si>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</si>
  <si>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</si>
  <si>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</si>
  <si>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</si>
  <si>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</si>
  <si>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</si>
  <si>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</si>
  <si>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</si>
  <si>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</si>
  <si>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</si>
  <si>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</si>
  <si>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</si>
  <si>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</si>
  <si>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</si>
  <si>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</si>
  <si>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</si>
  <si>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</si>
  <si>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</si>
  <si>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</si>
  <si>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</si>
  <si>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</si>
  <si>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</si>
  <si>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</si>
  <si>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</si>
  <si>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</si>
  <si>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</si>
  <si>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</si>
  <si>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</si>
  <si>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</si>
  <si>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</si>
  <si>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</si>
  <si>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</si>
  <si>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</si>
  <si>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</si>
  <si>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</si>
  <si>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</si>
  <si>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</si>
  <si>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</si>
  <si>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</si>
  <si>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</si>
  <si>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</si>
  <si>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</si>
  <si>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</si>
  <si>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</si>
  <si>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</si>
  <si>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</si>
  <si>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</si>
  <si>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</si>
  <si>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</si>
  <si>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</si>
  <si>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</si>
  <si>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</si>
  <si>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</si>
  <si>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</si>
  <si>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</si>
  <si>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</si>
  <si>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</si>
  <si>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</si>
  <si>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</si>
  <si>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</si>
  <si>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</si>
  <si>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</si>
  <si>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</si>
  <si>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</si>
  <si>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</si>
  <si>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</si>
  <si>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</si>
  <si>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</si>
  <si>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</si>
  <si>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</si>
  <si>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</si>
  <si>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</si>
  <si>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</si>
  <si>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</si>
  <si>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</si>
  <si>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</si>
  <si>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</si>
  <si>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</si>
  <si>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</si>
  <si>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</si>
  <si>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</si>
  <si>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</si>
  <si>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</si>
  <si>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</si>
  <si>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</si>
  <si>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</si>
  <si>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</si>
  <si>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</si>
  <si>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</si>
  <si>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</si>
  <si>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</si>
  <si>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</si>
  <si>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</si>
  <si>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</si>
  <si>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</si>
  <si>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</si>
  <si>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</si>
  <si>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</si>
  <si>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</si>
  <si>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</si>
  <si>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</si>
  <si>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</si>
  <si>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</si>
  <si>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</si>
  <si>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</si>
  <si>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</si>
  <si>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</si>
  <si>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</si>
  <si>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</si>
  <si>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</si>
  <si>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</si>
  <si>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</si>
  <si>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</si>
  <si>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</si>
  <si>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</si>
  <si>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</si>
  <si>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</si>
  <si>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</si>
  <si>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</si>
  <si>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</si>
  <si>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</si>
  <si>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</si>
  <si>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</si>
  <si>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</si>
  <si>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</si>
  <si>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</si>
  <si>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</si>
  <si>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</si>
  <si>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</si>
  <si>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</si>
  <si>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</si>
  <si>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</si>
  <si>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</si>
  <si>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</si>
  <si>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</si>
  <si>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</si>
  <si>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</si>
  <si>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</si>
  <si>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</si>
  <si>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</si>
  <si>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</si>
  <si>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</si>
  <si>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</si>
  <si>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</si>
  <si>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</si>
  <si>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</si>
  <si>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</si>
  <si>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</si>
  <si>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</si>
  <si>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</si>
  <si>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</si>
  <si>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</si>
  <si>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</si>
  <si>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</si>
  <si>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</si>
  <si>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</si>
  <si>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</si>
  <si>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</si>
  <si>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</si>
  <si>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</si>
  <si>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</si>
  <si>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</si>
  <si>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</si>
  <si>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</si>
  <si>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</si>
  <si>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</si>
  <si>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</si>
  <si>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</si>
  <si>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</si>
  <si>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</si>
  <si>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</si>
  <si>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</si>
  <si>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</si>
  <si>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</si>
  <si>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</si>
  <si>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</si>
  <si>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</si>
  <si>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</si>
  <si>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</si>
  <si>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</si>
  <si>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</si>
  <si>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</si>
  <si>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</si>
  <si>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</si>
  <si>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</si>
  <si>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</si>
  <si>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</si>
  <si>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</si>
  <si>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</si>
  <si>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</si>
  <si>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</si>
  <si>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</si>
  <si>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</si>
  <si>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</si>
  <si>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</si>
  <si>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</si>
  <si>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</si>
  <si>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</si>
  <si>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</si>
  <si>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</si>
  <si>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</si>
  <si>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</si>
  <si>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</si>
  <si>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</si>
  <si>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</si>
  <si>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</si>
  <si>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</si>
  <si>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</si>
  <si>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</si>
  <si>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</si>
  <si>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</si>
  <si>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</si>
  <si>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</si>
  <si>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</si>
  <si>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</si>
  <si>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</si>
  <si>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</si>
  <si>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</si>
  <si>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</si>
  <si>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</si>
  <si>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</si>
  <si>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</si>
  <si>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</si>
  <si>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</si>
  <si>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</si>
  <si>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</si>
  <si>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</si>
  <si>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</si>
  <si>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</si>
  <si>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</si>
  <si>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</si>
  <si>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</si>
  <si>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</si>
  <si>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</si>
  <si>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</si>
  <si>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</si>
  <si>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</si>
  <si>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</si>
  <si>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</si>
  <si>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</si>
  <si>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</si>
  <si>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</si>
  <si>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</si>
  <si>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</si>
  <si>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</si>
  <si>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</si>
  <si>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</si>
  <si>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</si>
  <si>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</si>
  <si>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</si>
  <si>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</si>
  <si>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</si>
  <si>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</si>
  <si>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</si>
  <si>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</si>
  <si>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</si>
  <si>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</si>
  <si>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</si>
  <si>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</si>
  <si>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</si>
  <si>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</si>
  <si>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</si>
  <si>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</si>
  <si>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</si>
  <si>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</si>
  <si>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</si>
  <si>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</si>
  <si>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</si>
  <si>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</si>
  <si>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</si>
  <si>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</si>
  <si>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</si>
  <si>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</si>
  <si>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</si>
  <si>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</si>
  <si>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</si>
  <si>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</si>
  <si>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</si>
  <si>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</si>
  <si>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</si>
  <si>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</si>
  <si>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</si>
  <si>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</si>
  <si>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</si>
  <si>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</si>
  <si>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</si>
  <si>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</si>
  <si>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</si>
  <si>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</si>
  <si>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</si>
  <si>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</si>
  <si>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</si>
  <si>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</si>
  <si>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</si>
  <si>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</si>
  <si>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</si>
  <si>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</si>
  <si>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</si>
  <si>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</si>
  <si>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</si>
  <si>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</si>
  <si>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</si>
  <si>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</si>
  <si>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</si>
  <si>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</si>
  <si>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</si>
  <si>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</si>
  <si>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</si>
  <si>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</si>
  <si>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</si>
  <si>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</si>
  <si>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</si>
  <si>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</si>
  <si>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</si>
  <si>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</si>
  <si>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</si>
  <si>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</si>
  <si>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</si>
  <si>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</si>
  <si>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</si>
  <si>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</si>
  <si>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</si>
  <si>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</si>
  <si>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</si>
  <si>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</si>
  <si>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</si>
  <si>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</si>
  <si>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</si>
  <si>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</si>
  <si>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</si>
  <si>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</si>
  <si>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</si>
  <si>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</si>
  <si>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</si>
  <si>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</si>
  <si>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</si>
  <si>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</si>
  <si>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toTWD</t>
  </si>
  <si>
    <t>Custom</t>
  </si>
  <si>
    <t>หนึ่งพันสองร้อยสามสิบสี่บาทถ้วน</t>
  </si>
  <si>
    <t>USD2NTD</t>
  </si>
  <si>
    <t>unsupported</t>
  </si>
  <si>
    <t>Yes</t>
  </si>
  <si>
    <t>No</t>
  </si>
  <si>
    <t>start date is holiday</t>
  </si>
  <si>
    <t>end date is holiday</t>
  </si>
  <si>
    <t>negative workday, end date is holiday</t>
  </si>
  <si>
    <t>boundary</t>
  </si>
  <si>
    <t>specified holiday</t>
  </si>
  <si>
    <t>all holidays</t>
  </si>
  <si>
    <t>specified holidays</t>
  </si>
  <si>
    <t>Formula Count</t>
  </si>
  <si>
    <t>count</t>
  </si>
  <si>
    <t>empty date</t>
  </si>
  <si>
    <t>end date empty</t>
  </si>
  <si>
    <t>1900/1/1 is not workday in Excel</t>
  </si>
  <si>
    <t>start later than end</t>
  </si>
  <si>
    <t>start equals end</t>
  </si>
  <si>
    <t>invalid</t>
  </si>
  <si>
    <t>start date empty (different spce)</t>
  </si>
</sst>
</file>

<file path=xl/styles.xml><?xml version="1.0" encoding="utf-8"?>
<styleSheet xmlns="http://schemas.openxmlformats.org/spreadsheetml/2006/main">
  <numFmts count="7">
    <numFmt numFmtId="8" formatCode="&quot;NT$&quot;#,##0.00;[Red]\-&quot;NT$&quot;#,##0.00"/>
    <numFmt numFmtId="43" formatCode="_-* #,##0.00_-;\-* #,##0.00_-;_-* &quot;-&quot;??_-;_-@_-"/>
    <numFmt numFmtId="164" formatCode="0.0000"/>
    <numFmt numFmtId="165" formatCode="0.0"/>
    <numFmt numFmtId="166" formatCode="0.0%"/>
    <numFmt numFmtId="167" formatCode="0_ ;[Red]\-0\ "/>
    <numFmt numFmtId="168" formatCode="0.000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6" fontId="0" fillId="0" borderId="0" xfId="0" applyNumberFormat="1"/>
    <xf numFmtId="9" fontId="5" fillId="0" borderId="0" xfId="0" applyNumberFormat="1" applyFont="1"/>
    <xf numFmtId="167" fontId="0" fillId="0" borderId="0" xfId="0" applyNumberFormat="1"/>
    <xf numFmtId="168" fontId="0" fillId="0" borderId="0" xfId="0" applyNumberFormat="1"/>
    <xf numFmtId="2" fontId="5" fillId="0" borderId="0" xfId="0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2" fontId="6" fillId="0" borderId="0" xfId="0" applyNumberFormat="1" applyFont="1"/>
    <xf numFmtId="19" fontId="0" fillId="0" borderId="0" xfId="0" applyNumberFormat="1"/>
    <xf numFmtId="43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20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cols>
    <col min="1" max="1" width="16.85546875" bestFit="1" customWidth="1"/>
  </cols>
  <sheetData>
    <row r="1" spans="1:2">
      <c r="A1" s="26"/>
    </row>
    <row r="3" spans="1:2" ht="15.75">
      <c r="A3" s="1"/>
    </row>
    <row r="5" spans="1:2" ht="15.75">
      <c r="A5" s="1"/>
      <c r="B5" s="5"/>
    </row>
    <row r="7" spans="1:2" ht="15.75">
      <c r="A7" s="1"/>
      <c r="B7" s="22"/>
    </row>
    <row r="8" spans="1:2" ht="15.75">
      <c r="A8" s="1"/>
    </row>
    <row r="9" spans="1:2" ht="15.75">
      <c r="A9" s="1"/>
      <c r="B9" s="12"/>
    </row>
  </sheetData>
  <conditionalFormatting sqref="D3:D5">
    <cfRule type="cellIs" dxfId="201" priority="2" operator="equal">
      <formula>"WARN"</formula>
    </cfRule>
  </conditionalFormatting>
  <conditionalFormatting sqref="D7 D9">
    <cfRule type="cellIs" dxfId="200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B17" sqref="B17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2">
        <f>BESSELI(1.5,1)</f>
        <v>0.98166642847516605</v>
      </c>
      <c r="C3" s="22">
        <v>0.98166642847516605</v>
      </c>
      <c r="D3" t="str">
        <f>IF(B3=C3,"T","WARN")</f>
        <v>T</v>
      </c>
    </row>
    <row r="4" spans="1:4" ht="15.75">
      <c r="A4" s="1"/>
      <c r="B4" s="21"/>
      <c r="C4" s="21"/>
    </row>
    <row r="5" spans="1:4" ht="15.75">
      <c r="A5" s="1" t="s">
        <v>330</v>
      </c>
      <c r="B5" s="22">
        <f>BESSELJ(1.9,2)</f>
        <v>0.3299258286697852</v>
      </c>
      <c r="C5" s="22">
        <v>0.3299258286697852</v>
      </c>
      <c r="D5" t="str">
        <f>IF(B5=C5,"T","WARN")</f>
        <v>T</v>
      </c>
    </row>
    <row r="6" spans="1:4" ht="15.75">
      <c r="A6" s="1"/>
      <c r="B6" s="21"/>
      <c r="C6" s="21"/>
    </row>
    <row r="7" spans="1:4" ht="15.75">
      <c r="A7" s="1" t="s">
        <v>331</v>
      </c>
      <c r="B7" s="22">
        <f>BESSELK(1.5,1)</f>
        <v>0.27738780363225868</v>
      </c>
      <c r="C7" s="22">
        <v>0.27738780363225868</v>
      </c>
      <c r="D7" t="str">
        <f>IF(B7=C7,"T","WARN")</f>
        <v>T</v>
      </c>
    </row>
    <row r="8" spans="1:4" ht="15.75">
      <c r="A8" s="1"/>
      <c r="B8" s="21"/>
      <c r="C8" s="21"/>
    </row>
    <row r="9" spans="1:4" ht="15.75">
      <c r="A9" s="1" t="s">
        <v>332</v>
      </c>
      <c r="B9" s="22">
        <f>BESSELY(2.5,1)</f>
        <v>0.14591813750831284</v>
      </c>
      <c r="C9" s="22">
        <v>0.14591813750831284</v>
      </c>
      <c r="D9" t="str">
        <f>IF(B9=C9,"T","WARN")</f>
        <v>T</v>
      </c>
    </row>
    <row r="10" spans="1:4" ht="15.75">
      <c r="A10" s="1"/>
      <c r="B10" s="21"/>
      <c r="C10" s="21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1"/>
      <c r="C12" s="21"/>
    </row>
    <row r="13" spans="1:4" ht="15.75">
      <c r="A13" s="1" t="s">
        <v>334</v>
      </c>
      <c r="B13" s="21" t="str">
        <f>BIN2HEX(11111011,4)</f>
        <v>00FB</v>
      </c>
      <c r="C13" s="21" t="s">
        <v>367</v>
      </c>
      <c r="D13" t="str">
        <f>IF(B13=C13,"T","WARN")</f>
        <v>T</v>
      </c>
    </row>
    <row r="14" spans="1:4" ht="15.75">
      <c r="A14" s="1"/>
      <c r="B14" s="21"/>
      <c r="C14" s="21"/>
    </row>
    <row r="15" spans="1:4" ht="15.75">
      <c r="A15" s="1" t="s">
        <v>335</v>
      </c>
      <c r="B15" s="21" t="str">
        <f>BIN2OCT(1001,3)</f>
        <v>011</v>
      </c>
      <c r="C15" s="30" t="s">
        <v>368</v>
      </c>
      <c r="D15" t="str">
        <f>IF(B15=C15,"T","WARN")</f>
        <v>T</v>
      </c>
    </row>
    <row r="16" spans="1:4" ht="15.75">
      <c r="A16" s="1"/>
      <c r="B16" s="21"/>
      <c r="C16" s="21"/>
    </row>
    <row r="17" spans="1:4" ht="15.75">
      <c r="A17" s="1" t="s">
        <v>336</v>
      </c>
      <c r="B17" s="34" t="str">
        <f>COMPLEX(3,4)</f>
        <v>3+4i</v>
      </c>
      <c r="C17" s="34" t="s">
        <v>369</v>
      </c>
      <c r="D17" t="str">
        <f>IF(B17=C17,"T","WARN")</f>
        <v>T</v>
      </c>
    </row>
    <row r="18" spans="1:4" ht="15.75">
      <c r="A18" s="1"/>
      <c r="B18" s="21"/>
      <c r="C18" s="21"/>
    </row>
    <row r="19" spans="1:4" ht="15.75">
      <c r="A19" s="1" t="s">
        <v>337</v>
      </c>
      <c r="B19" s="21" t="str">
        <f>DEC2BIN(9,4)</f>
        <v>1001</v>
      </c>
      <c r="C19" s="21" t="s">
        <v>398</v>
      </c>
      <c r="D19" t="str">
        <f>IF(B19=C19,"T","WARN")</f>
        <v>T</v>
      </c>
    </row>
    <row r="20" spans="1:4" ht="15.75">
      <c r="A20" s="1"/>
      <c r="B20" s="21"/>
      <c r="C20" s="21"/>
    </row>
    <row r="21" spans="1:4" ht="15.75">
      <c r="A21" s="1" t="s">
        <v>338</v>
      </c>
      <c r="B21" s="21" t="str">
        <f>DEC2HEX(100,4)</f>
        <v>0064</v>
      </c>
      <c r="C21" s="30" t="s">
        <v>371</v>
      </c>
      <c r="D21" t="str">
        <f>IF(B21=C21,"T","WARN")</f>
        <v>T</v>
      </c>
    </row>
    <row r="22" spans="1:4" ht="15.75">
      <c r="A22" s="1"/>
      <c r="B22" s="21"/>
      <c r="C22" s="21"/>
    </row>
    <row r="23" spans="1:4" ht="15.75">
      <c r="A23" s="1" t="s">
        <v>339</v>
      </c>
      <c r="B23" s="21" t="str">
        <f>DEC2OCT(58,3)</f>
        <v>072</v>
      </c>
      <c r="C23" s="30" t="s">
        <v>372</v>
      </c>
      <c r="D23" t="str">
        <f>IF(B23=C23,"T","WARN")</f>
        <v>T</v>
      </c>
    </row>
    <row r="24" spans="1:4" ht="15.75">
      <c r="A24" s="1"/>
      <c r="B24" s="21"/>
      <c r="C24" s="21"/>
    </row>
    <row r="25" spans="1:4" ht="15.75">
      <c r="A25" s="1" t="s">
        <v>340</v>
      </c>
      <c r="B25" s="7">
        <f>DELTA(5,4)</f>
        <v>0</v>
      </c>
      <c r="C25" s="21">
        <v>0</v>
      </c>
      <c r="D25" t="str">
        <f>IF(B25=C25,"T","WARN")</f>
        <v>T</v>
      </c>
    </row>
    <row r="26" spans="1:4" ht="15.75">
      <c r="A26" s="1"/>
      <c r="B26" s="21"/>
      <c r="C26" s="21"/>
    </row>
    <row r="27" spans="1:4" ht="15.75">
      <c r="A27" s="1" t="s">
        <v>341</v>
      </c>
      <c r="B27" s="28">
        <f>ERF(0.745)</f>
        <v>0.70792869314881979</v>
      </c>
      <c r="C27" s="22">
        <v>0.70792869314881979</v>
      </c>
      <c r="D27" t="str">
        <f>IF(B27=C27,"T","WARN")</f>
        <v>T</v>
      </c>
    </row>
    <row r="28" spans="1:4" ht="15.75">
      <c r="A28" s="1"/>
      <c r="B28" s="21"/>
      <c r="C28" s="21"/>
    </row>
    <row r="29" spans="1:4" ht="15.75">
      <c r="A29" s="1" t="s">
        <v>342</v>
      </c>
      <c r="B29" s="22">
        <f>ERFC(1)</f>
        <v>0.15729926482544476</v>
      </c>
      <c r="C29" s="22">
        <v>0.15729926482544476</v>
      </c>
      <c r="D29" t="str">
        <f>IF(B29=C29,"T","WARN")</f>
        <v>T</v>
      </c>
    </row>
    <row r="30" spans="1:4" ht="15.75">
      <c r="A30" s="1"/>
      <c r="B30" s="21"/>
      <c r="C30" s="21"/>
    </row>
    <row r="31" spans="1:4" ht="15.75">
      <c r="A31" s="1" t="s">
        <v>343</v>
      </c>
      <c r="B31" s="21">
        <f>GESTEP(5,4)</f>
        <v>1</v>
      </c>
      <c r="C31" s="21">
        <v>1</v>
      </c>
      <c r="D31" t="str">
        <f>IF(B31=C31,"T","WARN")</f>
        <v>T</v>
      </c>
    </row>
    <row r="32" spans="1:4" ht="15.75">
      <c r="A32" s="1"/>
      <c r="B32" s="21"/>
      <c r="C32" s="21"/>
    </row>
    <row r="33" spans="1:4" ht="15.75">
      <c r="A33" s="1" t="s">
        <v>344</v>
      </c>
      <c r="B33" s="21" t="str">
        <f>HEX2BIN("F",8)</f>
        <v>00001111</v>
      </c>
      <c r="C33" s="30" t="s">
        <v>373</v>
      </c>
      <c r="D33" t="str">
        <f>IF(B33=C33,"T","WARN")</f>
        <v>T</v>
      </c>
    </row>
    <row r="34" spans="1:4" ht="15.75">
      <c r="A34" s="1"/>
      <c r="B34" s="21"/>
      <c r="C34" s="21"/>
    </row>
    <row r="35" spans="1:4" ht="15.75">
      <c r="A35" s="1" t="s">
        <v>345</v>
      </c>
      <c r="B35" s="21">
        <f>HEX2DEC("A5")</f>
        <v>165</v>
      </c>
      <c r="C35" s="21">
        <v>165</v>
      </c>
      <c r="D35" t="str">
        <f>IF(B35=C35,"T","WARN")</f>
        <v>T</v>
      </c>
    </row>
    <row r="36" spans="1:4" ht="15.75">
      <c r="A36" s="1"/>
      <c r="B36" s="21"/>
      <c r="C36" s="21"/>
    </row>
    <row r="37" spans="1:4" ht="15.75">
      <c r="A37" s="1" t="s">
        <v>346</v>
      </c>
      <c r="B37" s="21" t="str">
        <f>HEX2OCT("F",3)</f>
        <v>017</v>
      </c>
      <c r="C37" s="30" t="s">
        <v>374</v>
      </c>
      <c r="D37" t="str">
        <f>IF(B37=C37,"T","WARN")</f>
        <v>T</v>
      </c>
    </row>
    <row r="38" spans="1:4" ht="15.75">
      <c r="A38" s="1"/>
      <c r="B38" s="21"/>
      <c r="C38" s="21"/>
    </row>
    <row r="39" spans="1:4" ht="15.75">
      <c r="A39" s="1" t="s">
        <v>347</v>
      </c>
      <c r="B39" s="21">
        <f>IMABS("5+12i")</f>
        <v>13</v>
      </c>
      <c r="C39" s="21">
        <v>13</v>
      </c>
      <c r="D39" t="str">
        <f>IF(B39=C39,"T","WARN")</f>
        <v>T</v>
      </c>
    </row>
    <row r="40" spans="1:4" ht="15.75">
      <c r="A40" s="1"/>
      <c r="B40" s="21"/>
      <c r="C40" s="21"/>
    </row>
    <row r="41" spans="1:4" ht="15.75">
      <c r="A41" s="1" t="s">
        <v>348</v>
      </c>
      <c r="B41" s="21">
        <f>IMAGINARY("3+4i")</f>
        <v>4</v>
      </c>
      <c r="C41" s="21">
        <v>4</v>
      </c>
      <c r="D41" t="str">
        <f>IF(B41=C41,"T","WARN")</f>
        <v>T</v>
      </c>
    </row>
    <row r="42" spans="1:4" ht="15.75">
      <c r="A42" s="1"/>
      <c r="B42" s="21"/>
      <c r="C42" s="21"/>
    </row>
    <row r="43" spans="1:4" ht="15.75">
      <c r="A43" s="1" t="s">
        <v>349</v>
      </c>
      <c r="B43" s="22">
        <f>IMARGUMENT("3+4i")</f>
        <v>0.92729521800161219</v>
      </c>
      <c r="C43" s="22">
        <v>0.92729521800161219</v>
      </c>
      <c r="D43" t="str">
        <f>IF(B43=C43,"T","WARN")</f>
        <v>T</v>
      </c>
    </row>
    <row r="44" spans="1:4" ht="15.75">
      <c r="A44" s="1"/>
      <c r="C44" s="21"/>
    </row>
    <row r="45" spans="1:4" ht="15.75">
      <c r="A45" s="1" t="s">
        <v>350</v>
      </c>
      <c r="B45" t="str">
        <f>IMCONJUGATE("3+4i")</f>
        <v>3-4i</v>
      </c>
      <c r="C45" s="21" t="s">
        <v>375</v>
      </c>
      <c r="D45" t="str">
        <f>IF(B45=C45,"T","WARN")</f>
        <v>T</v>
      </c>
    </row>
    <row r="46" spans="1:4" ht="15.75">
      <c r="A46" s="1"/>
      <c r="C46" s="21"/>
    </row>
    <row r="47" spans="1:4" ht="15.75">
      <c r="A47" s="1" t="s">
        <v>351</v>
      </c>
      <c r="B47" s="22" t="str">
        <f>IMCOS("1+i")</f>
        <v>0.833730025131149-0.988897705762865i</v>
      </c>
      <c r="C47" s="21" t="s">
        <v>376</v>
      </c>
      <c r="D47" t="str">
        <f>IF(B47=C47,"T","WARN")</f>
        <v>T</v>
      </c>
    </row>
    <row r="48" spans="1:4" ht="15.75">
      <c r="A48" s="1"/>
      <c r="C48" s="21"/>
    </row>
    <row r="49" spans="1:4" ht="15.75">
      <c r="A49" s="1" t="s">
        <v>352</v>
      </c>
      <c r="B49" t="str">
        <f>IMDIV("-238+240i","10+24i")</f>
        <v>5+12i</v>
      </c>
      <c r="C49" s="21" t="s">
        <v>377</v>
      </c>
      <c r="D49" t="str">
        <f>IF(B49=C49,"T","WARN")</f>
        <v>T</v>
      </c>
    </row>
    <row r="50" spans="1:4" ht="15.75">
      <c r="A50" s="1"/>
      <c r="B50" s="21"/>
      <c r="C50" s="21"/>
    </row>
    <row r="51" spans="1:4" ht="15.75">
      <c r="A51" s="1" t="s">
        <v>353</v>
      </c>
      <c r="B51" s="21" t="str">
        <f>IMEXP("1+i")</f>
        <v>1.46869393991589+2.28735528717884i</v>
      </c>
      <c r="C51" s="21" t="s">
        <v>378</v>
      </c>
      <c r="D51" t="str">
        <f>IF(B51=C51,"T","WARN")</f>
        <v>T</v>
      </c>
    </row>
    <row r="52" spans="1:4" ht="15.75">
      <c r="A52" s="1"/>
      <c r="B52" s="21"/>
      <c r="C52" s="21"/>
    </row>
    <row r="53" spans="1:4" ht="15.75">
      <c r="A53" s="1" t="s">
        <v>354</v>
      </c>
      <c r="B53" s="21" t="str">
        <f>IMLN("3+4i")</f>
        <v>1.6094379124341+0.927295218001612i</v>
      </c>
      <c r="C53" s="21" t="s">
        <v>379</v>
      </c>
      <c r="D53" t="str">
        <f>IF(B53=C53,"T","WARN")</f>
        <v>T</v>
      </c>
    </row>
    <row r="54" spans="1:4" ht="15.75">
      <c r="A54" s="1"/>
      <c r="B54" s="21"/>
      <c r="C54" s="21"/>
    </row>
    <row r="55" spans="1:4" ht="15.75">
      <c r="A55" s="1" t="s">
        <v>355</v>
      </c>
      <c r="B55" s="21" t="str">
        <f>IMLOG10("3+4i")</f>
        <v>0.698970004336019+0.402719196273373i</v>
      </c>
      <c r="C55" s="21" t="s">
        <v>380</v>
      </c>
      <c r="D55" t="str">
        <f>IF(B55=C55,"T","WARN")</f>
        <v>T</v>
      </c>
    </row>
    <row r="56" spans="1:4" ht="15.75">
      <c r="A56" s="1"/>
      <c r="B56" s="21"/>
      <c r="C56" s="21"/>
    </row>
    <row r="57" spans="1:4" ht="15.75">
      <c r="A57" s="1" t="s">
        <v>356</v>
      </c>
      <c r="B57" s="21" t="str">
        <f>IMLOG2("3+4i")</f>
        <v>2.32192809506607+1.33780421255394i</v>
      </c>
      <c r="C57" s="21" t="s">
        <v>381</v>
      </c>
      <c r="D57" t="str">
        <f>IF(B57=C57,"T","WARN")</f>
        <v>T</v>
      </c>
    </row>
    <row r="58" spans="1:4" ht="15.75">
      <c r="A58" s="1"/>
      <c r="B58" s="21"/>
      <c r="C58" s="21"/>
    </row>
    <row r="59" spans="1:4" ht="15.75">
      <c r="A59" s="1" t="s">
        <v>357</v>
      </c>
      <c r="B59" s="21" t="str">
        <f>IMPOWER("2+3i", 3)</f>
        <v>-46+9.00000000000001i</v>
      </c>
      <c r="C59" s="21" t="s">
        <v>382</v>
      </c>
      <c r="D59" t="str">
        <f>IF(B59=C59,"T","WARN")</f>
        <v>T</v>
      </c>
    </row>
    <row r="60" spans="1:4" ht="15.75">
      <c r="A60" s="1"/>
      <c r="B60" s="21"/>
      <c r="C60" s="21"/>
    </row>
    <row r="61" spans="1:4" ht="15.75">
      <c r="A61" s="1" t="s">
        <v>358</v>
      </c>
      <c r="B61" s="21" t="str">
        <f>IMPRODUCT("3+4i","5-3i")</f>
        <v>27+11i</v>
      </c>
      <c r="C61" s="21" t="s">
        <v>383</v>
      </c>
      <c r="D61" t="str">
        <f>IF(B61=C61,"T","WARN")</f>
        <v>T</v>
      </c>
    </row>
    <row r="62" spans="1:4" ht="15.75">
      <c r="A62" s="1"/>
      <c r="B62" s="21"/>
      <c r="C62" s="21"/>
    </row>
    <row r="63" spans="1:4" ht="15.75">
      <c r="A63" s="1" t="s">
        <v>359</v>
      </c>
      <c r="B63" s="21">
        <f>IMREAL("6-9i")</f>
        <v>6</v>
      </c>
      <c r="C63" s="21">
        <v>6</v>
      </c>
      <c r="D63" t="str">
        <f>IF(B63=C63,"T","WARN")</f>
        <v>T</v>
      </c>
    </row>
    <row r="64" spans="1:4" ht="15.75">
      <c r="A64" s="1"/>
      <c r="B64" s="21"/>
      <c r="C64" s="21"/>
    </row>
    <row r="65" spans="1:4" ht="15.75">
      <c r="A65" s="1" t="s">
        <v>360</v>
      </c>
      <c r="B65" s="21" t="str">
        <f>IMSIN("3+4i")</f>
        <v>3.85373803791938-27.0168132580039i</v>
      </c>
      <c r="C65" s="21" t="s">
        <v>384</v>
      </c>
      <c r="D65" t="str">
        <f>IF(B65=C65,"T","WARN")</f>
        <v>T</v>
      </c>
    </row>
    <row r="66" spans="1:4" ht="15.75">
      <c r="A66" s="1"/>
      <c r="B66" s="7"/>
      <c r="C66" s="21"/>
    </row>
    <row r="67" spans="1:4" ht="15.75">
      <c r="A67" s="1" t="s">
        <v>361</v>
      </c>
      <c r="B67" s="21" t="str">
        <f>IMSQRT("1+i")</f>
        <v>1.09868411346781+0.455089860562227i</v>
      </c>
      <c r="C67" s="21" t="s">
        <v>385</v>
      </c>
      <c r="D67" t="str">
        <f>IF(B67=C67,"T","WARN")</f>
        <v>T</v>
      </c>
    </row>
    <row r="68" spans="1:4" ht="15.75">
      <c r="A68" s="1"/>
      <c r="B68" s="7"/>
      <c r="C68" s="21"/>
    </row>
    <row r="69" spans="1:4" ht="15.75">
      <c r="A69" s="1" t="s">
        <v>362</v>
      </c>
      <c r="B69" s="21" t="str">
        <f>IMSUB("13+4i","5+3i")</f>
        <v>8+i</v>
      </c>
      <c r="C69" s="21" t="s">
        <v>386</v>
      </c>
      <c r="D69" t="str">
        <f>IF(B69=C69,"T","WARN")</f>
        <v>T</v>
      </c>
    </row>
    <row r="70" spans="1:4" ht="15.75">
      <c r="A70" s="1"/>
      <c r="B70" s="7"/>
      <c r="C70" s="21"/>
    </row>
    <row r="71" spans="1:4" ht="15.75">
      <c r="A71" s="1" t="s">
        <v>363</v>
      </c>
      <c r="B71" s="21" t="str">
        <f>IMSUM("3+4i","5-3i")</f>
        <v>8+i</v>
      </c>
      <c r="C71" s="21" t="s">
        <v>386</v>
      </c>
      <c r="D71" t="str">
        <f>IF(B71=C71,"T","WARN")</f>
        <v>T</v>
      </c>
    </row>
    <row r="72" spans="1:4" ht="15.75">
      <c r="A72" s="1"/>
      <c r="B72" s="7"/>
      <c r="C72" s="21"/>
    </row>
    <row r="73" spans="1:4" ht="15.75">
      <c r="A73" s="1" t="s">
        <v>364</v>
      </c>
      <c r="B73" s="21" t="str">
        <f>OCT2BIN(3, 3)</f>
        <v>011</v>
      </c>
      <c r="C73" s="30" t="s">
        <v>368</v>
      </c>
      <c r="D73" t="str">
        <f>IF(B73=C73,"T","WARN")</f>
        <v>T</v>
      </c>
    </row>
    <row r="74" spans="1:4" ht="15.75">
      <c r="A74" s="1"/>
      <c r="B74" s="7"/>
      <c r="C74" s="21"/>
    </row>
    <row r="75" spans="1:4" ht="15.75">
      <c r="A75" s="1" t="s">
        <v>365</v>
      </c>
      <c r="B75" s="21">
        <f>OCT2DEC(54)</f>
        <v>44</v>
      </c>
      <c r="C75" s="21">
        <v>44</v>
      </c>
      <c r="D75" t="str">
        <f>IF(B75=C75,"T","WARN")</f>
        <v>T</v>
      </c>
    </row>
    <row r="76" spans="1:4" ht="15.75">
      <c r="A76" s="1"/>
      <c r="B76" s="7"/>
      <c r="C76" s="21"/>
    </row>
    <row r="77" spans="1:4" ht="15.75">
      <c r="A77" s="1" t="s">
        <v>366</v>
      </c>
      <c r="B77" s="21" t="str">
        <f>OCT2HEX(100, 4)</f>
        <v>0040</v>
      </c>
      <c r="C77" s="30" t="s">
        <v>387</v>
      </c>
      <c r="D77" t="str">
        <f>IF(B77=C77,"T","WARN")</f>
        <v>T</v>
      </c>
    </row>
    <row r="78" spans="1:4" ht="15.75">
      <c r="A78" s="1"/>
      <c r="B78" s="21"/>
    </row>
    <row r="79" spans="1:4">
      <c r="B79" s="21"/>
    </row>
    <row r="80" spans="1:4" ht="15.75">
      <c r="A80" s="1"/>
      <c r="B80" s="21"/>
    </row>
    <row r="81" spans="1:2" ht="15.75">
      <c r="A81" s="1"/>
      <c r="B81" s="21"/>
    </row>
    <row r="82" spans="1:2" ht="15.75">
      <c r="A82" s="1"/>
      <c r="B82" s="21"/>
    </row>
    <row r="83" spans="1:2" ht="15.75">
      <c r="A83" s="1"/>
      <c r="B83" s="2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29" priority="7" operator="equal">
      <formula>"WARN"</formula>
    </cfRule>
  </conditionalFormatting>
  <conditionalFormatting sqref="D13 D15 D17 D19 D21 D23 D25 D27 D29">
    <cfRule type="cellIs" dxfId="28" priority="6" operator="equal">
      <formula>"WARN"</formula>
    </cfRule>
  </conditionalFormatting>
  <conditionalFormatting sqref="D31 D33 D35 D37 D39 D41 D43">
    <cfRule type="cellIs" dxfId="27" priority="5" operator="equal">
      <formula>"WARN"</formula>
    </cfRule>
  </conditionalFormatting>
  <conditionalFormatting sqref="D45">
    <cfRule type="cellIs" dxfId="26" priority="4" operator="equal">
      <formula>"WARN"</formula>
    </cfRule>
  </conditionalFormatting>
  <conditionalFormatting sqref="D47 D51 D49 D53 D55 D57">
    <cfRule type="cellIs" dxfId="25" priority="3" operator="equal">
      <formula>"WARN"</formula>
    </cfRule>
  </conditionalFormatting>
  <conditionalFormatting sqref="D47 D51 D49 D53 D55 D57 D59 D61 D63 D65 D67">
    <cfRule type="cellIs" dxfId="24" priority="2" operator="equal">
      <formula>"WARN"</formula>
    </cfRule>
  </conditionalFormatting>
  <conditionalFormatting sqref="D47 D51 D49 D53 D55 D57 D59 D61 D63 D65 D67 D69 D71 D73 D75 D77">
    <cfRule type="cellIs" dxfId="23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A7" sqref="A7:D7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  <col min="4" max="4" width="12.42578125" bestFit="1" customWidth="1"/>
    <col min="5" max="5" width="9.7109375" bestFit="1" customWidth="1"/>
  </cols>
  <sheetData>
    <row r="1" spans="1:4" ht="18.75">
      <c r="A1" s="4" t="s">
        <v>83</v>
      </c>
    </row>
    <row r="2" spans="1:4" ht="15.75">
      <c r="A2" s="31" t="s">
        <v>124</v>
      </c>
      <c r="B2" t="str">
        <f>ASC("EXCEL")</f>
        <v>EXCEL</v>
      </c>
      <c r="C2" t="s">
        <v>391</v>
      </c>
      <c r="D2" t="s">
        <v>403</v>
      </c>
    </row>
    <row r="3" spans="1:4">
      <c r="A3" t="s">
        <v>84</v>
      </c>
      <c r="B3" t="str">
        <f>BAHTTEXT(1234)</f>
        <v>หนึ่งพันสองร้อยสามสิบสี่บาทถ้วน</v>
      </c>
      <c r="C3" t="s">
        <v>401</v>
      </c>
      <c r="D3" t="s">
        <v>403</v>
      </c>
    </row>
    <row r="4" spans="1:4" ht="15.75">
      <c r="A4" s="31" t="s">
        <v>125</v>
      </c>
      <c r="B4" s="11"/>
    </row>
    <row r="5" spans="1:4" ht="15.75">
      <c r="A5" s="31" t="s">
        <v>388</v>
      </c>
      <c r="B5" s="11"/>
    </row>
    <row r="6" spans="1:4" ht="18.75">
      <c r="A6" s="4" t="s">
        <v>163</v>
      </c>
      <c r="B6" s="11"/>
    </row>
    <row r="7" spans="1:4" ht="15.75">
      <c r="A7" s="1" t="s">
        <v>159</v>
      </c>
      <c r="B7">
        <f ca="1">CELL("row", A7)</f>
        <v>7</v>
      </c>
      <c r="C7">
        <v>3</v>
      </c>
      <c r="D7" t="s">
        <v>403</v>
      </c>
    </row>
    <row r="8" spans="1:4" ht="18.75">
      <c r="A8" s="4" t="s">
        <v>390</v>
      </c>
    </row>
    <row r="9" spans="1:4">
      <c r="A9" t="s">
        <v>179</v>
      </c>
      <c r="B9">
        <f>EDATE(B10,1)</f>
        <v>39493</v>
      </c>
      <c r="C9">
        <v>39493</v>
      </c>
      <c r="D9" t="s">
        <v>403</v>
      </c>
    </row>
    <row r="10" spans="1:4">
      <c r="B10" s="18">
        <v>39462</v>
      </c>
    </row>
    <row r="11" spans="1:4">
      <c r="A11" t="s">
        <v>180</v>
      </c>
      <c r="B11" s="18">
        <f>EOMONTH(DATE(2008,1,1),1)</f>
        <v>39507</v>
      </c>
      <c r="C11" s="18">
        <v>39507</v>
      </c>
      <c r="D11" t="s">
        <v>403</v>
      </c>
    </row>
    <row r="12" spans="1:4">
      <c r="A12" t="s">
        <v>182</v>
      </c>
      <c r="B12">
        <f>WEEKNUM(DATE(2008,3,9),1)</f>
        <v>11</v>
      </c>
      <c r="C12">
        <v>11</v>
      </c>
      <c r="D12" t="s">
        <v>403</v>
      </c>
    </row>
    <row r="13" spans="1:4" ht="18.75">
      <c r="A13" s="4" t="s">
        <v>185</v>
      </c>
    </row>
    <row r="14" spans="1:4">
      <c r="A14" t="s">
        <v>228</v>
      </c>
      <c r="B14" s="22">
        <f>MDURATION(DATE(2008,1,1),DATE(2016,1,1),0.08, 0.09, 2,1)</f>
        <v>5.7356698139188387</v>
      </c>
      <c r="C14" s="22">
        <v>5.7356698139188387</v>
      </c>
      <c r="D14" t="s">
        <v>403</v>
      </c>
    </row>
    <row r="15" spans="1:4">
      <c r="A15" t="s">
        <v>232</v>
      </c>
      <c r="B15" s="22">
        <f>ODDFPRICE(DATE(2008,11,11), DATE(2021,3,1), DATE(2008,10,15), DATE(2009,3,1), 0.0785, 0.0625, 100,2,1)</f>
        <v>113.59771747407883</v>
      </c>
      <c r="C15" s="22">
        <v>113.59771747407883</v>
      </c>
      <c r="D15" t="s">
        <v>403</v>
      </c>
    </row>
    <row r="16" spans="1:4">
      <c r="A16" t="s">
        <v>233</v>
      </c>
      <c r="B16" s="22">
        <f>ODDFYIELD(DATE(2008,11,11), DATE(2021,3,1), DATE(2008,10,15), DATE(2009,3,1), 0.0575, 84.5, 100,2,0)</f>
        <v>7.7245541597298878E-2</v>
      </c>
      <c r="C16" s="22">
        <v>7.7245541597298878E-2</v>
      </c>
      <c r="D16" t="s">
        <v>403</v>
      </c>
    </row>
    <row r="17" spans="1:6">
      <c r="A17" t="s">
        <v>234</v>
      </c>
      <c r="B17" s="22">
        <f>ODDLPRICE(DATE(2008,2,7), DATE(2008,6,15), DATE(2007,10,15), 0.0375, 0.0405, 100, 2,0)</f>
        <v>99.87828601472134</v>
      </c>
      <c r="C17" s="22">
        <v>99.87828601472134</v>
      </c>
      <c r="D17" t="s">
        <v>403</v>
      </c>
    </row>
    <row r="18" spans="1:6">
      <c r="A18" t="s">
        <v>235</v>
      </c>
      <c r="B18" s="22">
        <f>ODDLYIELD(DATE(2008,4,20), DATE(2008,6,15), DATE(2007,12,24), 0.0375, 99.875, 100, 2,0)</f>
        <v>4.5192235629169158E-2</v>
      </c>
      <c r="C18" s="22">
        <v>4.5192235629169158E-2</v>
      </c>
      <c r="D18" t="s">
        <v>403</v>
      </c>
    </row>
    <row r="19" spans="1:6">
      <c r="A19" t="s">
        <v>238</v>
      </c>
      <c r="B19" s="22">
        <f>TBILLPRICE(DATE(2008,3,31), DATE(2008,6,1),0.09)</f>
        <v>98.45</v>
      </c>
      <c r="C19" s="22">
        <v>98.45</v>
      </c>
      <c r="D19" t="s">
        <v>403</v>
      </c>
    </row>
    <row r="20" spans="1:6">
      <c r="A20" t="s">
        <v>240</v>
      </c>
      <c r="B20" s="22">
        <f>XIRR(B21:F21,B22:F22,0.1)</f>
        <v>0.3733625352382659</v>
      </c>
      <c r="C20" s="22">
        <v>0.3733625352382659</v>
      </c>
      <c r="D20" t="s">
        <v>403</v>
      </c>
    </row>
    <row r="21" spans="1:6">
      <c r="B21">
        <v>-10000</v>
      </c>
      <c r="C21">
        <v>2750</v>
      </c>
      <c r="D21">
        <v>4250</v>
      </c>
      <c r="E21">
        <v>3250</v>
      </c>
      <c r="F21">
        <v>2750</v>
      </c>
    </row>
    <row r="22" spans="1:6">
      <c r="B22" s="18">
        <v>39448</v>
      </c>
      <c r="C22" s="18">
        <v>39508</v>
      </c>
      <c r="D22" s="18">
        <v>39751</v>
      </c>
      <c r="E22" s="18">
        <v>39859</v>
      </c>
      <c r="F22" s="18">
        <v>39904</v>
      </c>
    </row>
    <row r="23" spans="1:6" ht="18.75">
      <c r="A23" s="4" t="s">
        <v>186</v>
      </c>
    </row>
    <row r="24" spans="1:6">
      <c r="A24" t="s">
        <v>295</v>
      </c>
      <c r="B24">
        <f>COUNTIFS(B25:E25,"Yes")</f>
        <v>3</v>
      </c>
      <c r="D24" t="s">
        <v>403</v>
      </c>
    </row>
    <row r="25" spans="1:6">
      <c r="B25" t="s">
        <v>404</v>
      </c>
      <c r="C25" t="s">
        <v>404</v>
      </c>
      <c r="D25" t="s">
        <v>404</v>
      </c>
      <c r="E25" t="s">
        <v>405</v>
      </c>
    </row>
    <row r="26" spans="1:6" ht="18.75">
      <c r="A26" s="4" t="s">
        <v>187</v>
      </c>
    </row>
    <row r="27" spans="1:6">
      <c r="A27" t="s">
        <v>370</v>
      </c>
      <c r="B27" s="22">
        <f>CONVERT(1, "lbm", "kg")</f>
        <v>0.45359230974881148</v>
      </c>
      <c r="C27" s="22">
        <v>0.45359230974881148</v>
      </c>
      <c r="D27" t="s">
        <v>403</v>
      </c>
    </row>
    <row r="29" spans="1:6" ht="18.75">
      <c r="A29" s="4" t="s">
        <v>396</v>
      </c>
    </row>
    <row r="30" spans="1:6">
      <c r="A30" t="s">
        <v>397</v>
      </c>
      <c r="B30" t="e">
        <f ca="1">abc()</f>
        <v>#NAME?</v>
      </c>
      <c r="C30" t="e">
        <v>#NAME?</v>
      </c>
      <c r="D30" t="s">
        <v>403</v>
      </c>
    </row>
  </sheetData>
  <conditionalFormatting sqref="D3">
    <cfRule type="cellIs" dxfId="22" priority="17" operator="equal">
      <formula>"WARN"</formula>
    </cfRule>
  </conditionalFormatting>
  <conditionalFormatting sqref="D9">
    <cfRule type="cellIs" dxfId="21" priority="16" operator="equal">
      <formula>"WARN"</formula>
    </cfRule>
  </conditionalFormatting>
  <conditionalFormatting sqref="D3">
    <cfRule type="cellIs" dxfId="20" priority="15" operator="equal">
      <formula>"WARN"</formula>
    </cfRule>
  </conditionalFormatting>
  <conditionalFormatting sqref="D10">
    <cfRule type="cellIs" dxfId="19" priority="14" operator="equal">
      <formula>"WARN"</formula>
    </cfRule>
  </conditionalFormatting>
  <conditionalFormatting sqref="D11">
    <cfRule type="cellIs" dxfId="18" priority="13" operator="equal">
      <formula>"WARN"</formula>
    </cfRule>
  </conditionalFormatting>
  <conditionalFormatting sqref="D12">
    <cfRule type="cellIs" dxfId="17" priority="12" operator="equal">
      <formula>"WARN"</formula>
    </cfRule>
  </conditionalFormatting>
  <conditionalFormatting sqref="D14">
    <cfRule type="cellIs" dxfId="16" priority="11" operator="equal">
      <formula>"WARN"</formula>
    </cfRule>
  </conditionalFormatting>
  <conditionalFormatting sqref="D15">
    <cfRule type="cellIs" dxfId="15" priority="10" operator="equal">
      <formula>"WARN"</formula>
    </cfRule>
  </conditionalFormatting>
  <conditionalFormatting sqref="D16:D22 E21:F22">
    <cfRule type="cellIs" dxfId="14" priority="9" operator="equal">
      <formula>"WARN"</formula>
    </cfRule>
  </conditionalFormatting>
  <conditionalFormatting sqref="D24:D25 E25">
    <cfRule type="cellIs" dxfId="13" priority="8" operator="equal">
      <formula>"WARN"</formula>
    </cfRule>
  </conditionalFormatting>
  <conditionalFormatting sqref="D27">
    <cfRule type="cellIs" dxfId="12" priority="7" operator="equal">
      <formula>"WARN"</formula>
    </cfRule>
  </conditionalFormatting>
  <conditionalFormatting sqref="D30">
    <cfRule type="cellIs" dxfId="11" priority="6" operator="equal">
      <formula>"WARN"</formula>
    </cfRule>
  </conditionalFormatting>
  <conditionalFormatting sqref="D2">
    <cfRule type="cellIs" dxfId="10" priority="5" operator="equal">
      <formula>"WARN"</formula>
    </cfRule>
  </conditionalFormatting>
  <conditionalFormatting sqref="D2">
    <cfRule type="cellIs" dxfId="9" priority="4" operator="equal">
      <formula>"WARN"</formula>
    </cfRule>
  </conditionalFormatting>
  <conditionalFormatting sqref="D7">
    <cfRule type="cellIs" dxfId="8" priority="3" operator="equal">
      <formula>"WARN"</formula>
    </cfRule>
  </conditionalFormatting>
  <conditionalFormatting sqref="D7">
    <cfRule type="cellIs" dxfId="7" priority="2" operator="equal">
      <formula>"WARN"</formula>
    </cfRule>
  </conditionalFormatting>
  <conditionalFormatting sqref="D7">
    <cfRule type="cellIs" dxfId="6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D6" sqref="D6"/>
    </sheetView>
  </sheetViews>
  <sheetFormatPr defaultRowHeight="15"/>
  <cols>
    <col min="1" max="1" width="14.85546875" bestFit="1" customWidth="1"/>
    <col min="2" max="2" width="25.140625" bestFit="1" customWidth="1"/>
    <col min="3" max="3" width="15" bestFit="1" customWidth="1"/>
    <col min="4" max="4" width="8.42578125" bestFit="1" customWidth="1"/>
  </cols>
  <sheetData>
    <row r="1" spans="1:4" ht="18.75">
      <c r="A1" s="4" t="s">
        <v>400</v>
      </c>
      <c r="B1" s="1" t="s">
        <v>64</v>
      </c>
      <c r="C1" s="1" t="s">
        <v>63</v>
      </c>
    </row>
    <row r="2" spans="1:4" ht="18.75">
      <c r="A2" s="4"/>
      <c r="B2" s="1"/>
      <c r="C2" s="1"/>
    </row>
    <row r="3" spans="1:4" ht="15.75">
      <c r="A3" s="1" t="s">
        <v>399</v>
      </c>
      <c r="B3" t="e">
        <f ca="1">toTWD(B4,C4)</f>
        <v>#NAME?</v>
      </c>
      <c r="C3">
        <v>300</v>
      </c>
      <c r="D3" t="e">
        <f ca="1">IF(B3=C3,"T","WARN")</f>
        <v>#NAME?</v>
      </c>
    </row>
    <row r="4" spans="1:4">
      <c r="B4">
        <v>10</v>
      </c>
      <c r="C4">
        <v>30</v>
      </c>
    </row>
    <row r="6" spans="1:4" ht="15.75">
      <c r="A6" s="1" t="s">
        <v>402</v>
      </c>
      <c r="B6" t="e">
        <f ca="1">USD2NTD(B7,C7)</f>
        <v>#NAME?</v>
      </c>
      <c r="C6">
        <v>150</v>
      </c>
      <c r="D6" t="e">
        <f ca="1">IF(B6=C6,"T","WARN")</f>
        <v>#NAME?</v>
      </c>
    </row>
    <row r="7" spans="1:4">
      <c r="B7">
        <v>5</v>
      </c>
      <c r="C7">
        <v>30</v>
      </c>
    </row>
  </sheetData>
  <conditionalFormatting sqref="D3">
    <cfRule type="cellIs" dxfId="5" priority="6" operator="equal">
      <formula>"WARN"</formula>
    </cfRule>
  </conditionalFormatting>
  <conditionalFormatting sqref="D3">
    <cfRule type="cellIs" dxfId="4" priority="5" operator="equal">
      <formula>"WARN"</formula>
    </cfRule>
  </conditionalFormatting>
  <conditionalFormatting sqref="D3">
    <cfRule type="cellIs" dxfId="3" priority="4" operator="equal">
      <formula>"WARN"</formula>
    </cfRule>
  </conditionalFormatting>
  <conditionalFormatting sqref="D6">
    <cfRule type="cellIs" dxfId="2" priority="3" operator="equal">
      <formula>"WARN"</formula>
    </cfRule>
  </conditionalFormatting>
  <conditionalFormatting sqref="D6">
    <cfRule type="cellIs" dxfId="1" priority="2" operator="equal">
      <formula>"WARN"</formula>
    </cfRule>
  </conditionalFormatting>
  <conditionalFormatting sqref="D6">
    <cfRule type="cellIs" dxfId="0" priority="1" operator="equal">
      <formula>"WARN"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1" sqref="B1"/>
    </sheetView>
  </sheetViews>
  <sheetFormatPr defaultRowHeight="15"/>
  <cols>
    <col min="1" max="1" width="16.85546875" bestFit="1" customWidth="1"/>
  </cols>
  <sheetData>
    <row r="1" spans="1:4">
      <c r="A1" s="22"/>
    </row>
    <row r="3" spans="1:4" ht="15.75">
      <c r="A3" s="1" t="s">
        <v>124</v>
      </c>
      <c r="B3" t="str">
        <f>ASC("EXCEL")</f>
        <v>EXCEL</v>
      </c>
      <c r="C3" t="s">
        <v>391</v>
      </c>
      <c r="D3" t="str">
        <f>IF(B3=C3,"T","WARN")</f>
        <v>T</v>
      </c>
    </row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7" spans="1:4" ht="15.75">
      <c r="A7" s="1" t="s">
        <v>246</v>
      </c>
      <c r="B7" s="22">
        <f>BETADIST(2,8,10,1,3)</f>
        <v>0.68547058095349067</v>
      </c>
      <c r="C7">
        <v>0.68547058095349067</v>
      </c>
      <c r="D7" t="str">
        <f>IF(B7=C7,"T","WARN")</f>
        <v>T</v>
      </c>
    </row>
    <row r="8" spans="1:4" ht="15.75">
      <c r="A8" s="1"/>
    </row>
    <row r="9" spans="1:4" ht="15.75">
      <c r="A9" s="1" t="s">
        <v>247</v>
      </c>
      <c r="B9" s="12">
        <f>BETAINV(0.6854,8,10,1,3)</f>
        <v>1.9999523162841797</v>
      </c>
      <c r="C9">
        <v>1.9999523162841797</v>
      </c>
      <c r="D9" t="str">
        <f>IF(B9=C9,"T","WARN")</f>
        <v>T</v>
      </c>
    </row>
  </sheetData>
  <conditionalFormatting sqref="D3:D5">
    <cfRule type="cellIs" dxfId="199" priority="2" operator="equal">
      <formula>"WARN"</formula>
    </cfRule>
  </conditionalFormatting>
  <conditionalFormatting sqref="D7 D9">
    <cfRule type="cellIs" dxfId="198" priority="1" operator="equal">
      <formula>"WARN"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15"/>
  <sheetViews>
    <sheetView topLeftCell="A81" workbookViewId="0">
      <selection activeCell="D104" sqref="D10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5" t="s">
        <v>68</v>
      </c>
      <c r="B2" s="35"/>
      <c r="C2" s="35"/>
      <c r="D2" s="35"/>
      <c r="E2" s="35"/>
      <c r="F2" s="35"/>
      <c r="G2" s="35"/>
      <c r="H2" s="35"/>
      <c r="I2" s="35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2">
        <f>ACOS(-0.5)</f>
        <v>2.0943951023931957</v>
      </c>
      <c r="C7" s="32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  <c r="D9" t="str">
        <f>IF(B9=C9,"T","WARN")</f>
        <v>T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 s="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28">
        <f>ASINH(-2.5)</f>
        <v>-1.6472311463710965</v>
      </c>
      <c r="C13" s="22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28">
        <f>ATAN(1)</f>
        <v>0.78539816339744828</v>
      </c>
      <c r="C15" s="22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28">
        <f>ATAN2(1, 1)</f>
        <v>0.78539816339744828</v>
      </c>
      <c r="C17" s="28"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28">
        <f>ATANH(0.76159416)</f>
        <v>1.0000000096297197</v>
      </c>
      <c r="C19" s="22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28">
        <f>COS(1.047)</f>
        <v>0.50017107459707011</v>
      </c>
      <c r="C25" s="22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28">
        <f>COSH(4)</f>
        <v>27.308232836016487</v>
      </c>
      <c r="C27" s="22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22">
        <f>EXP(1)</f>
        <v>2.7182818284590451</v>
      </c>
      <c r="C33" s="22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 s="11">
        <v>4.4543472962535073</v>
      </c>
      <c r="D47" t="str">
        <f>IF(B47=C47,"T","WARN")</f>
        <v>T</v>
      </c>
    </row>
    <row r="48" spans="1:4" ht="15.75">
      <c r="A48" s="1"/>
    </row>
    <row r="49" spans="1:5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5" ht="15.75">
      <c r="A50" s="1"/>
    </row>
    <row r="51" spans="1:5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5" ht="15.75">
      <c r="A52" s="1"/>
    </row>
    <row r="53" spans="1:5" ht="15.75">
      <c r="A53" s="1" t="s">
        <v>27</v>
      </c>
      <c r="B53">
        <f>MDETERM(B54:E57)</f>
        <v>87.999999999999972</v>
      </c>
      <c r="C53">
        <v>88</v>
      </c>
      <c r="D53" t="str">
        <f>IF(B53=C53,"T","WARN")</f>
        <v>T</v>
      </c>
    </row>
    <row r="54" spans="1:5">
      <c r="B54">
        <v>1</v>
      </c>
      <c r="C54">
        <v>3</v>
      </c>
      <c r="D54">
        <v>8</v>
      </c>
      <c r="E54">
        <v>5</v>
      </c>
    </row>
    <row r="55" spans="1:5">
      <c r="B55">
        <v>1</v>
      </c>
      <c r="C55">
        <v>3</v>
      </c>
      <c r="D55">
        <v>6</v>
      </c>
      <c r="E55">
        <v>1</v>
      </c>
    </row>
    <row r="56" spans="1:5">
      <c r="B56">
        <v>1</v>
      </c>
      <c r="C56">
        <v>1</v>
      </c>
      <c r="D56">
        <v>1</v>
      </c>
      <c r="E56">
        <v>0</v>
      </c>
    </row>
    <row r="57" spans="1:5">
      <c r="B57">
        <v>7</v>
      </c>
      <c r="C57">
        <v>3</v>
      </c>
      <c r="D57">
        <v>10</v>
      </c>
      <c r="E57">
        <v>2</v>
      </c>
    </row>
    <row r="58" spans="1:5" ht="15.75">
      <c r="A58" s="1"/>
    </row>
    <row r="59" spans="1:5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5" ht="15.75">
      <c r="A60" s="1"/>
      <c r="B60">
        <v>4</v>
      </c>
      <c r="C60">
        <v>-1</v>
      </c>
    </row>
    <row r="61" spans="1:5" ht="15.75">
      <c r="A61" s="1"/>
      <c r="B61">
        <v>2</v>
      </c>
      <c r="C61">
        <v>0</v>
      </c>
    </row>
    <row r="62" spans="1:5" ht="15.75">
      <c r="A62" s="1"/>
    </row>
    <row r="63" spans="1:5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5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  <c r="D73" t="str">
        <f>IF(B74=C74,"T","WARN")</f>
        <v>T</v>
      </c>
    </row>
    <row r="74" spans="1:4" ht="15.75">
      <c r="A74" s="1"/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  <c r="D77" t="str">
        <f>IF(B77=C77,"T","WARN")</f>
        <v>T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 s="11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 s="11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43.953146225312281</v>
      </c>
      <c r="C92" t="s">
        <v>69</v>
      </c>
      <c r="D92" t="s">
        <v>394</v>
      </c>
    </row>
    <row r="93" spans="1:4" ht="15.75">
      <c r="A93" s="1"/>
    </row>
    <row r="94" spans="1:4" ht="15.75">
      <c r="A94" s="1" t="s">
        <v>40</v>
      </c>
      <c r="B94">
        <f ca="1">RANDBETWEEN(1,100)</f>
        <v>53</v>
      </c>
      <c r="C94" t="s">
        <v>69</v>
      </c>
      <c r="D94" t="s">
        <v>394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>
        <f>SERIESSUM(B105,0,2,B106:B109)</f>
        <v>0.70710321482284566</v>
      </c>
      <c r="C104" s="11">
        <v>0.70710321482284566</v>
      </c>
      <c r="D104" t="s">
        <v>403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2">
        <f>SIN(PI())</f>
        <v>1.22514845490862E-16</v>
      </c>
      <c r="C113" s="22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 s="11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 s="11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2">
        <f>TANH(-2)</f>
        <v>-0.96402758007581701</v>
      </c>
      <c r="C182" s="22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  <c r="D186" t="s">
        <v>394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 D33 D35 D37 D39 D41 D43 D45 D47 D53 D51 D49 D59 D63 D71 D75 D73 D79 D81 D83 D88:D90 D92 D96 D98:D100 D102 D104:D105 D111 D113 D115 D94 D117 D119 D121 D127 D129 D135 D145 D150 D153 D162 D171 D180 D182 D184 D9 D77 D186">
    <cfRule type="cellIs" dxfId="197" priority="14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A20" sqref="A20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196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23"/>
  <sheetViews>
    <sheetView tabSelected="1" topLeftCell="A61" zoomScale="115" zoomScaleNormal="115" workbookViewId="0">
      <selection activeCell="B73" sqref="B73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/>
    <row r="4" spans="1:4" ht="15.75">
      <c r="A4" s="1" t="s">
        <v>85</v>
      </c>
      <c r="B4" s="5" t="str">
        <f>CHAR(65)</f>
        <v>A</v>
      </c>
      <c r="C4" t="s">
        <v>101</v>
      </c>
      <c r="D4" t="str">
        <f>IF(B4=C4,"T","WARN")</f>
        <v>T</v>
      </c>
    </row>
    <row r="5" spans="1:4" ht="15.75">
      <c r="A5" s="1"/>
      <c r="B5" s="5"/>
    </row>
    <row r="6" spans="1:4" ht="15.75">
      <c r="A6" s="1" t="s">
        <v>100</v>
      </c>
      <c r="B6" s="5" t="str">
        <f>CLEAN(B7)</f>
        <v>text</v>
      </c>
      <c r="C6" t="s">
        <v>161</v>
      </c>
      <c r="D6" t="str">
        <f>IF(B6=C6,"T","WARN")</f>
        <v>T</v>
      </c>
    </row>
    <row r="7" spans="1:4" ht="15.75">
      <c r="A7" s="1"/>
      <c r="B7" s="5" t="str">
        <f>CHAR(9)&amp;"text"&amp;CHAR(10)</f>
        <v xml:space="preserve">	text
</v>
      </c>
    </row>
    <row r="8" spans="1:4" ht="15.75">
      <c r="A8" s="1"/>
      <c r="B8" s="5"/>
    </row>
    <row r="9" spans="1:4" ht="15.75">
      <c r="A9" s="1" t="s">
        <v>86</v>
      </c>
      <c r="B9">
        <f>CODE("A")</f>
        <v>65</v>
      </c>
      <c r="C9">
        <v>65</v>
      </c>
      <c r="D9" t="str">
        <f>IF(B9=C9,"T","WARN")</f>
        <v>T</v>
      </c>
    </row>
    <row r="10" spans="1:4" ht="15.75">
      <c r="A10" s="1"/>
    </row>
    <row r="11" spans="1:4" ht="15.75">
      <c r="A11" s="1" t="s">
        <v>87</v>
      </c>
      <c r="B11" t="str">
        <f>CONCATENATE(B12,C12)</f>
        <v>ZK</v>
      </c>
      <c r="C11" t="s">
        <v>104</v>
      </c>
      <c r="D11" t="str">
        <f>IF(B11=C11,"T","WARN")</f>
        <v>T</v>
      </c>
    </row>
    <row r="12" spans="1:4" ht="15.75">
      <c r="A12" s="1"/>
      <c r="B12" t="s">
        <v>102</v>
      </c>
      <c r="C12" t="s">
        <v>103</v>
      </c>
    </row>
    <row r="13" spans="1:4" ht="15.75">
      <c r="A13" s="1" t="s">
        <v>88</v>
      </c>
      <c r="B13" s="21" t="str">
        <f>DOLLAR(B14,2)</f>
        <v>NT$1,234.57</v>
      </c>
      <c r="C13" s="15" t="s">
        <v>392</v>
      </c>
      <c r="D13" t="str">
        <f>IF(B13=C13,"T","WARN")</f>
        <v>T</v>
      </c>
    </row>
    <row r="14" spans="1:4" ht="15.75">
      <c r="A14" s="1"/>
      <c r="B14" s="5">
        <v>1234.567</v>
      </c>
    </row>
    <row r="15" spans="1:4" ht="15.75">
      <c r="A15" s="1" t="s">
        <v>89</v>
      </c>
      <c r="B15" t="b">
        <f>EXACT(B16,B17)</f>
        <v>1</v>
      </c>
      <c r="C15" t="b">
        <v>1</v>
      </c>
      <c r="D15" t="str">
        <f>IF(B15=C15,"T","WARN")</f>
        <v>T</v>
      </c>
    </row>
    <row r="16" spans="1:4" ht="15.75">
      <c r="A16" s="1"/>
      <c r="B16" t="s">
        <v>105</v>
      </c>
    </row>
    <row r="17" spans="1:4" ht="15.75">
      <c r="A17" s="1"/>
      <c r="B17" t="s">
        <v>105</v>
      </c>
    </row>
    <row r="18" spans="1:4" ht="15.75">
      <c r="A18" s="1"/>
    </row>
    <row r="19" spans="1:4" ht="15.75">
      <c r="A19" s="1" t="s">
        <v>107</v>
      </c>
      <c r="B19">
        <f>FIND("M",B20)</f>
        <v>1</v>
      </c>
      <c r="C19">
        <v>1</v>
      </c>
      <c r="D19" t="str">
        <f>IF(B19=C19,"T","WARN")</f>
        <v>T</v>
      </c>
    </row>
    <row r="20" spans="1:4" ht="15.75">
      <c r="A20" s="1"/>
      <c r="B20" t="s">
        <v>108</v>
      </c>
    </row>
    <row r="21" spans="1:4" ht="15.75">
      <c r="A21" s="1" t="s">
        <v>106</v>
      </c>
      <c r="B21">
        <f>FINDB("M",B20)</f>
        <v>1</v>
      </c>
      <c r="C21">
        <v>1</v>
      </c>
      <c r="D21" t="s">
        <v>403</v>
      </c>
    </row>
    <row r="22" spans="1:4" ht="15.75">
      <c r="A22" s="1"/>
    </row>
    <row r="23" spans="1:4" ht="15.75">
      <c r="A23" s="1" t="s">
        <v>90</v>
      </c>
      <c r="B23" s="16" t="str">
        <f>FIXED(B24,1)</f>
        <v>1,234.6</v>
      </c>
      <c r="C23" t="s">
        <v>393</v>
      </c>
      <c r="D23" t="str">
        <f>IF(B23=C23,"T","WARN")</f>
        <v>T</v>
      </c>
    </row>
    <row r="24" spans="1:4" ht="15.75">
      <c r="A24" s="1"/>
      <c r="B24" s="5">
        <v>1234.567</v>
      </c>
    </row>
    <row r="25" spans="1:4" ht="15.75">
      <c r="A25" s="1"/>
    </row>
    <row r="26" spans="1:4" ht="15.75">
      <c r="A26" s="1" t="s">
        <v>109</v>
      </c>
      <c r="B26" t="str">
        <f>LEFT(B27,4)</f>
        <v xml:space="preserve">東 京 </v>
      </c>
      <c r="C26" t="s">
        <v>114</v>
      </c>
      <c r="D26" t="str">
        <f>IF(B26=C26,"T","WARN")</f>
        <v>T</v>
      </c>
    </row>
    <row r="27" spans="1:4" ht="15.75">
      <c r="A27" s="1"/>
      <c r="B27" s="17" t="s">
        <v>113</v>
      </c>
    </row>
    <row r="28" spans="1:4" ht="15.75">
      <c r="A28" s="1" t="s">
        <v>110</v>
      </c>
      <c r="B28" t="str">
        <f>LEFTB(B27,4)</f>
        <v xml:space="preserve">東 京 </v>
      </c>
      <c r="C28" t="s">
        <v>114</v>
      </c>
      <c r="D28" t="s">
        <v>403</v>
      </c>
    </row>
    <row r="29" spans="1:4" ht="15.75">
      <c r="A29" s="1"/>
    </row>
    <row r="30" spans="1:4" ht="15.75">
      <c r="A30" s="1" t="s">
        <v>111</v>
      </c>
      <c r="B30">
        <f>LEN(B31)</f>
        <v>11</v>
      </c>
      <c r="C30">
        <v>11</v>
      </c>
      <c r="D30" t="str">
        <f>IF(B30=C30,"T","WARN")</f>
        <v>T</v>
      </c>
    </row>
    <row r="31" spans="1:4" ht="15.75">
      <c r="A31" s="1"/>
      <c r="B31" t="s">
        <v>115</v>
      </c>
    </row>
    <row r="32" spans="1:4" ht="15.75">
      <c r="A32" s="1" t="s">
        <v>112</v>
      </c>
      <c r="B32">
        <f>LENB(B31)</f>
        <v>11</v>
      </c>
      <c r="C32">
        <v>11</v>
      </c>
      <c r="D32" t="s">
        <v>403</v>
      </c>
    </row>
    <row r="33" spans="1:4" ht="15.75">
      <c r="A33" s="1"/>
    </row>
    <row r="34" spans="1:4" ht="15.75">
      <c r="A34" s="1" t="s">
        <v>91</v>
      </c>
      <c r="B34" s="5" t="str">
        <f>LOWER(B35)</f>
        <v>e. e. cummings</v>
      </c>
      <c r="C34" t="s">
        <v>117</v>
      </c>
      <c r="D34" t="str">
        <f>IF(B34=C34,"T","WARN")</f>
        <v>T</v>
      </c>
    </row>
    <row r="35" spans="1:4" ht="15.75">
      <c r="A35" s="1"/>
      <c r="B35" s="5" t="s">
        <v>116</v>
      </c>
    </row>
    <row r="36" spans="1:4" ht="15.75">
      <c r="A36" s="1"/>
      <c r="B36" s="5"/>
    </row>
    <row r="37" spans="1:4" ht="15.75">
      <c r="A37" s="1" t="s">
        <v>122</v>
      </c>
      <c r="B37" t="str">
        <f>MID(B38,1,5)</f>
        <v>Fluid</v>
      </c>
      <c r="C37" t="s">
        <v>123</v>
      </c>
      <c r="D37" t="str">
        <f>IF(B37=C37,"T","WARN")</f>
        <v>T</v>
      </c>
    </row>
    <row r="38" spans="1:4" ht="15.75">
      <c r="A38" s="1"/>
      <c r="B38" s="5" t="s">
        <v>121</v>
      </c>
    </row>
    <row r="39" spans="1:4" ht="15.75">
      <c r="A39" s="1" t="s">
        <v>118</v>
      </c>
      <c r="B39" t="str">
        <f>MIDB(B38,1,5)</f>
        <v>Fluid</v>
      </c>
      <c r="C39" t="s">
        <v>123</v>
      </c>
      <c r="D39" t="s">
        <v>403</v>
      </c>
    </row>
    <row r="40" spans="1:4" ht="15.75">
      <c r="A40" s="1"/>
    </row>
    <row r="41" spans="1:4" ht="15.75">
      <c r="A41" s="1" t="s">
        <v>92</v>
      </c>
      <c r="B41" t="str">
        <f>PROPER(B42)</f>
        <v>This Is A Title</v>
      </c>
      <c r="C41" s="5" t="s">
        <v>127</v>
      </c>
      <c r="D41" t="str">
        <f>IF(B41=C41,"T","WARN")</f>
        <v>T</v>
      </c>
    </row>
    <row r="42" spans="1:4" ht="15.75">
      <c r="A42" s="1"/>
      <c r="B42" s="5" t="s">
        <v>126</v>
      </c>
    </row>
    <row r="43" spans="1:4" ht="15.75">
      <c r="A43" s="1"/>
    </row>
    <row r="44" spans="1:4" ht="15.75">
      <c r="A44" s="1" t="s">
        <v>119</v>
      </c>
      <c r="B44" t="str">
        <f>REPLACE(B45,6,5,"*")</f>
        <v>abcde*k</v>
      </c>
      <c r="C44" s="5" t="s">
        <v>129</v>
      </c>
      <c r="D44" t="str">
        <f>IF(B44=C44,"T","WARN")</f>
        <v>T</v>
      </c>
    </row>
    <row r="45" spans="1:4" ht="15.75">
      <c r="A45" s="1"/>
      <c r="B45" s="5" t="s">
        <v>128</v>
      </c>
    </row>
    <row r="46" spans="1:4" ht="15.75">
      <c r="A46" s="1" t="s">
        <v>120</v>
      </c>
      <c r="B46" t="str">
        <f>REPLACEB(B45,6,5,"*")</f>
        <v>abcde*k</v>
      </c>
      <c r="C46" s="5" t="s">
        <v>129</v>
      </c>
      <c r="D46" t="s">
        <v>403</v>
      </c>
    </row>
    <row r="47" spans="1:4" ht="15.75">
      <c r="A47" s="1"/>
    </row>
    <row r="48" spans="1:4" ht="15.75">
      <c r="A48" s="1" t="s">
        <v>93</v>
      </c>
      <c r="B48" t="str">
        <f>REPT("*-", 3)</f>
        <v>*-*-*-</v>
      </c>
      <c r="C48" s="5" t="s">
        <v>130</v>
      </c>
      <c r="D48" t="str">
        <f>IF(B48=C48,"T","WARN")</f>
        <v>T</v>
      </c>
    </row>
    <row r="49" spans="1:4" ht="15.75">
      <c r="A49" s="1"/>
    </row>
    <row r="50" spans="1:4" ht="15.75">
      <c r="A50" s="1" t="s">
        <v>131</v>
      </c>
      <c r="B50" t="str">
        <f>RIGHT(B51,5)</f>
        <v>Price</v>
      </c>
      <c r="C50" t="s">
        <v>133</v>
      </c>
      <c r="D50" t="str">
        <f>IF(B50=C50,"T","WARN")</f>
        <v>T</v>
      </c>
    </row>
    <row r="51" spans="1:4" ht="15.75">
      <c r="A51" s="1"/>
      <c r="B51" s="5" t="s">
        <v>99</v>
      </c>
    </row>
    <row r="52" spans="1:4" ht="15.75">
      <c r="A52" s="1" t="s">
        <v>132</v>
      </c>
      <c r="B52" t="str">
        <f>RIGHTB(B51,5)</f>
        <v>Price</v>
      </c>
      <c r="C52" t="s">
        <v>133</v>
      </c>
      <c r="D52" t="s">
        <v>403</v>
      </c>
    </row>
    <row r="53" spans="1:4" ht="15.75">
      <c r="A53" s="1"/>
    </row>
    <row r="54" spans="1:4" ht="15.75">
      <c r="A54" s="1" t="s">
        <v>134</v>
      </c>
      <c r="B54">
        <f>SEARCH("Price",B55)</f>
        <v>6</v>
      </c>
      <c r="C54">
        <v>6</v>
      </c>
      <c r="D54" t="str">
        <f>IF(B54=C54,"T","WARN")</f>
        <v>T</v>
      </c>
    </row>
    <row r="55" spans="1:4" ht="15.75">
      <c r="A55" s="1"/>
      <c r="B55" s="5" t="s">
        <v>99</v>
      </c>
    </row>
    <row r="56" spans="1:4" ht="15.75">
      <c r="A56" s="1" t="s">
        <v>135</v>
      </c>
      <c r="B56">
        <f>SEARCHB("Price",B55)</f>
        <v>6</v>
      </c>
      <c r="C56">
        <v>6</v>
      </c>
      <c r="D56" t="s">
        <v>403</v>
      </c>
    </row>
    <row r="57" spans="1:4" ht="15.75">
      <c r="A57" s="1"/>
    </row>
    <row r="58" spans="1:4" ht="15.75">
      <c r="A58" s="1" t="s">
        <v>94</v>
      </c>
      <c r="B58" t="str">
        <f>SUBSTITUTE(B59,"1","2",1)</f>
        <v>Quarter 2, 2008</v>
      </c>
      <c r="C58" t="s">
        <v>137</v>
      </c>
      <c r="D58" t="str">
        <f>IF(B58=C58,"T","WARN")</f>
        <v>T</v>
      </c>
    </row>
    <row r="59" spans="1:4" ht="15.75">
      <c r="A59" s="1"/>
      <c r="B59" t="s">
        <v>136</v>
      </c>
    </row>
    <row r="60" spans="1:4" ht="15.75">
      <c r="A60" s="1"/>
    </row>
    <row r="61" spans="1:4" ht="15.75">
      <c r="A61" s="1" t="s">
        <v>95</v>
      </c>
      <c r="B61" t="str">
        <f>T(B62)</f>
        <v>Sale Price</v>
      </c>
      <c r="C61" s="5" t="s">
        <v>99</v>
      </c>
      <c r="D61" t="str">
        <f>IF(B61=C61,"T","WARN")</f>
        <v>T</v>
      </c>
    </row>
    <row r="62" spans="1:4" ht="15.75">
      <c r="A62" s="1"/>
      <c r="B62" s="5" t="s">
        <v>99</v>
      </c>
    </row>
    <row r="63" spans="1:4" ht="15.75">
      <c r="A63" s="1"/>
    </row>
    <row r="64" spans="1:4" ht="15.75">
      <c r="A64" s="1" t="s">
        <v>96</v>
      </c>
      <c r="B64" t="str">
        <f>"Date: " &amp; TEXT(B65,"yyyy-mm-dd")</f>
        <v>Date: 2007-08-06</v>
      </c>
      <c r="C64" t="s">
        <v>138</v>
      </c>
      <c r="D64" t="str">
        <f>IF(B64=C64,"T","WARN")</f>
        <v>T</v>
      </c>
    </row>
    <row r="65" spans="1:4" ht="15.75">
      <c r="A65" s="1"/>
      <c r="B65">
        <v>39300.625</v>
      </c>
    </row>
    <row r="66" spans="1:4" ht="15.75">
      <c r="A66" s="1"/>
    </row>
    <row r="67" spans="1:4" ht="15.75">
      <c r="A67" s="1" t="s">
        <v>97</v>
      </c>
      <c r="B67" t="str">
        <f>TRIM(" revenue in quarter 1 ")</f>
        <v>revenue in quarter 1</v>
      </c>
      <c r="C67" t="s">
        <v>139</v>
      </c>
      <c r="D67" t="str">
        <f>IF(B67=C67,"T","WARN")</f>
        <v>T</v>
      </c>
    </row>
    <row r="68" spans="1:4" ht="15.75">
      <c r="A68" s="1"/>
    </row>
    <row r="69" spans="1:4" ht="15.75">
      <c r="A69" s="1" t="s">
        <v>98</v>
      </c>
      <c r="B69" t="str">
        <f>UPPER(B70)</f>
        <v>TOTAL</v>
      </c>
      <c r="C69" t="s">
        <v>141</v>
      </c>
      <c r="D69" t="str">
        <f>IF(B69=C69,"T","WARN")</f>
        <v>T</v>
      </c>
    </row>
    <row r="70" spans="1:4" ht="15.75">
      <c r="A70" s="1"/>
      <c r="B70" s="5" t="s">
        <v>140</v>
      </c>
    </row>
    <row r="71" spans="1:4" ht="15.75">
      <c r="A71" s="1"/>
      <c r="B71" s="5"/>
    </row>
    <row r="72" spans="1:4" ht="15.75">
      <c r="A72" s="1" t="s">
        <v>142</v>
      </c>
      <c r="B72" s="21">
        <f>VALUE("1,000")</f>
        <v>1000</v>
      </c>
      <c r="C72">
        <v>1000</v>
      </c>
      <c r="D72" t="str">
        <f t="shared" ref="D72" si="0">IF(B72=C72,"T","WARN")</f>
        <v>T</v>
      </c>
    </row>
    <row r="73" spans="1:4" ht="15.75">
      <c r="A73" s="1"/>
      <c r="B73">
        <f>VALUE("16:48:00")</f>
        <v>0.70000000000000007</v>
      </c>
      <c r="C73">
        <v>0.7</v>
      </c>
      <c r="D73" t="s">
        <v>420</v>
      </c>
    </row>
    <row r="78" spans="1:4">
      <c r="B78" s="11"/>
    </row>
    <row r="79" spans="1:4" ht="15.75">
      <c r="A79" s="1"/>
    </row>
    <row r="80" spans="1:4" ht="15.75">
      <c r="A80" s="1"/>
      <c r="B80" s="5"/>
    </row>
    <row r="81" spans="1:2" ht="15.75">
      <c r="A81" s="1"/>
    </row>
    <row r="82" spans="1:2" ht="15.75">
      <c r="A82" s="1"/>
      <c r="B82" s="5"/>
    </row>
    <row r="83" spans="1:2" ht="15.75">
      <c r="A83" s="1"/>
    </row>
    <row r="84" spans="1:2" ht="15.75">
      <c r="A84" s="1"/>
      <c r="B84" s="8"/>
    </row>
    <row r="85" spans="1:2" ht="15.75">
      <c r="A85" s="1"/>
    </row>
    <row r="86" spans="1:2" ht="15.75">
      <c r="A86" s="1"/>
      <c r="B86" s="5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  <c r="B108" s="5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5"/>
    </row>
    <row r="113" spans="1:2" ht="15.75">
      <c r="A113" s="1"/>
    </row>
    <row r="114" spans="1:2" ht="15.75">
      <c r="A114" s="1"/>
      <c r="B114" s="5"/>
    </row>
    <row r="115" spans="1:2" ht="15.75">
      <c r="A115" s="1"/>
    </row>
    <row r="116" spans="1:2" ht="15.75">
      <c r="A116" s="1"/>
      <c r="B116" s="8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  <c r="B125" s="5"/>
    </row>
    <row r="126" spans="1:2" ht="15.75">
      <c r="A126" s="1"/>
    </row>
    <row r="127" spans="1:2" ht="15.75">
      <c r="A127" s="1"/>
      <c r="B127" s="11"/>
    </row>
    <row r="128" spans="1:2" ht="15.75">
      <c r="A128" s="1"/>
    </row>
    <row r="129" spans="1:2" ht="15.75">
      <c r="A129" s="1"/>
      <c r="B129" s="9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12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  <c r="B154" s="5"/>
    </row>
    <row r="155" spans="1:2" ht="15.75">
      <c r="A155" s="1"/>
    </row>
    <row r="156" spans="1:2" ht="15.75">
      <c r="A156" s="1"/>
      <c r="B156" s="1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  <c r="B187" s="5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  <c r="B217" s="11"/>
    </row>
    <row r="218" spans="1:2" ht="15.75">
      <c r="A218" s="1"/>
    </row>
    <row r="219" spans="1:2" ht="15.75">
      <c r="A219" s="1"/>
      <c r="B219" s="11"/>
    </row>
    <row r="220" spans="1:2" ht="15.75">
      <c r="A220" s="1"/>
      <c r="B220" s="11"/>
    </row>
    <row r="221" spans="1:2" ht="15.75">
      <c r="A221" s="1"/>
      <c r="B221" s="5"/>
    </row>
    <row r="223" spans="1:2" ht="15.75">
      <c r="A223" s="1"/>
    </row>
  </sheetData>
  <sortState ref="A5:A26">
    <sortCondition ref="A5"/>
  </sortState>
  <conditionalFormatting sqref="D3:D73">
    <cfRule type="cellIs" dxfId="195" priority="9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1"/>
  <sheetViews>
    <sheetView workbookViewId="0">
      <selection activeCell="B13" sqref="B1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163</v>
      </c>
      <c r="B1" s="1" t="s">
        <v>64</v>
      </c>
      <c r="C1" s="1" t="s">
        <v>63</v>
      </c>
    </row>
    <row r="2" spans="1:4" ht="25.5" customHeight="1"/>
    <row r="3" spans="1:4" ht="15.75">
      <c r="A3" s="1" t="s">
        <v>143</v>
      </c>
      <c r="B3">
        <f>ERROR.TYPE(B4)</f>
        <v>1</v>
      </c>
      <c r="C3">
        <v>1</v>
      </c>
      <c r="D3" t="str">
        <f>IF(B3=C3,"T","WARN")</f>
        <v>T</v>
      </c>
    </row>
    <row r="4" spans="1:4" ht="15.75">
      <c r="A4" s="1"/>
      <c r="B4" t="e">
        <v>#NULL!</v>
      </c>
    </row>
    <row r="5" spans="1:4" ht="15.75">
      <c r="A5" s="1"/>
    </row>
    <row r="6" spans="1:4" ht="15.75">
      <c r="A6" s="1" t="s">
        <v>144</v>
      </c>
      <c r="B6" s="5" t="str">
        <f ca="1">INFO("release")</f>
        <v>12.0</v>
      </c>
      <c r="C6" t="s">
        <v>395</v>
      </c>
      <c r="D6" t="s">
        <v>403</v>
      </c>
    </row>
    <row r="7" spans="1:4" ht="15.75">
      <c r="A7" s="1"/>
    </row>
    <row r="8" spans="1:4" ht="15.75">
      <c r="A8" s="1" t="s">
        <v>145</v>
      </c>
      <c r="B8" s="5" t="b">
        <f>ISBLANK(B9)</f>
        <v>0</v>
      </c>
      <c r="C8" t="b">
        <v>0</v>
      </c>
      <c r="D8" t="str">
        <f>IF(B8=C8,"T","WARN")</f>
        <v>T</v>
      </c>
    </row>
    <row r="9" spans="1:4" ht="15.75">
      <c r="A9" s="1"/>
      <c r="B9" s="5" t="s">
        <v>160</v>
      </c>
    </row>
    <row r="10" spans="1:4" ht="15.75">
      <c r="A10" s="1" t="s">
        <v>146</v>
      </c>
      <c r="B10" s="5" t="b">
        <f>ISERR(B11)</f>
        <v>1</v>
      </c>
      <c r="C10" t="b">
        <v>1</v>
      </c>
      <c r="D10" t="str">
        <f>IF(B10=C10,"T","WARN")</f>
        <v>T</v>
      </c>
    </row>
    <row r="11" spans="1:4" ht="15.75">
      <c r="A11" s="1"/>
      <c r="B11" s="5" t="e">
        <v>#VALUE!</v>
      </c>
    </row>
    <row r="12" spans="1:4" ht="15.75">
      <c r="A12" s="1"/>
      <c r="B12" s="5" t="b">
        <f ca="1">ISERR(B13)</f>
        <v>1</v>
      </c>
      <c r="C12" t="b">
        <v>1</v>
      </c>
      <c r="D12" t="str">
        <f t="shared" ref="D12" ca="1" si="0">IF(B12=C12,"T","WARN")</f>
        <v>T</v>
      </c>
    </row>
    <row r="13" spans="1:4" ht="15.75">
      <c r="A13" s="1"/>
      <c r="B13" s="5" t="e">
        <f ca="1">abc()</f>
        <v>#NAME?</v>
      </c>
    </row>
    <row r="14" spans="1:4" ht="15.75">
      <c r="A14" s="1"/>
      <c r="B14" s="5"/>
    </row>
    <row r="15" spans="1:4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4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394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 D6 D15 D18 D21 D23 D26 D29 D31 D8:D12">
    <cfRule type="cellIs" dxfId="194" priority="5" operator="equal">
      <formula>"WARN"</formula>
    </cfRule>
  </conditionalFormatting>
  <conditionalFormatting sqref="D33 D35 D38 D41 D43">
    <cfRule type="cellIs" dxfId="193" priority="4" operator="equal">
      <formula>"WARN"</formula>
    </cfRule>
  </conditionalFormatting>
  <conditionalFormatting sqref="D6">
    <cfRule type="cellIs" dxfId="192" priority="3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484"/>
  <sheetViews>
    <sheetView topLeftCell="A16" workbookViewId="0">
      <selection activeCell="A29" sqref="A29"/>
    </sheetView>
  </sheetViews>
  <sheetFormatPr defaultRowHeight="15"/>
  <cols>
    <col min="1" max="1" width="37.42578125" customWidth="1"/>
    <col min="2" max="2" width="26.140625" customWidth="1"/>
    <col min="3" max="3" width="24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18">
        <f>DATE(B4,C4,D4)</f>
        <v>39448</v>
      </c>
      <c r="C3" s="18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>
        <f>DATEVALUE("2008/1/1")</f>
        <v>39448</v>
      </c>
      <c r="C6">
        <v>39448</v>
      </c>
      <c r="D6" t="str">
        <f>IF(B6=C6,"T","WARN")</f>
        <v>T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18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19">
        <v>39477</v>
      </c>
      <c r="C11" s="19">
        <v>39479</v>
      </c>
    </row>
    <row r="12" spans="1:4" ht="15.75">
      <c r="A12" s="1"/>
    </row>
    <row r="13" spans="1:4" ht="15.75">
      <c r="A13" s="1" t="s">
        <v>169</v>
      </c>
      <c r="B13">
        <f>HOUR(B14)</f>
        <v>3</v>
      </c>
      <c r="C13">
        <v>3</v>
      </c>
      <c r="D13" t="str">
        <f>IF(B13=C13,"T","WARN")</f>
        <v>T</v>
      </c>
    </row>
    <row r="14" spans="1:4" ht="15.75">
      <c r="A14" s="1"/>
      <c r="B14" s="33">
        <v>0.14618055555555556</v>
      </c>
    </row>
    <row r="15" spans="1:4" ht="15.75">
      <c r="A15" s="1" t="s">
        <v>170</v>
      </c>
      <c r="B15">
        <f>MINUTE(B16)</f>
        <v>48</v>
      </c>
      <c r="C15">
        <v>48</v>
      </c>
      <c r="D15" t="str">
        <f>IF(B15=C15,"T","WARN")</f>
        <v>T</v>
      </c>
    </row>
    <row r="16" spans="1:4" ht="15.75">
      <c r="A16" s="1"/>
      <c r="B16" s="33">
        <v>0.70000000000000007</v>
      </c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  <c r="B20">
        <f>NETWORKDAYS(DATE(2008,10,1), DATE(2009,3,1))</f>
        <v>108</v>
      </c>
      <c r="C20">
        <v>108</v>
      </c>
      <c r="D20" t="str">
        <f t="shared" ref="D20:D29" si="0">IF(B20=C20,"T","WARN")</f>
        <v>T</v>
      </c>
    </row>
    <row r="21" spans="1:4" ht="15.75">
      <c r="A21" s="1" t="s">
        <v>406</v>
      </c>
      <c r="B21">
        <f>NETWORKDAYS(DATE(2013,6,1), DATE(2013,6,9))</f>
        <v>5</v>
      </c>
      <c r="C21">
        <v>5</v>
      </c>
      <c r="D21" t="str">
        <f t="shared" si="0"/>
        <v>T</v>
      </c>
    </row>
    <row r="22" spans="1:4" ht="15.75">
      <c r="A22" s="1" t="s">
        <v>411</v>
      </c>
      <c r="B22">
        <f>NETWORKDAYS(DATE(2013,6,1), DATE(2013,6,1))</f>
        <v>0</v>
      </c>
      <c r="C22">
        <v>0</v>
      </c>
      <c r="D22" t="str">
        <f t="shared" si="0"/>
        <v>T</v>
      </c>
    </row>
    <row r="23" spans="1:4" ht="15.75">
      <c r="A23" s="1"/>
      <c r="B23">
        <f>NETWORKDAYS(DATE(2013,6,1), DATE(2013,6,2))</f>
        <v>0</v>
      </c>
      <c r="C23">
        <v>0</v>
      </c>
      <c r="D23" t="str">
        <f t="shared" si="0"/>
        <v>T</v>
      </c>
    </row>
    <row r="24" spans="1:4" ht="15.75">
      <c r="A24" s="1" t="s">
        <v>412</v>
      </c>
      <c r="B24">
        <f>NETWORKDAYS(DATE(2008,10,1), DATE(2009,3,1), DATE(2008,11,26))</f>
        <v>107</v>
      </c>
      <c r="C24">
        <v>107</v>
      </c>
      <c r="D24" t="str">
        <f t="shared" si="0"/>
        <v>T</v>
      </c>
    </row>
    <row r="25" spans="1:4" ht="15.75">
      <c r="A25" s="1"/>
      <c r="B25">
        <f>NETWORKDAYS(DATE(2013,6,1), DATE(2013,6,4), DATE(2013,6,3))</f>
        <v>1</v>
      </c>
      <c r="C25">
        <v>1</v>
      </c>
      <c r="D25" t="str">
        <f t="shared" si="0"/>
        <v>T</v>
      </c>
    </row>
    <row r="26" spans="1:4" ht="15.75">
      <c r="A26" s="1" t="s">
        <v>419</v>
      </c>
      <c r="B26">
        <f>NETWORKDAYS(DATE(2013,6,28), DATE(2013,6,28))</f>
        <v>1</v>
      </c>
      <c r="C26">
        <v>1</v>
      </c>
      <c r="D26" t="str">
        <f t="shared" si="0"/>
        <v>T</v>
      </c>
    </row>
    <row r="27" spans="1:4" ht="15.75">
      <c r="A27" s="1" t="s">
        <v>418</v>
      </c>
      <c r="B27">
        <f>NETWORKDAYS(DATE(2013,6,2), DATE(2013,6,1))</f>
        <v>0</v>
      </c>
      <c r="C27">
        <v>0</v>
      </c>
      <c r="D27" t="s">
        <v>420</v>
      </c>
    </row>
    <row r="28" spans="1:4" ht="15.75">
      <c r="A28" s="1" t="s">
        <v>415</v>
      </c>
      <c r="B28">
        <f>NETWORKDAYS(E28,F28)</f>
        <v>0</v>
      </c>
      <c r="C28">
        <v>0</v>
      </c>
      <c r="D28" t="str">
        <f t="shared" si="0"/>
        <v>T</v>
      </c>
    </row>
    <row r="29" spans="1:4" ht="15.75">
      <c r="A29" s="1" t="s">
        <v>421</v>
      </c>
      <c r="B29">
        <f>NETWORKDAYS(B30,C30)</f>
        <v>1</v>
      </c>
      <c r="C29">
        <v>2</v>
      </c>
      <c r="D29" t="str">
        <f t="shared" si="0"/>
        <v>WARN</v>
      </c>
    </row>
    <row r="30" spans="1:4">
      <c r="B30" s="18"/>
      <c r="C30" s="18">
        <v>2</v>
      </c>
    </row>
    <row r="31" spans="1:4" ht="15.75">
      <c r="A31" s="1" t="s">
        <v>416</v>
      </c>
      <c r="B31">
        <f>NETWORKDAYS(C30, B30)</f>
        <v>-1</v>
      </c>
      <c r="C31" s="21">
        <v>-1</v>
      </c>
    </row>
    <row r="32" spans="1:4" ht="15.75">
      <c r="A32" s="1" t="s">
        <v>417</v>
      </c>
      <c r="B32">
        <f>NETWORKDAYS(DATE(1900,1,1),DATE(1900,1,1))</f>
        <v>0</v>
      </c>
      <c r="C32" s="21">
        <v>0</v>
      </c>
    </row>
    <row r="33" spans="1:4" ht="15.75">
      <c r="A33" s="1"/>
    </row>
    <row r="34" spans="1:4" ht="15.75">
      <c r="A34" s="1" t="s">
        <v>172</v>
      </c>
      <c r="B34" s="20">
        <f ca="1">NOW()</f>
        <v>41453.447021180553</v>
      </c>
    </row>
    <row r="35" spans="1:4" ht="15.75">
      <c r="A35" s="1"/>
    </row>
    <row r="36" spans="1:4" ht="15.75">
      <c r="A36" s="1" t="s">
        <v>173</v>
      </c>
      <c r="B36">
        <f>SECOND(B37)</f>
        <v>18</v>
      </c>
      <c r="C36">
        <v>18</v>
      </c>
      <c r="D36" t="str">
        <f>IF(B36=C36,"T","WARN")</f>
        <v>T</v>
      </c>
    </row>
    <row r="37" spans="1:4" ht="15.75">
      <c r="A37" s="1"/>
      <c r="B37" s="33">
        <v>0.70020833333333332</v>
      </c>
    </row>
    <row r="38" spans="1:4" ht="15.75">
      <c r="A38" s="1" t="s">
        <v>174</v>
      </c>
      <c r="B38" s="16">
        <f>TIME(12,0,0)</f>
        <v>0.5</v>
      </c>
      <c r="C38">
        <v>0.5</v>
      </c>
      <c r="D38" t="str">
        <f>IF(B38=C38,"T","WARN")</f>
        <v>T</v>
      </c>
    </row>
    <row r="39" spans="1:4" ht="15.75">
      <c r="A39" s="1"/>
    </row>
    <row r="40" spans="1:4" ht="15.75">
      <c r="A40" s="1" t="s">
        <v>175</v>
      </c>
      <c r="B40" s="5">
        <f>TIMEVALUE("2:24 AM")</f>
        <v>9.9999999999999992E-2</v>
      </c>
      <c r="C40">
        <v>0.1</v>
      </c>
      <c r="D40" t="s">
        <v>403</v>
      </c>
    </row>
    <row r="41" spans="1:4" ht="15.75">
      <c r="A41" s="1"/>
    </row>
    <row r="42" spans="1:4" ht="15.75">
      <c r="A42" s="1" t="s">
        <v>176</v>
      </c>
      <c r="B42" s="19">
        <f ca="1">TODAY()</f>
        <v>41453</v>
      </c>
    </row>
    <row r="43" spans="1:4" ht="15.75">
      <c r="A43" s="1"/>
    </row>
    <row r="44" spans="1:4" ht="15.75">
      <c r="A44" s="1" t="s">
        <v>177</v>
      </c>
      <c r="B44">
        <f>WEEKDAY(DATE(2008,2,14))</f>
        <v>5</v>
      </c>
      <c r="C44">
        <v>5</v>
      </c>
      <c r="D44" t="str">
        <f>IF(B44=C44,"T","WARN")</f>
        <v>T</v>
      </c>
    </row>
    <row r="45" spans="1:4" ht="15.75">
      <c r="A45" s="1"/>
    </row>
    <row r="46" spans="1:4" ht="15.75">
      <c r="A46" s="1" t="s">
        <v>183</v>
      </c>
      <c r="B46" s="18">
        <f>WORKDAY(DATE(2013,4,1),4)</f>
        <v>41369</v>
      </c>
      <c r="C46" s="18">
        <v>41369</v>
      </c>
      <c r="D46" t="str">
        <f t="shared" ref="D46:D58" si="1">IF(B46=C46,"T","WARN")</f>
        <v>T</v>
      </c>
    </row>
    <row r="47" spans="1:4" ht="15.75">
      <c r="A47" s="1"/>
      <c r="B47" s="18">
        <f>WORKDAY(DATE(2008,10,1),151)</f>
        <v>39933</v>
      </c>
      <c r="C47" s="18">
        <v>39933</v>
      </c>
      <c r="D47" t="str">
        <f t="shared" si="1"/>
        <v>T</v>
      </c>
    </row>
    <row r="48" spans="1:4" ht="15.75">
      <c r="A48" s="1" t="s">
        <v>406</v>
      </c>
      <c r="B48" s="18">
        <f>WORKDAY(DATE(2013,6,1),1)</f>
        <v>41428</v>
      </c>
      <c r="C48" s="18">
        <v>41428</v>
      </c>
      <c r="D48" t="str">
        <f t="shared" si="1"/>
        <v>T</v>
      </c>
    </row>
    <row r="49" spans="1:4" ht="15.75">
      <c r="A49" s="1"/>
      <c r="B49" s="18">
        <f>WORKDAY(DATE(2013,6,1), -1)</f>
        <v>41425</v>
      </c>
      <c r="C49" s="18">
        <v>41425</v>
      </c>
      <c r="D49" t="str">
        <f t="shared" si="1"/>
        <v>T</v>
      </c>
    </row>
    <row r="50" spans="1:4" ht="15.75">
      <c r="A50" s="1" t="s">
        <v>407</v>
      </c>
      <c r="B50" s="18">
        <f>WORKDAY(DATE(2013,4,1),5)</f>
        <v>41372</v>
      </c>
      <c r="C50" s="18">
        <v>41372</v>
      </c>
      <c r="D50" t="str">
        <f t="shared" si="1"/>
        <v>T</v>
      </c>
    </row>
    <row r="51" spans="1:4" ht="15.75">
      <c r="A51" s="1"/>
      <c r="B51" s="18">
        <f>WORKDAY(DATE(2013,4,5),1)</f>
        <v>41372</v>
      </c>
      <c r="C51" s="18">
        <v>41372</v>
      </c>
      <c r="D51" t="str">
        <f t="shared" si="1"/>
        <v>T</v>
      </c>
    </row>
    <row r="52" spans="1:4" ht="15.75">
      <c r="A52" s="1" t="s">
        <v>408</v>
      </c>
      <c r="B52" s="18">
        <f>WORKDAY(DATE(2013,4,1),-1)</f>
        <v>41362</v>
      </c>
      <c r="C52" s="18">
        <v>41362</v>
      </c>
      <c r="D52" t="str">
        <f t="shared" si="1"/>
        <v>T</v>
      </c>
    </row>
    <row r="53" spans="1:4" ht="15.75">
      <c r="A53" s="1"/>
      <c r="B53" s="18">
        <f>WORKDAY(DATE(2013,6,7),-5)</f>
        <v>41425</v>
      </c>
      <c r="C53" s="18">
        <v>41425</v>
      </c>
      <c r="D53" t="str">
        <f t="shared" si="1"/>
        <v>T</v>
      </c>
    </row>
    <row r="54" spans="1:4" ht="15.75">
      <c r="A54" s="1" t="s">
        <v>409</v>
      </c>
      <c r="B54" s="18">
        <f>WORKDAY(DATE(2013,4,1),0)</f>
        <v>41365</v>
      </c>
      <c r="C54" s="18">
        <v>41365</v>
      </c>
      <c r="D54" t="str">
        <f t="shared" si="1"/>
        <v>T</v>
      </c>
    </row>
    <row r="55" spans="1:4" ht="15.75">
      <c r="A55" s="1"/>
      <c r="B55" s="18">
        <f>WORKDAY(DATE(2013,6,1),0)</f>
        <v>41426</v>
      </c>
      <c r="C55" s="18">
        <v>41426</v>
      </c>
      <c r="D55" t="str">
        <f t="shared" si="1"/>
        <v>T</v>
      </c>
    </row>
    <row r="56" spans="1:4" ht="15.75">
      <c r="A56" s="1" t="s">
        <v>410</v>
      </c>
      <c r="B56" s="18">
        <f>WORKDAY(DATE(2013,4,1),3, DATE(2013,4,2))</f>
        <v>41369</v>
      </c>
      <c r="C56" s="18">
        <v>41369</v>
      </c>
      <c r="D56" t="str">
        <f t="shared" si="1"/>
        <v>T</v>
      </c>
    </row>
    <row r="57" spans="1:4" ht="15.75">
      <c r="A57" s="1"/>
      <c r="B57" s="18">
        <f>WORKDAY(DATE(2013,4,7), -3,DATE(2013,4,2))</f>
        <v>41367</v>
      </c>
      <c r="C57" s="18">
        <v>41367</v>
      </c>
      <c r="D57" t="str">
        <f t="shared" si="1"/>
        <v>T</v>
      </c>
    </row>
    <row r="58" spans="1:4" ht="15.75">
      <c r="A58" s="1"/>
      <c r="B58" s="18">
        <f>WORKDAY(DATE(2013,4,3), -1,DATE(2013,4,2))</f>
        <v>41365</v>
      </c>
      <c r="C58" s="18">
        <v>41365</v>
      </c>
      <c r="D58" t="str">
        <f t="shared" si="1"/>
        <v>T</v>
      </c>
    </row>
    <row r="59" spans="1:4" ht="15.75">
      <c r="A59" s="1"/>
    </row>
    <row r="60" spans="1:4" ht="15.75">
      <c r="A60" s="1"/>
    </row>
    <row r="61" spans="1:4" ht="15.75">
      <c r="A61" s="1" t="s">
        <v>178</v>
      </c>
      <c r="B61">
        <f>YEAR(DATE(2008,1,1))</f>
        <v>2008</v>
      </c>
      <c r="C61">
        <v>2008</v>
      </c>
      <c r="D61" t="str">
        <f>IF(B61=C61,"T","WARN")</f>
        <v>T</v>
      </c>
    </row>
    <row r="62" spans="1:4" ht="15.75">
      <c r="A62" s="1"/>
    </row>
    <row r="63" spans="1:4" ht="15.75">
      <c r="A63" s="1" t="s">
        <v>184</v>
      </c>
      <c r="B63" s="22">
        <f>YEARFRAC(DATE(2012,1,1),DATE(2012,7,30))</f>
        <v>0.5805555555555556</v>
      </c>
      <c r="C63" s="22">
        <v>0.5805555555555556</v>
      </c>
      <c r="D63" t="str">
        <f>IF(B63=C63,"T","WARN")</f>
        <v>T</v>
      </c>
    </row>
    <row r="64" spans="1:4" ht="15.75">
      <c r="A64" s="1"/>
    </row>
    <row r="65" spans="1:4">
      <c r="A65" s="3" t="s">
        <v>413</v>
      </c>
      <c r="C65" s="21">
        <v>36</v>
      </c>
      <c r="D65" t="s">
        <v>414</v>
      </c>
    </row>
    <row r="66" spans="1:4" ht="15.75">
      <c r="A66" s="1"/>
    </row>
    <row r="67" spans="1:4" ht="15.75">
      <c r="A67" s="1"/>
    </row>
    <row r="68" spans="1:4">
      <c r="D68" s="18"/>
    </row>
    <row r="69" spans="1:4" ht="15.75">
      <c r="A69" s="1"/>
    </row>
    <row r="70" spans="1:4" ht="15.75">
      <c r="A70" s="1"/>
    </row>
    <row r="71" spans="1:4" ht="15.75">
      <c r="A71" s="1"/>
    </row>
    <row r="72" spans="1:4" ht="15.75">
      <c r="A72" s="1"/>
    </row>
    <row r="73" spans="1:4" ht="15.75">
      <c r="A73" s="1"/>
    </row>
    <row r="74" spans="1:4" ht="15.75">
      <c r="A74" s="1"/>
    </row>
    <row r="78" spans="1:4" ht="15.75">
      <c r="A78" s="1"/>
    </row>
    <row r="79" spans="1:4" ht="15.75">
      <c r="A79" s="1"/>
    </row>
    <row r="80" spans="1:4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5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  <c r="B91" s="5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8"/>
    </row>
    <row r="96" spans="1:2" ht="15.75">
      <c r="A96" s="1"/>
    </row>
    <row r="97" spans="1:2" ht="15.75">
      <c r="A97" s="1"/>
      <c r="B97" s="5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>
      <c r="B123" s="5"/>
    </row>
    <row r="125" spans="1:2">
      <c r="B125" s="5"/>
    </row>
    <row r="127" spans="1:2" ht="15.75">
      <c r="A127" s="1"/>
      <c r="B127" s="8"/>
    </row>
    <row r="128" spans="1:2" ht="15.75">
      <c r="A128" s="1"/>
    </row>
    <row r="129" spans="1:2" ht="15.75">
      <c r="A129" s="1"/>
      <c r="B129" s="5"/>
    </row>
    <row r="130" spans="1:2" ht="15.75">
      <c r="A130" s="1"/>
    </row>
    <row r="131" spans="1:2" ht="15.75">
      <c r="A131" s="1"/>
      <c r="B131" s="5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11"/>
    </row>
    <row r="139" spans="1:2" ht="15.75">
      <c r="A139" s="1"/>
    </row>
    <row r="140" spans="1:2" ht="15.75">
      <c r="A140" s="1"/>
      <c r="B140" s="9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5"/>
    </row>
    <row r="145" spans="1:2" ht="15.75">
      <c r="A145" s="1"/>
    </row>
    <row r="146" spans="1:2" ht="15.75">
      <c r="A146" s="1"/>
      <c r="B146" s="5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  <c r="B152" s="8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2" ht="15.75">
      <c r="A161" s="1"/>
      <c r="B161" s="12"/>
    </row>
    <row r="162" spans="1:2" ht="15.75">
      <c r="A162" s="1"/>
    </row>
    <row r="163" spans="1:2" ht="15.75">
      <c r="A163" s="1"/>
      <c r="B163" s="8"/>
    </row>
    <row r="164" spans="1:2" ht="15.75">
      <c r="A164" s="1"/>
    </row>
    <row r="165" spans="1:2" ht="15.75">
      <c r="A165" s="1"/>
      <c r="B165" s="5"/>
    </row>
    <row r="166" spans="1:2" ht="15.75">
      <c r="A166" s="1"/>
    </row>
    <row r="167" spans="1:2" ht="15.75">
      <c r="A167" s="1"/>
      <c r="B167" s="1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 ht="15.75">
      <c r="A175" s="1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  <c r="B198" s="5"/>
    </row>
    <row r="199" spans="1:2" ht="15.75">
      <c r="A199" s="1"/>
    </row>
    <row r="200" spans="1:2" ht="15.75">
      <c r="A200" s="1"/>
    </row>
    <row r="201" spans="1:2" ht="15.75">
      <c r="A201" s="1"/>
      <c r="B201" s="5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  <c r="B228" s="11"/>
    </row>
    <row r="229" spans="1:2" ht="15.75">
      <c r="A229" s="1"/>
    </row>
    <row r="230" spans="1:2" ht="15.75">
      <c r="A230" s="1"/>
      <c r="B230" s="11"/>
    </row>
    <row r="231" spans="1:2" ht="15.75">
      <c r="A231" s="1"/>
      <c r="B231" s="11"/>
    </row>
    <row r="232" spans="1:2" ht="15.75">
      <c r="A232" s="1"/>
      <c r="B232" s="5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5" spans="1:1" ht="15.75">
      <c r="A255" s="1"/>
    </row>
    <row r="484" spans="1:1">
      <c r="A484" s="3" t="s">
        <v>0</v>
      </c>
    </row>
  </sheetData>
  <sortState ref="A3:A29">
    <sortCondition ref="A3"/>
  </sortState>
  <conditionalFormatting sqref="D3 D6 D8 D10 D13 D15 D17 D36 D38 D44 D61 D40 D63:D65 D46:D58 D19:D32">
    <cfRule type="cellIs" dxfId="191" priority="5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536"/>
  <sheetViews>
    <sheetView topLeftCell="A99" workbookViewId="0">
      <selection activeCell="B120" sqref="B120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2">
        <f>ACCRINT(B4,C4,D4,E4,F4,G4,H4)</f>
        <v>16.666666666666664</v>
      </c>
      <c r="C3" s="22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2">
        <f>ACCRINTM(B7,C7,D7,E7,F7)</f>
        <v>20.547945205479451</v>
      </c>
      <c r="C6" s="22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18">
        <v>40568</v>
      </c>
      <c r="C16" s="18">
        <v>40862</v>
      </c>
      <c r="D16">
        <v>2</v>
      </c>
      <c r="E16">
        <v>1</v>
      </c>
    </row>
    <row r="17" spans="1:5" ht="15.75">
      <c r="A17" s="1"/>
      <c r="B17" s="18"/>
      <c r="C17" s="18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18">
        <v>40568</v>
      </c>
      <c r="C19" s="18">
        <v>40862</v>
      </c>
      <c r="D19">
        <v>2</v>
      </c>
      <c r="E19">
        <v>1</v>
      </c>
    </row>
    <row r="20" spans="1:5" ht="15.75">
      <c r="A20" s="1"/>
      <c r="B20" s="18"/>
      <c r="C20" s="18"/>
    </row>
    <row r="21" spans="1:5" ht="15.75">
      <c r="A21" s="1" t="s">
        <v>194</v>
      </c>
      <c r="B21">
        <f>COUPDAYSNC(B22,C22,D22,E22)</f>
        <v>110</v>
      </c>
      <c r="C21" s="21">
        <v>110</v>
      </c>
      <c r="D21" t="str">
        <f>IF(B21=C21,"T","WARN")</f>
        <v>T</v>
      </c>
    </row>
    <row r="22" spans="1:5" ht="15.75">
      <c r="A22" s="1"/>
      <c r="B22" s="18">
        <v>40568</v>
      </c>
      <c r="C22" s="18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18">
        <f>COUPNCD(B25,C25,D25,E25)</f>
        <v>40678</v>
      </c>
      <c r="C24" s="18">
        <v>40678</v>
      </c>
      <c r="D24" t="str">
        <f>IF(B24=C24,"T","WARN")</f>
        <v>T</v>
      </c>
    </row>
    <row r="25" spans="1:5" ht="15.75">
      <c r="A25" s="1"/>
      <c r="B25" s="18">
        <v>40568</v>
      </c>
      <c r="C25" s="18">
        <v>40862</v>
      </c>
      <c r="D25">
        <v>2</v>
      </c>
      <c r="E25">
        <v>1</v>
      </c>
    </row>
    <row r="26" spans="1:5" ht="15.75">
      <c r="A26" s="1"/>
      <c r="B26" s="18"/>
      <c r="C26" s="18"/>
    </row>
    <row r="27" spans="1:5" ht="15.75">
      <c r="A27" s="1" t="s">
        <v>196</v>
      </c>
      <c r="B27">
        <f>COUPNUM(B28,C28,D28,E28)</f>
        <v>4</v>
      </c>
      <c r="C27" s="21">
        <v>4</v>
      </c>
      <c r="D27" t="str">
        <f>IF(B27=C27,"T","WARN")</f>
        <v>T</v>
      </c>
    </row>
    <row r="28" spans="1:5" ht="15.75">
      <c r="A28" s="1"/>
      <c r="B28" s="18">
        <v>39107</v>
      </c>
      <c r="C28" s="18">
        <v>39767</v>
      </c>
      <c r="D28">
        <v>2</v>
      </c>
      <c r="E28">
        <v>1</v>
      </c>
    </row>
    <row r="29" spans="1:5" ht="15.75">
      <c r="A29" s="1"/>
      <c r="B29" s="18"/>
      <c r="C29" s="18"/>
    </row>
    <row r="30" spans="1:5" ht="15.75">
      <c r="A30" s="1" t="s">
        <v>197</v>
      </c>
      <c r="B30" s="18">
        <f>COUPPCD(B31,C31,D31,E31)</f>
        <v>39036</v>
      </c>
      <c r="C30" s="18">
        <v>39036</v>
      </c>
      <c r="D30" t="str">
        <f>IF(B30=C30,"T","WARN")</f>
        <v>T</v>
      </c>
    </row>
    <row r="31" spans="1:5" ht="15.75">
      <c r="A31" s="1"/>
      <c r="B31" s="18">
        <v>39107</v>
      </c>
      <c r="C31" s="18">
        <v>39767</v>
      </c>
      <c r="D31">
        <v>2</v>
      </c>
      <c r="E31">
        <v>1</v>
      </c>
    </row>
    <row r="32" spans="1:5" ht="15.75">
      <c r="A32" s="1"/>
      <c r="B32" s="18"/>
      <c r="C32" s="18"/>
    </row>
    <row r="33" spans="1:6" ht="15.75">
      <c r="A33" s="1" t="s">
        <v>198</v>
      </c>
      <c r="B33" s="22">
        <f>CUMIPMT(B34/12,C34*12,D34,13,24,0)</f>
        <v>-11135.232130750848</v>
      </c>
      <c r="C33" s="22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1">
        <v>30</v>
      </c>
      <c r="D34">
        <v>125000</v>
      </c>
    </row>
    <row r="35" spans="1:6" ht="15.75">
      <c r="A35" s="1"/>
      <c r="C35" s="21"/>
    </row>
    <row r="36" spans="1:6" ht="15.75">
      <c r="A36" s="1" t="s">
        <v>199</v>
      </c>
      <c r="B36" s="22">
        <f>CUMPRINC(B37/12,C37*12,D37,13,24,0)</f>
        <v>-934.10712342086765</v>
      </c>
      <c r="C36" s="22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1">
        <v>30</v>
      </c>
      <c r="D37">
        <v>125000</v>
      </c>
    </row>
    <row r="38" spans="1:6" ht="15.75">
      <c r="A38" s="1"/>
      <c r="C38" s="21"/>
    </row>
    <row r="39" spans="1:6" ht="15.75">
      <c r="A39" s="1" t="s">
        <v>200</v>
      </c>
      <c r="B39" s="22">
        <f>DB(B40,C40,D40,1,7)</f>
        <v>186083.33333333334</v>
      </c>
      <c r="C39" s="22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2">
        <f>DDB(B43,C43,D43*365,1)</f>
        <v>1.3150684931506849</v>
      </c>
      <c r="C42" s="22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2">
        <f>DISC(B46,C46,D46,E46,F46)</f>
        <v>5.2420212765957708E-2</v>
      </c>
      <c r="C45" s="22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2">
        <f>DURATION(B52,C52,D52,E52,F52,G52)</f>
        <v>5.9937749555451862</v>
      </c>
      <c r="C51" s="22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2">
        <f>EFFECT(B55,C55)</f>
        <v>5.3542667370758412E-2</v>
      </c>
      <c r="C54" s="22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2">
        <f>FV(B58/12,C58,D58,E58,F58)</f>
        <v>2581.4033740601185</v>
      </c>
      <c r="C57" s="22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2">
        <f>FVSCHEDULE(1,{0.09,0.11,0.1})</f>
        <v>1.3308900000000004</v>
      </c>
      <c r="C59" s="22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2">
        <f>INTRATE(B63,C63,D63,E63,F63)</f>
        <v>5.7680000000000002E-2</v>
      </c>
      <c r="C62" s="22">
        <v>5.7680000000000002E-2</v>
      </c>
      <c r="D62" t="str">
        <f>IF(B62=C62,"T","WARN")</f>
        <v>T</v>
      </c>
    </row>
    <row r="63" spans="1:7" ht="15.75">
      <c r="A63" s="1"/>
      <c r="B63" s="18">
        <v>39493</v>
      </c>
      <c r="C63" s="18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2">
        <f>IPMT(B65,3,D65,E65)</f>
        <v>-292.44712990936569</v>
      </c>
      <c r="C64" s="22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4">
        <f>IRR(B68:F68)</f>
        <v>-2.1244848273020495E-2</v>
      </c>
      <c r="C67" s="24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2">
        <f>ISPMT(B71/12,C71,D71*12,E71)</f>
        <v>-64814.814814814818</v>
      </c>
      <c r="C70" s="22">
        <v>-64814.814814814818</v>
      </c>
      <c r="D70" t="s">
        <v>403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2">
        <f>LOGEST(B75:G75,B74:G74,TRUE,FALSE)</f>
        <v>1.4632756281161756</v>
      </c>
      <c r="C73" s="22">
        <v>1.4632756281161756</v>
      </c>
      <c r="D73" t="s">
        <v>403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3">
        <f>MIRR(B79:G79,H79,I79)</f>
        <v>0.12609413036590511</v>
      </c>
      <c r="C78" s="23">
        <v>0.12609413036590511</v>
      </c>
      <c r="D78" t="s">
        <v>403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2">
        <f>NOMINAL(B82,C82)</f>
        <v>5.2500319868356016E-2</v>
      </c>
      <c r="C81" s="22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2">
        <f>NPER(B85/12,C85,D85,E85,F85)</f>
        <v>59.673865674294568</v>
      </c>
      <c r="C84" s="22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2">
        <f>NPV(0.08,8000,9200,10000,12000,14500)</f>
        <v>41922.06155493237</v>
      </c>
      <c r="C87" s="22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2">
        <f>PMT(0.08/12,10,10000)</f>
        <v>-1037.0320893591606</v>
      </c>
      <c r="C89" s="22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2">
        <f>PPMT(0.1/12,1,2*12,2000)</f>
        <v>-75.623186008366716</v>
      </c>
      <c r="C91" s="22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2">
        <f>PRICE(DATE(2008,2,15),DATE(2017,11,15),0.0575,0.065,100,2,0)</f>
        <v>94.634361621322128</v>
      </c>
      <c r="C93" s="22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2">
        <f>PRICEDISC(DATE(2008,2,16),DATE(2008,3,1),0.0525,100,2)</f>
        <v>99.795833333333334</v>
      </c>
      <c r="C95" s="22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2">
        <f>PRICEMAT(DATE(2008,2,15),DATE(2008,4,13),DATE(2007,11,11),0.061,0.061,0)</f>
        <v>99.984498875556937</v>
      </c>
      <c r="C97" s="22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2">
        <f>PV(0.08/12,20*12,500,0,0)</f>
        <v>-59777.145851187823</v>
      </c>
      <c r="C99" s="22">
        <v>-59777.145851187823</v>
      </c>
      <c r="D99" t="str">
        <f>IF(B99=C99,"T","WARN")</f>
        <v>T</v>
      </c>
    </row>
    <row r="100" spans="1:4" ht="15.75">
      <c r="A100" s="1"/>
      <c r="B100" s="22">
        <f>PV(0.08/12,20*12,500,,0)</f>
        <v>-59777.145851187823</v>
      </c>
      <c r="C100" s="22" t="e">
        <v>#VALUE!</v>
      </c>
      <c r="D100" t="e">
        <f>IF(B100=C100,"T","WARN")</f>
        <v>#VALUE!</v>
      </c>
    </row>
    <row r="101" spans="1:4" ht="15.75">
      <c r="A101" s="1"/>
      <c r="B101" s="5"/>
    </row>
    <row r="102" spans="1:4" ht="15.75">
      <c r="A102" s="1" t="s">
        <v>237</v>
      </c>
      <c r="B102" s="25">
        <f>RATE(4*12,-200,8000)</f>
        <v>7.7014724882013682E-3</v>
      </c>
      <c r="C102" s="23">
        <v>7.7014724882013682E-3</v>
      </c>
      <c r="D102" t="str">
        <f>IF(B102=C102,"T","WARN")</f>
        <v>T</v>
      </c>
    </row>
    <row r="103" spans="1:4" ht="15.75">
      <c r="A103" s="1"/>
      <c r="B103" s="5"/>
    </row>
    <row r="104" spans="1:4" ht="15.75">
      <c r="A104" s="1" t="s">
        <v>217</v>
      </c>
      <c r="B104" s="22">
        <f>RECEIVED(DATE(2008,2,15),DATE(2008,5,15),1000000,0.0575,2)</f>
        <v>1014584.6544071021</v>
      </c>
      <c r="C104" s="22">
        <v>1014584.6544071021</v>
      </c>
      <c r="D104" t="str">
        <f>IF(B104=C104,"T","WARN")</f>
        <v>T</v>
      </c>
    </row>
    <row r="105" spans="1:4" ht="15.75">
      <c r="A105" s="1"/>
      <c r="B105" s="8"/>
    </row>
    <row r="106" spans="1:4" ht="15.75">
      <c r="A106" s="1" t="s">
        <v>218</v>
      </c>
      <c r="B106" s="12">
        <f>SLN(30000,7500,10)</f>
        <v>2250</v>
      </c>
      <c r="C106">
        <v>2250</v>
      </c>
      <c r="D106" t="str">
        <f>IF(B106=C106,"T","WARN")</f>
        <v>T</v>
      </c>
    </row>
    <row r="107" spans="1:4" ht="15.75">
      <c r="A107" s="1"/>
      <c r="B107" s="5"/>
    </row>
    <row r="108" spans="1:4" ht="15.75">
      <c r="A108" s="1" t="s">
        <v>219</v>
      </c>
      <c r="B108" s="22">
        <f>SYD(30000,7500,10,1)</f>
        <v>4090.909090909091</v>
      </c>
      <c r="C108" s="22">
        <v>4090.909090909091</v>
      </c>
      <c r="D108" t="str">
        <f>IF(B108=C108,"T","WARN")</f>
        <v>T</v>
      </c>
    </row>
    <row r="109" spans="1:4" ht="15.75">
      <c r="A109" s="1"/>
    </row>
    <row r="110" spans="1:4" ht="15.75">
      <c r="A110" s="1" t="s">
        <v>220</v>
      </c>
      <c r="B110" s="22">
        <f>TBILLEQ(DATE(2008,3,31), DATE(2008,6,1), 0.0914)</f>
        <v>9.4151493565943017E-2</v>
      </c>
      <c r="C110" s="22">
        <v>9.4151493565943017E-2</v>
      </c>
      <c r="D110" t="str">
        <f>IF(B110=C110,"T","WARN")</f>
        <v>T</v>
      </c>
    </row>
    <row r="111" spans="1:4" ht="15.75">
      <c r="A111" s="1"/>
    </row>
    <row r="112" spans="1:4" ht="15.75">
      <c r="A112" s="1" t="s">
        <v>221</v>
      </c>
      <c r="B112" s="22">
        <f>TBILLYIELD(DATE(2008,3,31),DATE(2008,6,1), 98.45)</f>
        <v>9.141696292534264E-2</v>
      </c>
      <c r="C112" s="22">
        <v>9.141696292534264E-2</v>
      </c>
      <c r="D112" t="str">
        <f>IF(B112=C112,"T","WARN")</f>
        <v>T</v>
      </c>
    </row>
    <row r="113" spans="1:7" ht="15.75">
      <c r="A113" s="1"/>
    </row>
    <row r="114" spans="1:7" ht="15.75">
      <c r="A114" s="1" t="s">
        <v>239</v>
      </c>
      <c r="B114" s="22">
        <f>VDB(2400,400,10*365,0,1)</f>
        <v>1.3150684931506849</v>
      </c>
      <c r="C114" s="22">
        <v>1.3150684931506849</v>
      </c>
      <c r="D114" t="s">
        <v>403</v>
      </c>
    </row>
    <row r="115" spans="1:7" ht="15.75">
      <c r="A115" s="1"/>
    </row>
    <row r="116" spans="1:7" ht="15.75">
      <c r="A116" s="1" t="s">
        <v>222</v>
      </c>
      <c r="B116" s="22">
        <f>XNPV(0.09,B117:F117,B118:F118)</f>
        <v>2086.6476020315349</v>
      </c>
      <c r="C116" s="22">
        <v>2086.6476020315349</v>
      </c>
      <c r="D116" t="str">
        <f>IF(B116=C116,"T","WARN")</f>
        <v>T</v>
      </c>
    </row>
    <row r="117" spans="1:7" ht="15.75">
      <c r="A117" s="1"/>
      <c r="B117">
        <v>-10000</v>
      </c>
      <c r="C117">
        <v>2750</v>
      </c>
      <c r="D117">
        <v>4250</v>
      </c>
      <c r="E117">
        <v>3250</v>
      </c>
      <c r="F117">
        <v>2750</v>
      </c>
    </row>
    <row r="118" spans="1:7" ht="15.75">
      <c r="A118" s="1"/>
      <c r="B118" s="18">
        <v>39448</v>
      </c>
      <c r="C118" s="18">
        <v>39508</v>
      </c>
      <c r="D118" s="18">
        <v>39751</v>
      </c>
      <c r="E118" s="18">
        <v>39859</v>
      </c>
      <c r="F118" s="18">
        <v>39904</v>
      </c>
    </row>
    <row r="119" spans="1:7" ht="15.75">
      <c r="A119" s="1"/>
      <c r="B119" s="18"/>
      <c r="C119" s="18"/>
      <c r="D119" s="18"/>
      <c r="E119" s="18"/>
      <c r="F119" s="18"/>
    </row>
    <row r="120" spans="1:7" ht="15.75">
      <c r="A120" s="1" t="s">
        <v>223</v>
      </c>
      <c r="B120" s="22">
        <f>YIELD(DATE(2008,2,14), DATE(2016,11,15), 0.0575, 95.04287, 100, 2,0)</f>
        <v>6.4998178600204778E-2</v>
      </c>
      <c r="C120" s="22">
        <v>6.4998178600204778E-2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224</v>
      </c>
      <c r="B122" s="22">
        <f>YIELDDISC(DATE(2008,2,16), DATE(2008,3,1), 99.795, 100, 2)</f>
        <v>5.2822571986858337E-2</v>
      </c>
      <c r="C122" s="22">
        <v>5.2822571986858337E-2</v>
      </c>
      <c r="D122" t="str">
        <f>IF(B122=C122,"T","WARN")</f>
        <v>T</v>
      </c>
    </row>
    <row r="123" spans="1:7" ht="15.75">
      <c r="A123" s="1"/>
    </row>
    <row r="124" spans="1:7" ht="15.75">
      <c r="A124" s="1" t="s">
        <v>225</v>
      </c>
      <c r="B124" s="22">
        <f>YIELDMAT(B125,C125,D125,E125,F125,G125)</f>
        <v>6.0954333691538673E-2</v>
      </c>
      <c r="C124" s="22">
        <v>6.0954333691538673E-2</v>
      </c>
      <c r="D124" t="str">
        <f>IF(B124=C124,"T","WARN")</f>
        <v>T</v>
      </c>
    </row>
    <row r="125" spans="1:7" ht="15.75">
      <c r="A125" s="1"/>
      <c r="B125" s="18">
        <v>39522</v>
      </c>
      <c r="C125" s="18">
        <v>39755</v>
      </c>
      <c r="D125" s="18">
        <v>39394</v>
      </c>
      <c r="E125" s="21">
        <v>6.25E-2</v>
      </c>
      <c r="F125" s="21">
        <v>100.0123</v>
      </c>
      <c r="G125" s="21">
        <v>0</v>
      </c>
    </row>
    <row r="126" spans="1:7" ht="15.75">
      <c r="A126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8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  <c r="B150" s="5"/>
    </row>
    <row r="151" spans="1:2" ht="15.75">
      <c r="A151" s="1"/>
    </row>
    <row r="152" spans="1:2" ht="15.75">
      <c r="A152" s="1"/>
      <c r="B152" s="11"/>
    </row>
    <row r="153" spans="1:2" ht="15.75">
      <c r="A153" s="1"/>
    </row>
    <row r="154" spans="1:2" ht="15.75">
      <c r="A154" s="1"/>
      <c r="B154" s="9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  <c r="B160" s="5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  <c r="B166" s="8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 ht="15.75">
      <c r="A173" s="1"/>
    </row>
    <row r="174" spans="1:2" ht="15.75">
      <c r="A174" s="1"/>
    </row>
    <row r="175" spans="1:2">
      <c r="B175" s="12"/>
    </row>
    <row r="177" spans="1:2">
      <c r="B177" s="8"/>
    </row>
    <row r="179" spans="1:2" ht="15.75">
      <c r="A179" s="1"/>
      <c r="B179" s="5"/>
    </row>
    <row r="180" spans="1:2" ht="15.75">
      <c r="A180" s="1"/>
    </row>
    <row r="181" spans="1:2" ht="15.75">
      <c r="A181" s="1"/>
      <c r="B181" s="1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  <c r="B215" s="5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2" ht="15.75">
      <c r="A241" s="1"/>
    </row>
    <row r="242" spans="1:2" ht="15.75">
      <c r="A242" s="1"/>
      <c r="B242" s="11"/>
    </row>
    <row r="243" spans="1:2" ht="15.75">
      <c r="A243" s="1"/>
    </row>
    <row r="244" spans="1:2" ht="15.75">
      <c r="A244" s="1"/>
      <c r="B244" s="11"/>
    </row>
    <row r="245" spans="1:2" ht="15.75">
      <c r="A245" s="1"/>
      <c r="B245" s="11"/>
    </row>
    <row r="246" spans="1:2" ht="15.75">
      <c r="A246" s="1"/>
      <c r="B246" s="5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4" spans="1:1" ht="15.75">
      <c r="A304" s="1"/>
    </row>
    <row r="305" spans="1:1" ht="15.75">
      <c r="A305" s="1"/>
    </row>
    <row r="307" spans="1:1" ht="15.75">
      <c r="A307" s="1"/>
    </row>
    <row r="536" spans="1:1">
      <c r="A536" s="3" t="s">
        <v>0</v>
      </c>
    </row>
  </sheetData>
  <sortState ref="A3:A40">
    <sortCondition ref="A40"/>
  </sortState>
  <conditionalFormatting sqref="D3 D6 D9 D12">
    <cfRule type="cellIs" dxfId="190" priority="12" operator="equal">
      <formula>"WARN"</formula>
    </cfRule>
  </conditionalFormatting>
  <conditionalFormatting sqref="D15 D18 D21 D24 D27 D30 D33">
    <cfRule type="cellIs" dxfId="189" priority="11" operator="equal">
      <formula>"WARN"</formula>
    </cfRule>
  </conditionalFormatting>
  <conditionalFormatting sqref="D36 D39 D42 D45 D47 D49 D51">
    <cfRule type="cellIs" dxfId="188" priority="10" operator="equal">
      <formula>"WARN"</formula>
    </cfRule>
  </conditionalFormatting>
  <conditionalFormatting sqref="D54 D57 D59 D62 D64 D67 D70 D73">
    <cfRule type="cellIs" dxfId="187" priority="9" operator="equal">
      <formula>"WARN"</formula>
    </cfRule>
  </conditionalFormatting>
  <conditionalFormatting sqref="D78 D81 D84 D87 D89 D91 D93 D95 D97 D102 D104 D106 D108 D110 D99:D100">
    <cfRule type="cellIs" dxfId="186" priority="8" operator="equal">
      <formula>"WARN"</formula>
    </cfRule>
  </conditionalFormatting>
  <conditionalFormatting sqref="D112 D114 D116 D120 D122 D124">
    <cfRule type="cellIs" dxfId="185" priority="7" operator="equal">
      <formula>"WARN"</formula>
    </cfRule>
  </conditionalFormatting>
  <conditionalFormatting sqref="D70">
    <cfRule type="cellIs" dxfId="184" priority="6" operator="equal">
      <formula>"WARN"</formula>
    </cfRule>
  </conditionalFormatting>
  <conditionalFormatting sqref="D73">
    <cfRule type="cellIs" dxfId="183" priority="5" operator="equal">
      <formula>"WARN"</formula>
    </cfRule>
  </conditionalFormatting>
  <conditionalFormatting sqref="D78">
    <cfRule type="cellIs" dxfId="182" priority="4" operator="equal">
      <formula>"WARN"</formula>
    </cfRule>
  </conditionalFormatting>
  <conditionalFormatting sqref="D78">
    <cfRule type="cellIs" dxfId="181" priority="3" operator="equal">
      <formula>"WARN"</formula>
    </cfRule>
  </conditionalFormatting>
  <conditionalFormatting sqref="D114">
    <cfRule type="cellIs" dxfId="180" priority="2" operator="equal">
      <formula>"WARN"</formula>
    </cfRule>
  </conditionalFormatting>
  <conditionalFormatting sqref="D114">
    <cfRule type="cellIs" dxfId="179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623"/>
  <sheetViews>
    <sheetView topLeftCell="A159" workbookViewId="0">
      <selection activeCell="D171" sqref="D171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29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2">
        <f>AVEDEV(B4:H4)</f>
        <v>1.0204081632653061</v>
      </c>
      <c r="C3" s="22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>
        <f>AVERAGEIF(B12:E12,"&lt;23000")</f>
        <v>14000</v>
      </c>
      <c r="C11">
        <v>14000</v>
      </c>
      <c r="D11" t="s">
        <v>403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>
        <f>AVERAGEIFS(B15:E15,B15:E15,"&lt;&gt;未完成",B15:E15,"&gt;80")</f>
        <v>87.5</v>
      </c>
      <c r="C14">
        <v>87.5</v>
      </c>
      <c r="D14" t="s">
        <v>403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2">
        <f>BETADIST(2,8,10,1,3)</f>
        <v>0.68547058095349067</v>
      </c>
      <c r="C17" s="22">
        <v>0.68547058095349067</v>
      </c>
      <c r="D17" t="s">
        <v>403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 s="22">
        <v>1.9999523162841797</v>
      </c>
      <c r="D19" t="s">
        <v>403</v>
      </c>
    </row>
    <row r="20" spans="1:4" ht="15.75">
      <c r="A20" s="1"/>
    </row>
    <row r="21" spans="1:4" ht="15.75">
      <c r="A21" s="1" t="s">
        <v>248</v>
      </c>
      <c r="B21" s="22">
        <f>BINOMDIST(6,10,0.5,FALSE)</f>
        <v>0.20507812500000006</v>
      </c>
      <c r="C21" s="22">
        <v>0.20507812500000006</v>
      </c>
      <c r="D21" t="str">
        <f>IF(B21=C21,"T","WARN")</f>
        <v>T</v>
      </c>
    </row>
    <row r="22" spans="1:4" ht="15.75">
      <c r="A22" s="1"/>
      <c r="B22" s="20"/>
    </row>
    <row r="23" spans="1:4" ht="15.75">
      <c r="A23" s="1" t="s">
        <v>249</v>
      </c>
      <c r="B23" s="22">
        <f>CHIDIST(18.307,10)</f>
        <v>5.0000589099658876E-2</v>
      </c>
      <c r="C23" s="22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2">
        <f>CHIINV(0.05,10)</f>
        <v>18.307038053808746</v>
      </c>
      <c r="C25" s="22">
        <v>18.307038053808746</v>
      </c>
      <c r="D25" t="str">
        <f>IF(B25=C25,"T","WARN")</f>
        <v>T</v>
      </c>
    </row>
    <row r="26" spans="1:4" ht="15.75">
      <c r="A26" s="1"/>
      <c r="B26" s="16"/>
    </row>
    <row r="27" spans="1:4" ht="15.75">
      <c r="A27" s="1" t="s">
        <v>288</v>
      </c>
      <c r="B27" s="27">
        <f>CHITEST(B28:C30,B31:C33)</f>
        <v>3.081920170211661E-4</v>
      </c>
      <c r="C27" s="27">
        <v>3.081920170211661E-4</v>
      </c>
      <c r="D27" t="s">
        <v>403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28">
        <f>CONFIDENCE(0.05,2.5,50)</f>
        <v>0.69295191217483887</v>
      </c>
      <c r="C35" s="22">
        <v>0.69295191217483887</v>
      </c>
      <c r="D35" t="s">
        <v>403</v>
      </c>
    </row>
    <row r="36" spans="1:8" ht="15.75">
      <c r="A36" s="1"/>
      <c r="B36" s="5"/>
    </row>
    <row r="37" spans="1:8" ht="15.75">
      <c r="A37" s="1" t="s">
        <v>290</v>
      </c>
      <c r="B37" s="11">
        <f>CORREL(B38:F38,B39:F39)</f>
        <v>0.99705448550158138</v>
      </c>
      <c r="C37" s="11">
        <v>0.99705448550158138</v>
      </c>
      <c r="D37" t="s">
        <v>403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18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18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1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1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">
        <v>403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">
        <v>403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2">
        <f>EXPONDIST(0.2,10, TRUE)</f>
        <v>0.8646647167633873</v>
      </c>
      <c r="C57" s="22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2">
        <f>FDIST(15.2068,6,4)</f>
        <v>1.0000079377937579E-2</v>
      </c>
      <c r="C59" s="22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2">
        <f>FINV(0.01,6,4)</f>
        <v>15.20686486148989</v>
      </c>
      <c r="C61" s="22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2">
        <f>FISHER(0.75)</f>
        <v>0.97295507452765662</v>
      </c>
      <c r="C63" s="22">
        <v>0.97295507452765662</v>
      </c>
      <c r="D63" t="s">
        <v>403</v>
      </c>
    </row>
    <row r="64" spans="1:8" ht="15.75">
      <c r="A64" s="1"/>
    </row>
    <row r="65" spans="1:10" ht="15.75">
      <c r="A65" s="1" t="s">
        <v>299</v>
      </c>
      <c r="B65" s="22">
        <f>FISHERINV(0.972955)</f>
        <v>0.74999996739414843</v>
      </c>
      <c r="C65" s="22">
        <v>0.74999996739414843</v>
      </c>
      <c r="D65" t="s">
        <v>403</v>
      </c>
    </row>
    <row r="66" spans="1:10" ht="15.75">
      <c r="A66" s="1"/>
    </row>
    <row r="67" spans="1:10" ht="15.75">
      <c r="A67" s="1" t="s">
        <v>300</v>
      </c>
      <c r="B67" s="22">
        <f>FORECAST(30,B68:F68,B69:F69)</f>
        <v>10.607253086419755</v>
      </c>
      <c r="C67">
        <v>10.607253086419755</v>
      </c>
      <c r="D67" t="s">
        <v>403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">
        <v>403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2">
        <f>FTEST(B74:F74,B75:F75)</f>
        <v>0.64831784680276039</v>
      </c>
      <c r="C73" s="22">
        <v>0.64831784680276039</v>
      </c>
      <c r="D73" t="s">
        <v>403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2">
        <f>GAMMADIST(10, 9,2, FALSE)</f>
        <v>3.2639019680753736E-2</v>
      </c>
      <c r="C76" s="22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2">
        <f>GAMMAINV(0.068094,9,2)</f>
        <v>10.00001131093865</v>
      </c>
      <c r="C78" s="22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2">
        <f>GAMMALN(4)</f>
        <v>1.7917594690821024</v>
      </c>
      <c r="C80" s="22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2">
        <f>GEOMEAN(B83:H83)</f>
        <v>5.4769869696569611</v>
      </c>
      <c r="C82" s="2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2">
        <f>GROWTH(B87:G87,B86:G86,H86:I86)</f>
        <v>320196.71836347238</v>
      </c>
      <c r="C85" s="22">
        <v>320196.71836347238</v>
      </c>
      <c r="D85" t="s">
        <v>403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2">
        <f>HARMEAN(B90:H90)</f>
        <v>5.0283759620617277</v>
      </c>
      <c r="C89" s="22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2">
        <f>HYPGEOMDIST(1,4,8,20)</f>
        <v>0.36326109391124872</v>
      </c>
      <c r="C92" s="2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2">
        <f>INTERCEPT(B95:F95,B96:F96)</f>
        <v>4.8387096774192173E-2</v>
      </c>
      <c r="C94" s="22">
        <v>4.8387096774192173E-2</v>
      </c>
      <c r="D94" t="s">
        <v>403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2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  <c r="D103" t="s">
        <v>403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2">
        <f>LOGINV(0.039084, 3.5, 1.2)</f>
        <v>4.0000252186806238</v>
      </c>
      <c r="C106" s="22">
        <v>4.0000252186806238</v>
      </c>
      <c r="D106" t="s">
        <v>403</v>
      </c>
    </row>
    <row r="107" spans="1:11" ht="15.75">
      <c r="A107" s="1"/>
    </row>
    <row r="108" spans="1:11" ht="15.75">
      <c r="A108" s="1" t="s">
        <v>305</v>
      </c>
      <c r="B108" s="22">
        <f>LOGNORMDIST(4,3.5,1.2)</f>
        <v>3.9083555706800555E-2</v>
      </c>
      <c r="C108" s="22">
        <v>3.9083555706800555E-2</v>
      </c>
      <c r="D108" t="s">
        <v>403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2">
        <f>NEGBINOMDIST(10,5,0.25)</f>
        <v>5.5048660375177888E-2</v>
      </c>
      <c r="C123" s="22">
        <v>5.5048660375177888E-2</v>
      </c>
      <c r="D123" t="s">
        <v>403</v>
      </c>
    </row>
    <row r="124" spans="1:7" ht="15.75">
      <c r="A124" s="1"/>
    </row>
    <row r="125" spans="1:7" ht="15.75">
      <c r="A125" s="1" t="s">
        <v>275</v>
      </c>
      <c r="B125" s="28">
        <f>NORMDIST(42,40,1.5,TRUE)</f>
        <v>0.90878878027413212</v>
      </c>
      <c r="C125" s="22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22">
        <f>NORMINV(0.908789,40,1.5)</f>
        <v>42.00000200956616</v>
      </c>
      <c r="C127" s="22">
        <v>42.00000200956616</v>
      </c>
      <c r="D127" t="s">
        <v>403</v>
      </c>
    </row>
    <row r="128" spans="1:7" ht="15.75">
      <c r="A128" s="1"/>
    </row>
    <row r="129" spans="1:11" ht="15.75">
      <c r="A129" s="1" t="s">
        <v>308</v>
      </c>
      <c r="B129" s="22">
        <f>NORMSDIST(1.333333)</f>
        <v>0.90878872560409529</v>
      </c>
      <c r="C129" s="22">
        <v>0.90878872560409529</v>
      </c>
      <c r="D129" t="s">
        <v>403</v>
      </c>
    </row>
    <row r="130" spans="1:11" ht="15.75">
      <c r="A130" s="1"/>
    </row>
    <row r="131" spans="1:11" ht="15.75">
      <c r="A131" s="1" t="s">
        <v>309</v>
      </c>
      <c r="B131" s="22">
        <f>NORMSINV(0.908789)</f>
        <v>1.3333346730441065</v>
      </c>
      <c r="C131" s="22">
        <v>1.3333346730441065</v>
      </c>
      <c r="D131" t="s">
        <v>403</v>
      </c>
    </row>
    <row r="132" spans="1:11" ht="15.75">
      <c r="A132" s="1"/>
    </row>
    <row r="133" spans="1:11" ht="15.75">
      <c r="A133" s="1" t="s">
        <v>310</v>
      </c>
      <c r="B133" s="22">
        <f>PEARSON(B134:F134,B135:F135)</f>
        <v>0.69937860618023528</v>
      </c>
      <c r="C133" s="22">
        <v>0.69937860618023528</v>
      </c>
      <c r="D133" t="s">
        <v>403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">
        <v>403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2">
        <f>PERCENTRANK(B139:K139,2)</f>
        <v>0.33300000000000002</v>
      </c>
      <c r="C138" s="22">
        <v>0.33300000000000002</v>
      </c>
      <c r="D138" t="s">
        <v>403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">
        <v>403</v>
      </c>
    </row>
    <row r="141" spans="1:11" ht="15.75">
      <c r="A141" s="1"/>
    </row>
    <row r="142" spans="1:11" ht="15.75">
      <c r="A142" s="1" t="s">
        <v>276</v>
      </c>
      <c r="B142" s="28">
        <f>POISSON(2,5,TRUE)</f>
        <v>0.12465201948308466</v>
      </c>
      <c r="C142" s="2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">
        <v>403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">
        <v>403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2">
        <f>RSQ(B152:H152,B153:H153)</f>
        <v>5.7950191570881222E-2</v>
      </c>
      <c r="C151" s="22">
        <v>5.7950191570881222E-2</v>
      </c>
      <c r="D151" t="s">
        <v>403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28">
        <f>SKEW(B155:K155)</f>
        <v>0.35954307140679742</v>
      </c>
      <c r="C154" s="22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28">
        <f>SLOPE(B157:H157,B158:H158)</f>
        <v>0.30555555555555558</v>
      </c>
      <c r="C156" s="22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2">
        <f>STANDARDIZE(42,40,1.5)</f>
        <v>1.3333333333333333</v>
      </c>
      <c r="C162" s="22">
        <v>1.3333333333333333</v>
      </c>
      <c r="D162" t="s">
        <v>403</v>
      </c>
    </row>
    <row r="163" spans="1:11" ht="15.75">
      <c r="A163" s="1"/>
    </row>
    <row r="164" spans="1:11" ht="15.75">
      <c r="A164" s="1" t="s">
        <v>280</v>
      </c>
      <c r="B164" s="22">
        <f>STDEV(B165:K165)</f>
        <v>27.463915719840482</v>
      </c>
      <c r="C164" s="22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2">
        <f>STDEVA(B165:K165)</f>
        <v>27.463915719840482</v>
      </c>
      <c r="C166" s="22">
        <v>27.463915719840482</v>
      </c>
      <c r="D166" t="s">
        <v>403</v>
      </c>
    </row>
    <row r="167" spans="1:11" ht="15.75">
      <c r="A167" s="1"/>
    </row>
    <row r="168" spans="1:11" ht="15.75">
      <c r="A168" s="1" t="s">
        <v>319</v>
      </c>
      <c r="B168" s="22">
        <f>STDEVP(B165:K165)</f>
        <v>26.054558142482477</v>
      </c>
      <c r="C168" s="22">
        <v>26.054558142482477</v>
      </c>
      <c r="D168" t="s">
        <v>403</v>
      </c>
    </row>
    <row r="169" spans="1:11" ht="15.75">
      <c r="A169" s="1"/>
    </row>
    <row r="170" spans="1:11" ht="15.75">
      <c r="A170" s="1" t="s">
        <v>320</v>
      </c>
      <c r="B170" s="22">
        <f>STDEVPA(B165:K165)</f>
        <v>26.054558142482477</v>
      </c>
      <c r="C170" s="22">
        <v>26.054558142482477</v>
      </c>
      <c r="D170" t="s">
        <v>403</v>
      </c>
    </row>
    <row r="171" spans="1:11" ht="15.75">
      <c r="A171" s="1"/>
    </row>
    <row r="172" spans="1:11" ht="15.75">
      <c r="A172" s="1" t="s">
        <v>321</v>
      </c>
      <c r="B172" s="22">
        <f>STEYX(B173:H173,B174:H174)</f>
        <v>3.305718950210041</v>
      </c>
      <c r="C172" s="22">
        <v>3.305718950210041</v>
      </c>
      <c r="D172" t="s">
        <v>403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2">
        <f>TDIST(1.959999,60,2)</f>
        <v>5.4645046467296891E-2</v>
      </c>
      <c r="C175" s="22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2">
        <f>TINV(0.054644927,60)</f>
        <v>1.9599999980901761</v>
      </c>
      <c r="C177" s="22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2">
        <f>TREND(B181:M181,B180:M180)</f>
        <v>133953.33333333334</v>
      </c>
      <c r="C179" s="22">
        <v>133953.33333333334</v>
      </c>
      <c r="D179" t="s">
        <v>403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2">
        <f>TRIMMEAN(B184:L184,0.2)</f>
        <v>3.7777777777777777</v>
      </c>
      <c r="C183" s="22">
        <v>3.7777777777777777</v>
      </c>
      <c r="D183" t="s">
        <v>403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2">
        <f>TTEST(B187:J187,B188:J188,2,1)</f>
        <v>0.19601578498575278</v>
      </c>
      <c r="C186" s="22">
        <v>0.19601578498575278</v>
      </c>
      <c r="D186" t="s">
        <v>403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2">
        <f>VAR(B165:K165)</f>
        <v>754.26666666650112</v>
      </c>
      <c r="C189" s="22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2">
        <f>VARA(B165:K165)</f>
        <v>754.26666666650112</v>
      </c>
      <c r="C191" s="22">
        <v>754.26666666650112</v>
      </c>
      <c r="D191" t="s">
        <v>403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">
        <v>403</v>
      </c>
    </row>
    <row r="196" spans="1:11" ht="15.75">
      <c r="A196" s="1"/>
    </row>
    <row r="197" spans="1:11" ht="15.75">
      <c r="A197" s="1" t="s">
        <v>285</v>
      </c>
      <c r="B197" s="22">
        <f>WEIBULL(105,20,100,TRUE)</f>
        <v>0.92958139006927698</v>
      </c>
      <c r="C197" s="22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2">
        <f>ZTEST(B200:K200,4)</f>
        <v>9.0574196851363808E-2</v>
      </c>
      <c r="C199" s="22">
        <v>9.0574196851363808E-2</v>
      </c>
      <c r="D199" t="s">
        <v>403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21 D23 D25 D14 D17 D19 D27">
    <cfRule type="cellIs" dxfId="178" priority="149" operator="equal">
      <formula>"WARN"</formula>
    </cfRule>
  </conditionalFormatting>
  <conditionalFormatting sqref="D35 D41 D43 D45 D47 D37 D50">
    <cfRule type="cellIs" dxfId="177" priority="148" operator="equal">
      <formula>"WARN"</formula>
    </cfRule>
  </conditionalFormatting>
  <conditionalFormatting sqref="D53 D55 D57 D59 D61 D63 D65 D67">
    <cfRule type="cellIs" dxfId="176" priority="147" operator="equal">
      <formula>"WARN"</formula>
    </cfRule>
  </conditionalFormatting>
  <conditionalFormatting sqref="D70 D73 D76 D78 D80 D82">
    <cfRule type="cellIs" dxfId="175" priority="146" operator="equal">
      <formula>"WARN"</formula>
    </cfRule>
  </conditionalFormatting>
  <conditionalFormatting sqref="D85 D89 D92 D94 D100 D106 D108">
    <cfRule type="cellIs" dxfId="174" priority="145" operator="equal">
      <formula>"WARN"</formula>
    </cfRule>
  </conditionalFormatting>
  <conditionalFormatting sqref="D110 D112 D114 D116 D118">
    <cfRule type="cellIs" dxfId="173" priority="144" operator="equal">
      <formula>"WARN"</formula>
    </cfRule>
  </conditionalFormatting>
  <conditionalFormatting sqref="D121 D123 D125 D127 D142 D129 D131 D133 D136 D138 D140 D144">
    <cfRule type="cellIs" dxfId="172" priority="143" operator="equal">
      <formula>"WARN"</formula>
    </cfRule>
  </conditionalFormatting>
  <conditionalFormatting sqref="D147 D149 D151">
    <cfRule type="cellIs" dxfId="171" priority="142" operator="equal">
      <formula>"WARN"</formula>
    </cfRule>
  </conditionalFormatting>
  <conditionalFormatting sqref="D154 D156 D162">
    <cfRule type="cellIs" dxfId="170" priority="141" operator="equal">
      <formula>"WARN"</formula>
    </cfRule>
  </conditionalFormatting>
  <conditionalFormatting sqref="D159">
    <cfRule type="cellIs" dxfId="169" priority="140" operator="equal">
      <formula>"WARN"</formula>
    </cfRule>
  </conditionalFormatting>
  <conditionalFormatting sqref="D164 D166 D170 D172 D168">
    <cfRule type="cellIs" dxfId="168" priority="139" operator="equal">
      <formula>"WARN"</formula>
    </cfRule>
  </conditionalFormatting>
  <conditionalFormatting sqref="D175 D177 D179 D183 D186">
    <cfRule type="cellIs" dxfId="167" priority="138" operator="equal">
      <formula>"WARN"</formula>
    </cfRule>
  </conditionalFormatting>
  <conditionalFormatting sqref="D189 D191 D193 D195 D197 D199">
    <cfRule type="cellIs" dxfId="166" priority="137" operator="equal">
      <formula>"WARN"</formula>
    </cfRule>
  </conditionalFormatting>
  <conditionalFormatting sqref="D103">
    <cfRule type="cellIs" dxfId="165" priority="136" operator="equal">
      <formula>"WARN"</formula>
    </cfRule>
  </conditionalFormatting>
  <conditionalFormatting sqref="D35">
    <cfRule type="cellIs" dxfId="164" priority="135" operator="equal">
      <formula>"WARN"</formula>
    </cfRule>
  </conditionalFormatting>
  <conditionalFormatting sqref="D37">
    <cfRule type="cellIs" dxfId="163" priority="134" operator="equal">
      <formula>"WARN"</formula>
    </cfRule>
  </conditionalFormatting>
  <conditionalFormatting sqref="D50">
    <cfRule type="cellIs" dxfId="162" priority="133" operator="equal">
      <formula>"WARN"</formula>
    </cfRule>
  </conditionalFormatting>
  <conditionalFormatting sqref="D53">
    <cfRule type="cellIs" dxfId="161" priority="132" operator="equal">
      <formula>"WARN"</formula>
    </cfRule>
  </conditionalFormatting>
  <conditionalFormatting sqref="D53">
    <cfRule type="cellIs" dxfId="160" priority="131" operator="equal">
      <formula>"WARN"</formula>
    </cfRule>
  </conditionalFormatting>
  <conditionalFormatting sqref="D63">
    <cfRule type="cellIs" dxfId="159" priority="130" operator="equal">
      <formula>"WARN"</formula>
    </cfRule>
  </conditionalFormatting>
  <conditionalFormatting sqref="D63">
    <cfRule type="cellIs" dxfId="158" priority="129" operator="equal">
      <formula>"WARN"</formula>
    </cfRule>
  </conditionalFormatting>
  <conditionalFormatting sqref="D65">
    <cfRule type="cellIs" dxfId="157" priority="128" operator="equal">
      <formula>"WARN"</formula>
    </cfRule>
  </conditionalFormatting>
  <conditionalFormatting sqref="D65">
    <cfRule type="cellIs" dxfId="156" priority="127" operator="equal">
      <formula>"WARN"</formula>
    </cfRule>
  </conditionalFormatting>
  <conditionalFormatting sqref="D67">
    <cfRule type="cellIs" dxfId="155" priority="126" operator="equal">
      <formula>"WARN"</formula>
    </cfRule>
  </conditionalFormatting>
  <conditionalFormatting sqref="D67">
    <cfRule type="cellIs" dxfId="154" priority="125" operator="equal">
      <formula>"WARN"</formula>
    </cfRule>
  </conditionalFormatting>
  <conditionalFormatting sqref="D70">
    <cfRule type="cellIs" dxfId="153" priority="124" operator="equal">
      <formula>"WARN"</formula>
    </cfRule>
  </conditionalFormatting>
  <conditionalFormatting sqref="D70">
    <cfRule type="cellIs" dxfId="152" priority="123" operator="equal">
      <formula>"WARN"</formula>
    </cfRule>
  </conditionalFormatting>
  <conditionalFormatting sqref="D70">
    <cfRule type="cellIs" dxfId="151" priority="122" operator="equal">
      <formula>"WARN"</formula>
    </cfRule>
  </conditionalFormatting>
  <conditionalFormatting sqref="D73">
    <cfRule type="cellIs" dxfId="150" priority="121" operator="equal">
      <formula>"WARN"</formula>
    </cfRule>
  </conditionalFormatting>
  <conditionalFormatting sqref="D73">
    <cfRule type="cellIs" dxfId="149" priority="120" operator="equal">
      <formula>"WARN"</formula>
    </cfRule>
  </conditionalFormatting>
  <conditionalFormatting sqref="D73">
    <cfRule type="cellIs" dxfId="148" priority="119" operator="equal">
      <formula>"WARN"</formula>
    </cfRule>
  </conditionalFormatting>
  <conditionalFormatting sqref="D103">
    <cfRule type="cellIs" dxfId="147" priority="118" operator="equal">
      <formula>"WARN"</formula>
    </cfRule>
  </conditionalFormatting>
  <conditionalFormatting sqref="D103">
    <cfRule type="cellIs" dxfId="146" priority="117" operator="equal">
      <formula>"WARN"</formula>
    </cfRule>
  </conditionalFormatting>
  <conditionalFormatting sqref="D103">
    <cfRule type="cellIs" dxfId="145" priority="116" operator="equal">
      <formula>"WARN"</formula>
    </cfRule>
  </conditionalFormatting>
  <conditionalFormatting sqref="D106">
    <cfRule type="cellIs" dxfId="144" priority="115" operator="equal">
      <formula>"WARN"</formula>
    </cfRule>
  </conditionalFormatting>
  <conditionalFormatting sqref="D106">
    <cfRule type="cellIs" dxfId="143" priority="114" operator="equal">
      <formula>"WARN"</formula>
    </cfRule>
  </conditionalFormatting>
  <conditionalFormatting sqref="D106">
    <cfRule type="cellIs" dxfId="142" priority="113" operator="equal">
      <formula>"WARN"</formula>
    </cfRule>
  </conditionalFormatting>
  <conditionalFormatting sqref="D106">
    <cfRule type="cellIs" dxfId="141" priority="112" operator="equal">
      <formula>"WARN"</formula>
    </cfRule>
  </conditionalFormatting>
  <conditionalFormatting sqref="D108">
    <cfRule type="cellIs" dxfId="140" priority="111" operator="equal">
      <formula>"WARN"</formula>
    </cfRule>
  </conditionalFormatting>
  <conditionalFormatting sqref="D108">
    <cfRule type="cellIs" dxfId="139" priority="110" operator="equal">
      <formula>"WARN"</formula>
    </cfRule>
  </conditionalFormatting>
  <conditionalFormatting sqref="D108">
    <cfRule type="cellIs" dxfId="138" priority="109" operator="equal">
      <formula>"WARN"</formula>
    </cfRule>
  </conditionalFormatting>
  <conditionalFormatting sqref="D108">
    <cfRule type="cellIs" dxfId="137" priority="108" operator="equal">
      <formula>"WARN"</formula>
    </cfRule>
  </conditionalFormatting>
  <conditionalFormatting sqref="D123">
    <cfRule type="cellIs" dxfId="136" priority="107" operator="equal">
      <formula>"WARN"</formula>
    </cfRule>
  </conditionalFormatting>
  <conditionalFormatting sqref="D123">
    <cfRule type="cellIs" dxfId="135" priority="106" operator="equal">
      <formula>"WARN"</formula>
    </cfRule>
  </conditionalFormatting>
  <conditionalFormatting sqref="D123">
    <cfRule type="cellIs" dxfId="134" priority="105" operator="equal">
      <formula>"WARN"</formula>
    </cfRule>
  </conditionalFormatting>
  <conditionalFormatting sqref="D123">
    <cfRule type="cellIs" dxfId="133" priority="104" operator="equal">
      <formula>"WARN"</formula>
    </cfRule>
  </conditionalFormatting>
  <conditionalFormatting sqref="D127">
    <cfRule type="cellIs" dxfId="132" priority="103" operator="equal">
      <formula>"WARN"</formula>
    </cfRule>
  </conditionalFormatting>
  <conditionalFormatting sqref="D127">
    <cfRule type="cellIs" dxfId="131" priority="102" operator="equal">
      <formula>"WARN"</formula>
    </cfRule>
  </conditionalFormatting>
  <conditionalFormatting sqref="D127">
    <cfRule type="cellIs" dxfId="130" priority="101" operator="equal">
      <formula>"WARN"</formula>
    </cfRule>
  </conditionalFormatting>
  <conditionalFormatting sqref="D127">
    <cfRule type="cellIs" dxfId="129" priority="100" operator="equal">
      <formula>"WARN"</formula>
    </cfRule>
  </conditionalFormatting>
  <conditionalFormatting sqref="D129">
    <cfRule type="cellIs" dxfId="128" priority="99" operator="equal">
      <formula>"WARN"</formula>
    </cfRule>
  </conditionalFormatting>
  <conditionalFormatting sqref="D129">
    <cfRule type="cellIs" dxfId="127" priority="98" operator="equal">
      <formula>"WARN"</formula>
    </cfRule>
  </conditionalFormatting>
  <conditionalFormatting sqref="D129">
    <cfRule type="cellIs" dxfId="126" priority="97" operator="equal">
      <formula>"WARN"</formula>
    </cfRule>
  </conditionalFormatting>
  <conditionalFormatting sqref="D129">
    <cfRule type="cellIs" dxfId="125" priority="96" operator="equal">
      <formula>"WARN"</formula>
    </cfRule>
  </conditionalFormatting>
  <conditionalFormatting sqref="D131">
    <cfRule type="cellIs" dxfId="124" priority="95" operator="equal">
      <formula>"WARN"</formula>
    </cfRule>
  </conditionalFormatting>
  <conditionalFormatting sqref="D131">
    <cfRule type="cellIs" dxfId="123" priority="94" operator="equal">
      <formula>"WARN"</formula>
    </cfRule>
  </conditionalFormatting>
  <conditionalFormatting sqref="D131">
    <cfRule type="cellIs" dxfId="122" priority="93" operator="equal">
      <formula>"WARN"</formula>
    </cfRule>
  </conditionalFormatting>
  <conditionalFormatting sqref="D131">
    <cfRule type="cellIs" dxfId="121" priority="92" operator="equal">
      <formula>"WARN"</formula>
    </cfRule>
  </conditionalFormatting>
  <conditionalFormatting sqref="D133">
    <cfRule type="cellIs" dxfId="120" priority="91" operator="equal">
      <formula>"WARN"</formula>
    </cfRule>
  </conditionalFormatting>
  <conditionalFormatting sqref="D133">
    <cfRule type="cellIs" dxfId="119" priority="90" operator="equal">
      <formula>"WARN"</formula>
    </cfRule>
  </conditionalFormatting>
  <conditionalFormatting sqref="D133">
    <cfRule type="cellIs" dxfId="118" priority="89" operator="equal">
      <formula>"WARN"</formula>
    </cfRule>
  </conditionalFormatting>
  <conditionalFormatting sqref="D133">
    <cfRule type="cellIs" dxfId="117" priority="88" operator="equal">
      <formula>"WARN"</formula>
    </cfRule>
  </conditionalFormatting>
  <conditionalFormatting sqref="D136">
    <cfRule type="cellIs" dxfId="116" priority="87" operator="equal">
      <formula>"WARN"</formula>
    </cfRule>
  </conditionalFormatting>
  <conditionalFormatting sqref="D136">
    <cfRule type="cellIs" dxfId="115" priority="86" operator="equal">
      <formula>"WARN"</formula>
    </cfRule>
  </conditionalFormatting>
  <conditionalFormatting sqref="D136">
    <cfRule type="cellIs" dxfId="114" priority="85" operator="equal">
      <formula>"WARN"</formula>
    </cfRule>
  </conditionalFormatting>
  <conditionalFormatting sqref="D136">
    <cfRule type="cellIs" dxfId="113" priority="84" operator="equal">
      <formula>"WARN"</formula>
    </cfRule>
  </conditionalFormatting>
  <conditionalFormatting sqref="D138">
    <cfRule type="cellIs" dxfId="112" priority="83" operator="equal">
      <formula>"WARN"</formula>
    </cfRule>
  </conditionalFormatting>
  <conditionalFormatting sqref="D138">
    <cfRule type="cellIs" dxfId="111" priority="82" operator="equal">
      <formula>"WARN"</formula>
    </cfRule>
  </conditionalFormatting>
  <conditionalFormatting sqref="D138">
    <cfRule type="cellIs" dxfId="110" priority="81" operator="equal">
      <formula>"WARN"</formula>
    </cfRule>
  </conditionalFormatting>
  <conditionalFormatting sqref="D138">
    <cfRule type="cellIs" dxfId="109" priority="80" operator="equal">
      <formula>"WARN"</formula>
    </cfRule>
  </conditionalFormatting>
  <conditionalFormatting sqref="D140">
    <cfRule type="cellIs" dxfId="108" priority="79" operator="equal">
      <formula>"WARN"</formula>
    </cfRule>
  </conditionalFormatting>
  <conditionalFormatting sqref="D140">
    <cfRule type="cellIs" dxfId="107" priority="78" operator="equal">
      <formula>"WARN"</formula>
    </cfRule>
  </conditionalFormatting>
  <conditionalFormatting sqref="D140">
    <cfRule type="cellIs" dxfId="106" priority="77" operator="equal">
      <formula>"WARN"</formula>
    </cfRule>
  </conditionalFormatting>
  <conditionalFormatting sqref="D140">
    <cfRule type="cellIs" dxfId="105" priority="76" operator="equal">
      <formula>"WARN"</formula>
    </cfRule>
  </conditionalFormatting>
  <conditionalFormatting sqref="D144">
    <cfRule type="cellIs" dxfId="104" priority="75" operator="equal">
      <formula>"WARN"</formula>
    </cfRule>
  </conditionalFormatting>
  <conditionalFormatting sqref="D144">
    <cfRule type="cellIs" dxfId="103" priority="74" operator="equal">
      <formula>"WARN"</formula>
    </cfRule>
  </conditionalFormatting>
  <conditionalFormatting sqref="D144">
    <cfRule type="cellIs" dxfId="102" priority="73" operator="equal">
      <formula>"WARN"</formula>
    </cfRule>
  </conditionalFormatting>
  <conditionalFormatting sqref="D144">
    <cfRule type="cellIs" dxfId="101" priority="72" operator="equal">
      <formula>"WARN"</formula>
    </cfRule>
  </conditionalFormatting>
  <conditionalFormatting sqref="D147">
    <cfRule type="cellIs" dxfId="100" priority="71" operator="equal">
      <formula>"WARN"</formula>
    </cfRule>
  </conditionalFormatting>
  <conditionalFormatting sqref="D147">
    <cfRule type="cellIs" dxfId="99" priority="70" operator="equal">
      <formula>"WARN"</formula>
    </cfRule>
  </conditionalFormatting>
  <conditionalFormatting sqref="D147">
    <cfRule type="cellIs" dxfId="98" priority="69" operator="equal">
      <formula>"WARN"</formula>
    </cfRule>
  </conditionalFormatting>
  <conditionalFormatting sqref="D147">
    <cfRule type="cellIs" dxfId="97" priority="68" operator="equal">
      <formula>"WARN"</formula>
    </cfRule>
  </conditionalFormatting>
  <conditionalFormatting sqref="D147">
    <cfRule type="cellIs" dxfId="96" priority="67" operator="equal">
      <formula>"WARN"</formula>
    </cfRule>
  </conditionalFormatting>
  <conditionalFormatting sqref="D151">
    <cfRule type="cellIs" dxfId="95" priority="66" operator="equal">
      <formula>"WARN"</formula>
    </cfRule>
  </conditionalFormatting>
  <conditionalFormatting sqref="D151">
    <cfRule type="cellIs" dxfId="94" priority="65" operator="equal">
      <formula>"WARN"</formula>
    </cfRule>
  </conditionalFormatting>
  <conditionalFormatting sqref="D151">
    <cfRule type="cellIs" dxfId="93" priority="64" operator="equal">
      <formula>"WARN"</formula>
    </cfRule>
  </conditionalFormatting>
  <conditionalFormatting sqref="D151">
    <cfRule type="cellIs" dxfId="92" priority="63" operator="equal">
      <formula>"WARN"</formula>
    </cfRule>
  </conditionalFormatting>
  <conditionalFormatting sqref="D151">
    <cfRule type="cellIs" dxfId="91" priority="62" operator="equal">
      <formula>"WARN"</formula>
    </cfRule>
  </conditionalFormatting>
  <conditionalFormatting sqref="D162">
    <cfRule type="cellIs" dxfId="90" priority="61" operator="equal">
      <formula>"WARN"</formula>
    </cfRule>
  </conditionalFormatting>
  <conditionalFormatting sqref="D162">
    <cfRule type="cellIs" dxfId="89" priority="60" operator="equal">
      <formula>"WARN"</formula>
    </cfRule>
  </conditionalFormatting>
  <conditionalFormatting sqref="D162">
    <cfRule type="cellIs" dxfId="88" priority="59" operator="equal">
      <formula>"WARN"</formula>
    </cfRule>
  </conditionalFormatting>
  <conditionalFormatting sqref="D162">
    <cfRule type="cellIs" dxfId="87" priority="58" operator="equal">
      <formula>"WARN"</formula>
    </cfRule>
  </conditionalFormatting>
  <conditionalFormatting sqref="D162">
    <cfRule type="cellIs" dxfId="86" priority="57" operator="equal">
      <formula>"WARN"</formula>
    </cfRule>
  </conditionalFormatting>
  <conditionalFormatting sqref="D170">
    <cfRule type="cellIs" dxfId="85" priority="56" operator="equal">
      <formula>"WARN"</formula>
    </cfRule>
  </conditionalFormatting>
  <conditionalFormatting sqref="D170">
    <cfRule type="cellIs" dxfId="84" priority="55" operator="equal">
      <formula>"WARN"</formula>
    </cfRule>
  </conditionalFormatting>
  <conditionalFormatting sqref="D170">
    <cfRule type="cellIs" dxfId="83" priority="54" operator="equal">
      <formula>"WARN"</formula>
    </cfRule>
  </conditionalFormatting>
  <conditionalFormatting sqref="D170">
    <cfRule type="cellIs" dxfId="82" priority="53" operator="equal">
      <formula>"WARN"</formula>
    </cfRule>
  </conditionalFormatting>
  <conditionalFormatting sqref="D170">
    <cfRule type="cellIs" dxfId="81" priority="52" operator="equal">
      <formula>"WARN"</formula>
    </cfRule>
  </conditionalFormatting>
  <conditionalFormatting sqref="D172">
    <cfRule type="cellIs" dxfId="80" priority="51" operator="equal">
      <formula>"WARN"</formula>
    </cfRule>
  </conditionalFormatting>
  <conditionalFormatting sqref="D172">
    <cfRule type="cellIs" dxfId="79" priority="50" operator="equal">
      <formula>"WARN"</formula>
    </cfRule>
  </conditionalFormatting>
  <conditionalFormatting sqref="D172">
    <cfRule type="cellIs" dxfId="78" priority="49" operator="equal">
      <formula>"WARN"</formula>
    </cfRule>
  </conditionalFormatting>
  <conditionalFormatting sqref="D172">
    <cfRule type="cellIs" dxfId="77" priority="48" operator="equal">
      <formula>"WARN"</formula>
    </cfRule>
  </conditionalFormatting>
  <conditionalFormatting sqref="D172">
    <cfRule type="cellIs" dxfId="76" priority="47" operator="equal">
      <formula>"WARN"</formula>
    </cfRule>
  </conditionalFormatting>
  <conditionalFormatting sqref="D179">
    <cfRule type="cellIs" dxfId="75" priority="46" operator="equal">
      <formula>"WARN"</formula>
    </cfRule>
  </conditionalFormatting>
  <conditionalFormatting sqref="D179">
    <cfRule type="cellIs" dxfId="74" priority="45" operator="equal">
      <formula>"WARN"</formula>
    </cfRule>
  </conditionalFormatting>
  <conditionalFormatting sqref="D179">
    <cfRule type="cellIs" dxfId="73" priority="44" operator="equal">
      <formula>"WARN"</formula>
    </cfRule>
  </conditionalFormatting>
  <conditionalFormatting sqref="D179">
    <cfRule type="cellIs" dxfId="72" priority="43" operator="equal">
      <formula>"WARN"</formula>
    </cfRule>
  </conditionalFormatting>
  <conditionalFormatting sqref="D179">
    <cfRule type="cellIs" dxfId="71" priority="42" operator="equal">
      <formula>"WARN"</formula>
    </cfRule>
  </conditionalFormatting>
  <conditionalFormatting sqref="D183">
    <cfRule type="cellIs" dxfId="70" priority="41" operator="equal">
      <formula>"WARN"</formula>
    </cfRule>
  </conditionalFormatting>
  <conditionalFormatting sqref="D183">
    <cfRule type="cellIs" dxfId="69" priority="40" operator="equal">
      <formula>"WARN"</formula>
    </cfRule>
  </conditionalFormatting>
  <conditionalFormatting sqref="D183">
    <cfRule type="cellIs" dxfId="68" priority="39" operator="equal">
      <formula>"WARN"</formula>
    </cfRule>
  </conditionalFormatting>
  <conditionalFormatting sqref="D183">
    <cfRule type="cellIs" dxfId="67" priority="38" operator="equal">
      <formula>"WARN"</formula>
    </cfRule>
  </conditionalFormatting>
  <conditionalFormatting sqref="D183">
    <cfRule type="cellIs" dxfId="66" priority="37" operator="equal">
      <formula>"WARN"</formula>
    </cfRule>
  </conditionalFormatting>
  <conditionalFormatting sqref="D186">
    <cfRule type="cellIs" dxfId="65" priority="36" operator="equal">
      <formula>"WARN"</formula>
    </cfRule>
  </conditionalFormatting>
  <conditionalFormatting sqref="D186">
    <cfRule type="cellIs" dxfId="64" priority="35" operator="equal">
      <formula>"WARN"</formula>
    </cfRule>
  </conditionalFormatting>
  <conditionalFormatting sqref="D186">
    <cfRule type="cellIs" dxfId="63" priority="34" operator="equal">
      <formula>"WARN"</formula>
    </cfRule>
  </conditionalFormatting>
  <conditionalFormatting sqref="D186">
    <cfRule type="cellIs" dxfId="62" priority="33" operator="equal">
      <formula>"WARN"</formula>
    </cfRule>
  </conditionalFormatting>
  <conditionalFormatting sqref="D186">
    <cfRule type="cellIs" dxfId="61" priority="32" operator="equal">
      <formula>"WARN"</formula>
    </cfRule>
  </conditionalFormatting>
  <conditionalFormatting sqref="D191">
    <cfRule type="cellIs" dxfId="60" priority="31" operator="equal">
      <formula>"WARN"</formula>
    </cfRule>
  </conditionalFormatting>
  <conditionalFormatting sqref="D191">
    <cfRule type="cellIs" dxfId="59" priority="30" operator="equal">
      <formula>"WARN"</formula>
    </cfRule>
  </conditionalFormatting>
  <conditionalFormatting sqref="D191">
    <cfRule type="cellIs" dxfId="58" priority="29" operator="equal">
      <formula>"WARN"</formula>
    </cfRule>
  </conditionalFormatting>
  <conditionalFormatting sqref="D191">
    <cfRule type="cellIs" dxfId="57" priority="28" operator="equal">
      <formula>"WARN"</formula>
    </cfRule>
  </conditionalFormatting>
  <conditionalFormatting sqref="D191">
    <cfRule type="cellIs" dxfId="56" priority="27" operator="equal">
      <formula>"WARN"</formula>
    </cfRule>
  </conditionalFormatting>
  <conditionalFormatting sqref="D195">
    <cfRule type="cellIs" dxfId="55" priority="26" operator="equal">
      <formula>"WARN"</formula>
    </cfRule>
  </conditionalFormatting>
  <conditionalFormatting sqref="D195">
    <cfRule type="cellIs" dxfId="54" priority="25" operator="equal">
      <formula>"WARN"</formula>
    </cfRule>
  </conditionalFormatting>
  <conditionalFormatting sqref="D195">
    <cfRule type="cellIs" dxfId="53" priority="24" operator="equal">
      <formula>"WARN"</formula>
    </cfRule>
  </conditionalFormatting>
  <conditionalFormatting sqref="D195">
    <cfRule type="cellIs" dxfId="52" priority="23" operator="equal">
      <formula>"WARN"</formula>
    </cfRule>
  </conditionalFormatting>
  <conditionalFormatting sqref="D195">
    <cfRule type="cellIs" dxfId="51" priority="22" operator="equal">
      <formula>"WARN"</formula>
    </cfRule>
  </conditionalFormatting>
  <conditionalFormatting sqref="D199">
    <cfRule type="cellIs" dxfId="50" priority="21" operator="equal">
      <formula>"WARN"</formula>
    </cfRule>
  </conditionalFormatting>
  <conditionalFormatting sqref="D199">
    <cfRule type="cellIs" dxfId="49" priority="20" operator="equal">
      <formula>"WARN"</formula>
    </cfRule>
  </conditionalFormatting>
  <conditionalFormatting sqref="D199">
    <cfRule type="cellIs" dxfId="48" priority="19" operator="equal">
      <formula>"WARN"</formula>
    </cfRule>
  </conditionalFormatting>
  <conditionalFormatting sqref="D199">
    <cfRule type="cellIs" dxfId="47" priority="18" operator="equal">
      <formula>"WARN"</formula>
    </cfRule>
  </conditionalFormatting>
  <conditionalFormatting sqref="D199">
    <cfRule type="cellIs" dxfId="46" priority="17" operator="equal">
      <formula>"WARN"</formula>
    </cfRule>
  </conditionalFormatting>
  <conditionalFormatting sqref="D85">
    <cfRule type="cellIs" dxfId="45" priority="16" operator="equal">
      <formula>"WARN"</formula>
    </cfRule>
  </conditionalFormatting>
  <conditionalFormatting sqref="D85">
    <cfRule type="cellIs" dxfId="44" priority="15" operator="equal">
      <formula>"WARN"</formula>
    </cfRule>
  </conditionalFormatting>
  <conditionalFormatting sqref="D85">
    <cfRule type="cellIs" dxfId="43" priority="14" operator="equal">
      <formula>"WARN"</formula>
    </cfRule>
  </conditionalFormatting>
  <conditionalFormatting sqref="D85">
    <cfRule type="cellIs" dxfId="42" priority="13" operator="equal">
      <formula>"WARN"</formula>
    </cfRule>
  </conditionalFormatting>
  <conditionalFormatting sqref="D94">
    <cfRule type="cellIs" dxfId="41" priority="12" operator="equal">
      <formula>"WARN"</formula>
    </cfRule>
  </conditionalFormatting>
  <conditionalFormatting sqref="D94">
    <cfRule type="cellIs" dxfId="40" priority="11" operator="equal">
      <formula>"WARN"</formula>
    </cfRule>
  </conditionalFormatting>
  <conditionalFormatting sqref="D94">
    <cfRule type="cellIs" dxfId="39" priority="10" operator="equal">
      <formula>"WARN"</formula>
    </cfRule>
  </conditionalFormatting>
  <conditionalFormatting sqref="D94">
    <cfRule type="cellIs" dxfId="38" priority="9" operator="equal">
      <formula>"WARN"</formula>
    </cfRule>
  </conditionalFormatting>
  <conditionalFormatting sqref="D166">
    <cfRule type="cellIs" dxfId="37" priority="8" operator="equal">
      <formula>"WARN"</formula>
    </cfRule>
  </conditionalFormatting>
  <conditionalFormatting sqref="D166">
    <cfRule type="cellIs" dxfId="36" priority="7" operator="equal">
      <formula>"WARN"</formula>
    </cfRule>
  </conditionalFormatting>
  <conditionalFormatting sqref="D166">
    <cfRule type="cellIs" dxfId="35" priority="6" operator="equal">
      <formula>"WARN"</formula>
    </cfRule>
  </conditionalFormatting>
  <conditionalFormatting sqref="D166">
    <cfRule type="cellIs" dxfId="34" priority="5" operator="equal">
      <formula>"WARN"</formula>
    </cfRule>
  </conditionalFormatting>
  <conditionalFormatting sqref="D168">
    <cfRule type="cellIs" dxfId="33" priority="4" operator="equal">
      <formula>"WARN"</formula>
    </cfRule>
  </conditionalFormatting>
  <conditionalFormatting sqref="D168">
    <cfRule type="cellIs" dxfId="32" priority="3" operator="equal">
      <formula>"WARN"</formula>
    </cfRule>
  </conditionalFormatting>
  <conditionalFormatting sqref="D168">
    <cfRule type="cellIs" dxfId="31" priority="2" operator="equal">
      <formula>"WARN"</formula>
    </cfRule>
  </conditionalFormatting>
  <conditionalFormatting sqref="D168">
    <cfRule type="cellIs" dxfId="3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first-error</vt:lpstr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  <vt:lpstr>formula-custom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2013-06-28T02:44:20Z</dcterms:modified>
</cp:coreProperties>
</file>