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 411\Downloads\"/>
    </mc:Choice>
  </mc:AlternateContent>
  <xr:revisionPtr revIDLastSave="0" documentId="13_ncr:1_{31F98DCE-C768-49E3-AAAC-C70A0428B3CF}" xr6:coauthVersionLast="47" xr6:coauthVersionMax="47" xr10:uidLastSave="{00000000-0000-0000-0000-000000000000}"/>
  <bookViews>
    <workbookView xWindow="-108" yWindow="-108" windowWidth="23256" windowHeight="12456" xr2:uid="{576FF9CB-0110-432B-A28E-C3844E08018B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T6" i="1" s="1"/>
  <c r="Q5" i="1"/>
  <c r="T5" i="1" s="1"/>
  <c r="Q4" i="1"/>
  <c r="T4" i="1" s="1"/>
  <c r="Q3" i="1"/>
  <c r="T3" i="1" s="1"/>
  <c r="R3" i="1" l="1"/>
  <c r="R4" i="1"/>
  <c r="R5" i="1"/>
  <c r="R6" i="1"/>
  <c r="B28" i="1" l="1"/>
  <c r="C28" i="1"/>
  <c r="E28" i="1" s="1"/>
  <c r="G28" i="1"/>
  <c r="B29" i="1"/>
  <c r="C29" i="1"/>
  <c r="E29" i="1" s="1"/>
  <c r="G29" i="1"/>
  <c r="B30" i="1"/>
  <c r="C30" i="1"/>
  <c r="E30" i="1" s="1"/>
  <c r="G30" i="1"/>
  <c r="B31" i="1"/>
  <c r="C31" i="1"/>
  <c r="E31" i="1"/>
  <c r="F31" i="1"/>
  <c r="G31" i="1"/>
  <c r="E56" i="1"/>
  <c r="F56" i="1" s="1"/>
  <c r="E55" i="1"/>
  <c r="F55" i="1" s="1"/>
  <c r="E54" i="1"/>
  <c r="F54" i="1" s="1"/>
  <c r="E53" i="1"/>
  <c r="F53" i="1" s="1"/>
  <c r="E52" i="1"/>
  <c r="B52" i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H44" i="1" s="1"/>
  <c r="G43" i="1"/>
  <c r="C43" i="1"/>
  <c r="E43" i="1" s="1"/>
  <c r="B43" i="1"/>
  <c r="G42" i="1"/>
  <c r="C42" i="1"/>
  <c r="E42" i="1" s="1"/>
  <c r="G41" i="1"/>
  <c r="C41" i="1"/>
  <c r="E41" i="1" s="1"/>
  <c r="G40" i="1"/>
  <c r="C40" i="1"/>
  <c r="E40" i="1" s="1"/>
  <c r="H40" i="1" s="1"/>
  <c r="B40" i="1"/>
  <c r="G39" i="1"/>
  <c r="C39" i="1"/>
  <c r="E39" i="1" s="1"/>
  <c r="B39" i="1"/>
  <c r="G38" i="1"/>
  <c r="C38" i="1"/>
  <c r="E38" i="1" s="1"/>
  <c r="H38" i="1" s="1"/>
  <c r="B38" i="1"/>
  <c r="G37" i="1"/>
  <c r="C37" i="1"/>
  <c r="E37" i="1" s="1"/>
  <c r="B37" i="1"/>
  <c r="C36" i="1"/>
  <c r="E36" i="1" s="1"/>
  <c r="B36" i="1"/>
  <c r="G35" i="1"/>
  <c r="C35" i="1"/>
  <c r="E35" i="1" s="1"/>
  <c r="B35" i="1"/>
  <c r="D34" i="1"/>
  <c r="C34" i="1"/>
  <c r="B34" i="1"/>
  <c r="D33" i="1"/>
  <c r="C33" i="1"/>
  <c r="B33" i="1"/>
  <c r="H31" i="1" l="1"/>
  <c r="F29" i="1"/>
  <c r="H29" i="1"/>
  <c r="F28" i="1"/>
  <c r="H28" i="1"/>
  <c r="H30" i="1"/>
  <c r="F30" i="1"/>
  <c r="E33" i="1"/>
  <c r="F33" i="1" s="1"/>
  <c r="E34" i="1"/>
  <c r="F34" i="1" s="1"/>
  <c r="F52" i="1"/>
  <c r="F36" i="1"/>
  <c r="H37" i="1"/>
  <c r="F37" i="1"/>
  <c r="H41" i="1"/>
  <c r="F41" i="1"/>
  <c r="F42" i="1"/>
  <c r="H42" i="1"/>
  <c r="H43" i="1"/>
  <c r="F43" i="1"/>
  <c r="H35" i="1"/>
  <c r="F35" i="1"/>
  <c r="H39" i="1"/>
  <c r="F39" i="1"/>
  <c r="F38" i="1"/>
  <c r="F40" i="1"/>
  <c r="F44" i="1"/>
  <c r="G25" i="1" l="1"/>
  <c r="G23" i="1"/>
  <c r="C23" i="1"/>
  <c r="E23" i="1" s="1"/>
  <c r="B23" i="1"/>
  <c r="G16" i="1"/>
  <c r="C16" i="1"/>
  <c r="E16" i="1" s="1"/>
  <c r="C25" i="1"/>
  <c r="E25" i="1" s="1"/>
  <c r="B25" i="1"/>
  <c r="C18" i="1"/>
  <c r="E18" i="1" s="1"/>
  <c r="B18" i="1"/>
  <c r="G18" i="1"/>
  <c r="G24" i="1"/>
  <c r="C24" i="1"/>
  <c r="E24" i="1" s="1"/>
  <c r="B24" i="1"/>
  <c r="C22" i="1"/>
  <c r="E22" i="1" s="1"/>
  <c r="G22" i="1"/>
  <c r="B22" i="1"/>
  <c r="C21" i="1"/>
  <c r="E21" i="1" s="1"/>
  <c r="E15" i="1"/>
  <c r="H15" i="1" s="1"/>
  <c r="E17" i="1"/>
  <c r="F17" i="1" s="1"/>
  <c r="E14" i="1"/>
  <c r="F14" i="1" s="1"/>
  <c r="H23" i="1" l="1"/>
  <c r="F23" i="1"/>
  <c r="H16" i="1"/>
  <c r="F16" i="1"/>
  <c r="F24" i="1"/>
  <c r="H25" i="1"/>
  <c r="F25" i="1"/>
  <c r="H18" i="1"/>
  <c r="F18" i="1"/>
  <c r="H24" i="1"/>
  <c r="H22" i="1"/>
  <c r="F22" i="1"/>
  <c r="H21" i="1"/>
  <c r="F21" i="1"/>
  <c r="F15" i="1"/>
  <c r="H17" i="1"/>
  <c r="H14" i="1"/>
  <c r="B5" i="1"/>
  <c r="E9" i="1"/>
  <c r="F9" i="1" s="1"/>
  <c r="C5" i="1"/>
  <c r="H9" i="1" l="1"/>
  <c r="B8" i="1"/>
  <c r="C8" i="1"/>
  <c r="E8" i="1" s="1"/>
  <c r="B7" i="1"/>
  <c r="C7" i="1"/>
  <c r="E7" i="1" s="1"/>
  <c r="F7" i="1" s="1"/>
  <c r="B6" i="1"/>
  <c r="B2" i="1"/>
  <c r="C6" i="1"/>
  <c r="E6" i="1" s="1"/>
  <c r="B4" i="1"/>
  <c r="C4" i="1"/>
  <c r="E4" i="1" s="1"/>
  <c r="E5" i="1"/>
  <c r="H5" i="1" s="1"/>
  <c r="D3" i="1"/>
  <c r="C3" i="1"/>
  <c r="B3" i="1"/>
  <c r="D2" i="1"/>
  <c r="C2" i="1"/>
  <c r="E2" i="1" l="1"/>
  <c r="F2" i="1" s="1"/>
  <c r="F8" i="1"/>
  <c r="E3" i="1"/>
  <c r="F3" i="1" s="1"/>
  <c r="F5" i="1"/>
  <c r="F6" i="1"/>
  <c r="F4" i="1"/>
</calcChain>
</file>

<file path=xl/sharedStrings.xml><?xml version="1.0" encoding="utf-8"?>
<sst xmlns="http://schemas.openxmlformats.org/spreadsheetml/2006/main" count="74" uniqueCount="51">
  <si>
    <t>With pipeline(切兩刀)</t>
    <phoneticPr fontId="1" type="noConversion"/>
  </si>
  <si>
    <t>With pipeline(切三刀)</t>
    <phoneticPr fontId="1" type="noConversion"/>
  </si>
  <si>
    <t>operation</t>
    <phoneticPr fontId="1" type="noConversion"/>
  </si>
  <si>
    <t>throughput(GOPS)</t>
    <phoneticPr fontId="1" type="noConversion"/>
  </si>
  <si>
    <t>operation time(s)</t>
    <phoneticPr fontId="1" type="noConversion"/>
  </si>
  <si>
    <t>area efficiency(throughput/area)</t>
    <phoneticPr fontId="1" type="noConversion"/>
  </si>
  <si>
    <t>power(W)</t>
    <phoneticPr fontId="1" type="noConversion"/>
  </si>
  <si>
    <t>energy efficiency(TOPS/W)</t>
    <phoneticPr fontId="1" type="noConversion"/>
  </si>
  <si>
    <t>With pipeline(切兩刀) + clk gating(IFM)(clk period=600)</t>
    <phoneticPr fontId="1" type="noConversion"/>
  </si>
  <si>
    <t>With pipeline(切兩刀) + clk gating(IFM&amp;W)(clk period=600)</t>
    <phoneticPr fontId="1" type="noConversion"/>
  </si>
  <si>
    <t>With pipeline(切兩刀) + clk gating(IFM)(clk period=565)</t>
    <phoneticPr fontId="1" type="noConversion"/>
  </si>
  <si>
    <t>With pipeline(切兩刀)+2D buffer (clk period=555)</t>
    <phoneticPr fontId="1" type="noConversion"/>
  </si>
  <si>
    <t>With pipeline(切兩刀)+3D buffer + 減少adder buffer(clk period=605)</t>
    <phoneticPr fontId="1" type="noConversion"/>
  </si>
  <si>
    <t>With pipeline(切兩刀)+2D buffer (clk period=605)</t>
    <phoneticPr fontId="1" type="noConversion"/>
  </si>
  <si>
    <t>With pipeline(切兩刀)+2D buffer (clk period=585)</t>
    <phoneticPr fontId="1" type="noConversion"/>
  </si>
  <si>
    <t>area(mm^2)</t>
    <phoneticPr fontId="1" type="noConversion"/>
  </si>
  <si>
    <t>With pipeline(切兩刀)+2D buffer (clk period=565)</t>
    <phoneticPr fontId="1" type="noConversion"/>
  </si>
  <si>
    <t>Without pipeline+3d buffer+no pattern weight buffer(clk period=770)</t>
    <phoneticPr fontId="1" type="noConversion"/>
  </si>
  <si>
    <t>Without pipeline+3d buffer+no pattern weight buffer(clk period=815)</t>
    <phoneticPr fontId="1" type="noConversion"/>
  </si>
  <si>
    <t>Without pipeline+3d buffer+no pattern weight buffer(clk period=860)</t>
    <phoneticPr fontId="1" type="noConversion"/>
  </si>
  <si>
    <t>Without pipeline+2d buffer+no pattern weight buffer(clk period=770)</t>
    <phoneticPr fontId="1" type="noConversion"/>
  </si>
  <si>
    <t>Without pipeline+2d buffer+no pattern weight buffer(clk period=815)</t>
    <phoneticPr fontId="1" type="noConversion"/>
  </si>
  <si>
    <t>Without pipeline+2d buffer+no pattern weight buffer(clk period=860)</t>
    <phoneticPr fontId="1" type="noConversion"/>
  </si>
  <si>
    <t>Without pipeline+1d buffer+no pattern weight buffer(clk period=815)</t>
    <phoneticPr fontId="1" type="noConversion"/>
  </si>
  <si>
    <t>Without pipeline+1d buffer+no pattern weight buffer(clk period=860)</t>
    <phoneticPr fontId="1" type="noConversion"/>
  </si>
  <si>
    <t>Without pipeline+3d buffer+no pattern weight buffer(clk period=905)</t>
    <phoneticPr fontId="1" type="noConversion"/>
  </si>
  <si>
    <t>Without pipeline+2d buffer+no pattern weight buffer(clk period=905)</t>
    <phoneticPr fontId="1" type="noConversion"/>
  </si>
  <si>
    <t>Without pipeline+1d buffer+no pattern weight buffer(clk period=905)</t>
    <phoneticPr fontId="1" type="noConversion"/>
  </si>
  <si>
    <t>Without pipeline+1d buffer+no pattern weight buffer(clk period=795)</t>
    <phoneticPr fontId="1" type="noConversion"/>
  </si>
  <si>
    <t>Without pipeline+3d buffer+no pattern weight buffer(clk period=816)</t>
    <phoneticPr fontId="1" type="noConversion"/>
  </si>
  <si>
    <t>Without pipeline+2d buffer+no pattern weight buffer(clk period=816)</t>
    <phoneticPr fontId="1" type="noConversion"/>
  </si>
  <si>
    <t>With pipeline(切兩刀)(clk period=600)</t>
    <phoneticPr fontId="1" type="noConversion"/>
  </si>
  <si>
    <t>With pipeline(切兩刀) + 2D buffer(clk period=565)</t>
    <phoneticPr fontId="1" type="noConversion"/>
  </si>
  <si>
    <t>With pipeline(切兩刀) + 3D buffer(MUL&amp;Adder)(clk period=650)</t>
    <phoneticPr fontId="1" type="noConversion"/>
  </si>
  <si>
    <t>With pipeline(切兩刀) + 3D buffer(全部) + 8個 3D adder_buffer (clk period=615)</t>
    <phoneticPr fontId="1" type="noConversion"/>
  </si>
  <si>
    <t>With pipeline(切兩刀) + 3D buffer(全部) + 4個 2D adder_buffer (clk period=605)</t>
    <phoneticPr fontId="1" type="noConversion"/>
  </si>
  <si>
    <t>With pipeline(切兩刀) + 2D buffer(clk period=555)</t>
    <phoneticPr fontId="1" type="noConversion"/>
  </si>
  <si>
    <r>
      <t>With pipeline(切兩刀) + 2D buffer+no FSM(clk period=</t>
    </r>
    <r>
      <rPr>
        <sz val="12"/>
        <color rgb="FFFF0000"/>
        <rFont val="新細明體"/>
        <family val="1"/>
        <charset val="136"/>
        <scheme val="minor"/>
      </rPr>
      <t>565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</si>
  <si>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With pipeline(切一刀) + 3D buffer+no FSM(clk period=655)</t>
    <phoneticPr fontId="1" type="noConversion"/>
  </si>
  <si>
    <r>
      <t>With pipeline(切一刀) + 3D buffer+no FSM(clk period=</t>
    </r>
    <r>
      <rPr>
        <sz val="12"/>
        <color rgb="FF00B050"/>
        <rFont val="新細明體"/>
        <family val="1"/>
        <charset val="136"/>
        <scheme val="minor"/>
      </rPr>
      <t>605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</si>
  <si>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With pipeline(切一刀) + 3D buffer+no FSM(clk period=700)</t>
    <phoneticPr fontId="1" type="noConversion"/>
  </si>
  <si>
    <r>
      <t>With pipeline(切一刀) + 3D buffer+no FSM(clk period=</t>
    </r>
    <r>
      <rPr>
        <sz val="12"/>
        <color rgb="FFFF0000"/>
        <rFont val="新細明體"/>
        <family val="1"/>
        <charset val="136"/>
        <scheme val="minor"/>
      </rPr>
      <t>565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</si>
  <si>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With pipeline(切一刀) + 2D buffer+no FSM(clk period=655)</t>
    <phoneticPr fontId="1" type="noConversion"/>
  </si>
  <si>
    <r>
      <t>With pipeline(切一刀) + 2D buffer+no FSM(clk period=</t>
    </r>
    <r>
      <rPr>
        <sz val="12"/>
        <color rgb="FF00B050"/>
        <rFont val="新細明體"/>
        <family val="1"/>
        <charset val="136"/>
        <scheme val="minor"/>
      </rPr>
      <t>605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</si>
  <si>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With pipeline(切一刀) + 2D buffer+no FSM(clk period=700)</t>
    <phoneticPr fontId="1" type="noConversion"/>
  </si>
  <si>
    <r>
      <t>With pipeline(切一刀) + 2D buffer+no FSM(clk period=</t>
    </r>
    <r>
      <rPr>
        <sz val="12"/>
        <color rgb="FFFF0000"/>
        <rFont val="新細明體"/>
        <family val="1"/>
        <charset val="136"/>
        <scheme val="minor"/>
      </rPr>
      <t>565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</si>
  <si>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With pipeline(切二刀) + 3D buffer+no FSM(clk period=655)</t>
    <phoneticPr fontId="1" type="noConversion"/>
  </si>
  <si>
    <r>
      <t>With pipeline(切二刀) + 3D buffer+no FSM(clk period=</t>
    </r>
    <r>
      <rPr>
        <sz val="12"/>
        <color rgb="FF00B050"/>
        <rFont val="新細明體"/>
        <family val="1"/>
        <charset val="136"/>
        <scheme val="minor"/>
      </rPr>
      <t>605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</si>
  <si>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With pipeline(切二刀) + 3D buffer+no FSM(clk period=700)</t>
    <phoneticPr fontId="1" type="noConversion"/>
  </si>
  <si>
    <r>
      <t>With pipeline(切二刀) + 3D buffer+no FSM(clk period=</t>
    </r>
    <r>
      <rPr>
        <sz val="12"/>
        <color rgb="FFFF0000"/>
        <rFont val="新細明體"/>
        <family val="1"/>
        <charset val="136"/>
        <scheme val="minor"/>
      </rPr>
      <t>565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</si>
  <si>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no pattern weight buffer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</si>
</sst>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rgb="FF00B050"/>
      <name val="新細明體"/>
      <family val="1"/>
      <charset val="136"/>
      <scheme val="minor"/>
    </font>
    <font>
      <sz val="12"/>
      <color rgb="FF00B050"/>
      <name val="新細明體"/>
      <family val="2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0" fontId="0" fillId="4" borderId="0" xfId="0" applyFill="1">
      <alignment vertical="center"/>
    </xf>
    <xf numFmtId="11" fontId="0" fillId="4" borderId="0" xfId="0" applyNumberFormat="1" applyFill="1">
      <alignment vertical="center"/>
    </xf>
    <xf numFmtId="0" fontId="0" fillId="5" borderId="0" xfId="0" applyFill="1">
      <alignment vertical="center"/>
    </xf>
    <xf numFmtId="0" fontId="2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11" fontId="2" fillId="0" borderId="0" xfId="0" applyNumberFormat="1" applyFont="1">
      <alignment vertical="center"/>
    </xf>
    <xf numFmtId="0" fontId="2" fillId="0" borderId="0" xfId="0" applyFont="1">
      <alignment vertical="center"/>
    </xf>
    <xf numFmtId="11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0" fillId="8" borderId="0" xfId="0" applyFill="1">
      <alignment vertical="center"/>
    </xf>
    <xf numFmtId="11" fontId="0" fillId="8" borderId="0" xfId="0" applyNumberFormat="1" applyFill="1">
      <alignment vertical="center"/>
    </xf>
    <xf numFmtId="0" fontId="0" fillId="9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75772-877E-4934-8046-5F98093DD9C0}">
  <dimension ref="A1:T56"/>
  <sheetViews>
    <sheetView tabSelected="1" zoomScale="90" zoomScaleNormal="90" workbookViewId="0">
      <selection activeCell="A10" sqref="A10"/>
    </sheetView>
  </sheetViews>
  <sheetFormatPr defaultRowHeight="16.2" x14ac:dyDescent="0.3"/>
  <cols>
    <col min="1" max="1" width="70.21875" customWidth="1"/>
    <col min="2" max="2" width="14.6640625" customWidth="1"/>
    <col min="3" max="3" width="16.33203125" customWidth="1"/>
    <col min="4" max="4" width="9.88671875" customWidth="1"/>
    <col min="5" max="5" width="16.109375" customWidth="1"/>
    <col min="6" max="6" width="27.6640625" customWidth="1"/>
    <col min="7" max="7" width="12.21875" customWidth="1"/>
    <col min="8" max="8" width="24.6640625" customWidth="1"/>
  </cols>
  <sheetData>
    <row r="1" spans="1:20" x14ac:dyDescent="0.3">
      <c r="B1" s="2" t="s">
        <v>15</v>
      </c>
      <c r="C1" s="2" t="s">
        <v>4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</row>
    <row r="2" spans="1:20" x14ac:dyDescent="0.3">
      <c r="A2" s="1" t="s">
        <v>0</v>
      </c>
      <c r="B2">
        <f>10122.252463*10^(-6)</f>
        <v>1.0122252462999999E-2</v>
      </c>
      <c r="C2">
        <f>53750*10^(-12)</f>
        <v>5.3750000000000002E-8</v>
      </c>
      <c r="D2">
        <f>32*50*2</f>
        <v>3200</v>
      </c>
      <c r="E2">
        <f>D2/C2/10^(9)</f>
        <v>59.534883720930232</v>
      </c>
      <c r="F2">
        <f>E2/B2</f>
        <v>5881.5845523067974</v>
      </c>
      <c r="M2" s="6" t="s">
        <v>50</v>
      </c>
      <c r="T2" s="3"/>
    </row>
    <row r="3" spans="1:20" x14ac:dyDescent="0.3">
      <c r="A3" s="1" t="s">
        <v>1</v>
      </c>
      <c r="B3">
        <f>10881.578863*10^(-6)</f>
        <v>1.0881578863000001E-2</v>
      </c>
      <c r="C3">
        <f>54750*10^(-12)</f>
        <v>5.4749999999999997E-8</v>
      </c>
      <c r="D3">
        <f>32*50*2</f>
        <v>3200</v>
      </c>
      <c r="E3">
        <f>D3/C3/10^(9)</f>
        <v>58.44748858447489</v>
      </c>
      <c r="F3">
        <f>E3/B3</f>
        <v>5371.2323662157596</v>
      </c>
      <c r="M3" s="4" t="s">
        <v>12</v>
      </c>
      <c r="N3" s="3">
        <v>6.3529142229999998E-3</v>
      </c>
      <c r="O3" s="3">
        <v>3.2613000000000002E-8</v>
      </c>
      <c r="P3">
        <v>3200</v>
      </c>
      <c r="Q3" s="4">
        <f t="shared" ref="Q3" si="0">P3/O3/10^(9)</f>
        <v>98.120381442982847</v>
      </c>
      <c r="R3" s="4">
        <f t="shared" ref="R3" si="1">Q3/N3</f>
        <v>15444.940384642567</v>
      </c>
      <c r="S3" s="3">
        <v>2.4269999999999999E-3</v>
      </c>
      <c r="T3" s="5">
        <f t="shared" ref="T3" si="2">Q3*10^-3/S3</f>
        <v>40.428669733408675</v>
      </c>
    </row>
    <row r="4" spans="1:20" x14ac:dyDescent="0.3">
      <c r="A4" s="1" t="s">
        <v>8</v>
      </c>
      <c r="B4">
        <f>11168.979833*10^-6</f>
        <v>1.1168979833E-2</v>
      </c>
      <c r="C4">
        <f>32250*10^-12</f>
        <v>3.2250000000000001E-8</v>
      </c>
      <c r="D4">
        <v>3200</v>
      </c>
      <c r="E4">
        <f t="shared" ref="E4" si="3">D4/C4/10^(9)</f>
        <v>99.224806201550379</v>
      </c>
      <c r="F4">
        <f t="shared" ref="F4" si="4">E4/B4</f>
        <v>8883.9632343483681</v>
      </c>
      <c r="M4" s="4" t="s">
        <v>13</v>
      </c>
      <c r="N4" s="3">
        <v>8.0871177539999992E-3</v>
      </c>
      <c r="O4" s="3">
        <v>3.2613000000000002E-8</v>
      </c>
      <c r="P4">
        <v>3200</v>
      </c>
      <c r="Q4" s="4">
        <f>P4/O4/10^(9)</f>
        <v>98.120381442982847</v>
      </c>
      <c r="R4" s="4">
        <f>Q4/N4</f>
        <v>12132.92354923992</v>
      </c>
      <c r="S4" s="3">
        <v>2.9819999999999998E-3</v>
      </c>
      <c r="T4" s="5">
        <f>Q4*10^-3/S4</f>
        <v>32.904219129102231</v>
      </c>
    </row>
    <row r="5" spans="1:20" x14ac:dyDescent="0.3">
      <c r="A5" s="4" t="s">
        <v>11</v>
      </c>
      <c r="B5">
        <f>11142.385913*10^-6</f>
        <v>1.1142385913E-2</v>
      </c>
      <c r="C5">
        <f>29926*10^-12</f>
        <v>2.9925999999999999E-8</v>
      </c>
      <c r="D5">
        <v>3200</v>
      </c>
      <c r="E5" s="4">
        <f>D5/C5/10^(9)</f>
        <v>106.93042839002874</v>
      </c>
      <c r="F5" s="4">
        <f>E5/B5</f>
        <v>9596.7263407446062</v>
      </c>
      <c r="G5" s="3">
        <v>3.934E-3</v>
      </c>
      <c r="H5">
        <f t="shared" ref="H5:H9" si="5">E5*10^-3/G5</f>
        <v>27.181095167775482</v>
      </c>
      <c r="M5" s="4" t="s">
        <v>14</v>
      </c>
      <c r="N5" s="3">
        <v>8.1302745540000002E-3</v>
      </c>
      <c r="O5" s="3">
        <v>3.1538000000000001E-8</v>
      </c>
      <c r="P5">
        <v>3200</v>
      </c>
      <c r="Q5" s="4">
        <f>P5/O5/10^(9)</f>
        <v>101.46489948633393</v>
      </c>
      <c r="R5" s="4">
        <f>Q5/N5</f>
        <v>12479.885988156992</v>
      </c>
      <c r="S5" s="3">
        <v>3.1289999999999998E-3</v>
      </c>
      <c r="T5" s="5">
        <f>Q5*10^-3/S5</f>
        <v>32.42726094162159</v>
      </c>
    </row>
    <row r="6" spans="1:20" x14ac:dyDescent="0.3">
      <c r="A6" s="1" t="s">
        <v>9</v>
      </c>
      <c r="B6">
        <f>11168.979833*10^-6</f>
        <v>1.1168979833E-2</v>
      </c>
      <c r="C6">
        <f>32250*10^-12</f>
        <v>3.2250000000000001E-8</v>
      </c>
      <c r="D6">
        <v>3200</v>
      </c>
      <c r="E6">
        <f>D6/C6/10^(9)</f>
        <v>99.224806201550379</v>
      </c>
      <c r="F6">
        <f>E6/B6</f>
        <v>8883.9632343483681</v>
      </c>
      <c r="M6" s="4" t="s">
        <v>16</v>
      </c>
      <c r="N6" s="3">
        <v>8.1932601539999993E-3</v>
      </c>
      <c r="O6" s="3">
        <v>3.0463E-8</v>
      </c>
      <c r="P6">
        <v>3200</v>
      </c>
      <c r="Q6" s="4">
        <f>P6/O6/10^(9)</f>
        <v>105.04546499031612</v>
      </c>
      <c r="R6" s="4">
        <f>Q6/N6</f>
        <v>12820.960523148076</v>
      </c>
      <c r="S6" s="3">
        <v>3.2729999999999999E-3</v>
      </c>
      <c r="T6" s="5">
        <f>Q6*10^-3/S6</f>
        <v>32.094550867802056</v>
      </c>
    </row>
    <row r="7" spans="1:20" x14ac:dyDescent="0.3">
      <c r="A7" s="1" t="s">
        <v>10</v>
      </c>
      <c r="B7">
        <f>11229.865914*10^-6</f>
        <v>1.1229865913999999E-2</v>
      </c>
      <c r="C7">
        <f>30463*10^-12</f>
        <v>3.0463E-8</v>
      </c>
      <c r="D7">
        <v>3200</v>
      </c>
      <c r="E7">
        <f>D7/C7/10^(9)</f>
        <v>105.04546499031612</v>
      </c>
      <c r="F7">
        <f>E7/B7</f>
        <v>9354.1156942362522</v>
      </c>
    </row>
    <row r="8" spans="1:20" x14ac:dyDescent="0.3">
      <c r="A8" s="1"/>
      <c r="B8">
        <f>11229.865914*10^-6</f>
        <v>1.1229865913999999E-2</v>
      </c>
      <c r="C8">
        <f>30463*10^-12</f>
        <v>3.0463E-8</v>
      </c>
      <c r="D8">
        <v>3200</v>
      </c>
      <c r="E8">
        <f>D8/C8/10^(9)</f>
        <v>105.04546499031612</v>
      </c>
      <c r="F8">
        <f>E8/B8</f>
        <v>9354.1156942362522</v>
      </c>
    </row>
    <row r="9" spans="1:20" x14ac:dyDescent="0.3">
      <c r="A9" s="4" t="s">
        <v>12</v>
      </c>
      <c r="B9" s="3">
        <v>9.2245910219999998E-3</v>
      </c>
      <c r="C9" s="3">
        <v>3.2613000000000002E-8</v>
      </c>
      <c r="D9">
        <v>3200</v>
      </c>
      <c r="E9">
        <f>D9/C9/10^(9)</f>
        <v>98.120381442982847</v>
      </c>
      <c r="F9" s="4">
        <f>E9/B9</f>
        <v>10636.827281445068</v>
      </c>
      <c r="G9" s="5">
        <v>2.954E-3</v>
      </c>
      <c r="H9" s="5">
        <f t="shared" si="5"/>
        <v>33.216107462079499</v>
      </c>
    </row>
    <row r="10" spans="1:20" x14ac:dyDescent="0.3">
      <c r="F10" s="4"/>
      <c r="H10" s="5"/>
    </row>
    <row r="11" spans="1:20" x14ac:dyDescent="0.3">
      <c r="H11" s="3"/>
    </row>
    <row r="12" spans="1:20" x14ac:dyDescent="0.3">
      <c r="B12" s="2" t="s">
        <v>15</v>
      </c>
      <c r="C12" s="2" t="s">
        <v>4</v>
      </c>
      <c r="D12" s="2" t="s">
        <v>2</v>
      </c>
      <c r="E12" s="2" t="s">
        <v>3</v>
      </c>
      <c r="F12" s="2" t="s">
        <v>5</v>
      </c>
      <c r="G12" s="2" t="s">
        <v>6</v>
      </c>
      <c r="H12" s="2" t="s">
        <v>7</v>
      </c>
    </row>
    <row r="13" spans="1:20" x14ac:dyDescent="0.3">
      <c r="A13" s="17" t="s">
        <v>50</v>
      </c>
      <c r="B13" s="15"/>
      <c r="C13" s="15"/>
      <c r="D13" s="15"/>
      <c r="E13" s="15"/>
      <c r="F13" s="15"/>
      <c r="G13" s="15"/>
      <c r="H13" s="16"/>
    </row>
    <row r="14" spans="1:20" x14ac:dyDescent="0.3">
      <c r="A14" s="4" t="s">
        <v>17</v>
      </c>
      <c r="B14" s="3">
        <v>3.2547225499999998E-3</v>
      </c>
      <c r="C14" s="3">
        <v>3.9886999999999998E-8</v>
      </c>
      <c r="D14">
        <v>3200</v>
      </c>
      <c r="E14" s="4">
        <f>D14/C14/10^(9)</f>
        <v>80.22664025873091</v>
      </c>
      <c r="F14" s="4">
        <f>E14/B14</f>
        <v>24649.302367948665</v>
      </c>
      <c r="G14" s="3">
        <v>1.3140000000000001E-3</v>
      </c>
      <c r="H14" s="5">
        <f>E14*10^-3/G14</f>
        <v>61.055281779856095</v>
      </c>
    </row>
    <row r="15" spans="1:20" x14ac:dyDescent="0.3">
      <c r="A15" s="4" t="s">
        <v>18</v>
      </c>
      <c r="B15" s="3">
        <v>3.2031676660000002E-3</v>
      </c>
      <c r="C15" s="3">
        <v>4.2269E-8</v>
      </c>
      <c r="D15">
        <v>3200</v>
      </c>
      <c r="E15" s="4">
        <f>D15/C15/10^(9)</f>
        <v>75.705599848588804</v>
      </c>
      <c r="F15" s="4">
        <f>E15/B15</f>
        <v>23634.604161425996</v>
      </c>
      <c r="G15" s="3">
        <v>1.2470000000000001E-3</v>
      </c>
      <c r="H15" s="5">
        <f>E15*10^-3/G15</f>
        <v>60.710184321242025</v>
      </c>
    </row>
    <row r="16" spans="1:20" x14ac:dyDescent="0.3">
      <c r="A16" s="8" t="s">
        <v>29</v>
      </c>
      <c r="B16" s="3">
        <v>3.2027011060000001E-3</v>
      </c>
      <c r="C16" s="3">
        <f>42268*10^-6</f>
        <v>4.2268E-2</v>
      </c>
      <c r="D16">
        <v>3200</v>
      </c>
      <c r="E16" s="4">
        <f>D16/C16/10^(9)</f>
        <v>7.570739093403994E-5</v>
      </c>
      <c r="F16" s="4">
        <f>E16/B16</f>
        <v>2.3638606422625046E-2</v>
      </c>
      <c r="G16" s="3">
        <f>1.244*10^-3</f>
        <v>1.2440000000000001E-3</v>
      </c>
      <c r="H16" s="5">
        <f>E16*10^-3/G16</f>
        <v>6.0858031297459754E-5</v>
      </c>
    </row>
    <row r="17" spans="1:9" x14ac:dyDescent="0.3">
      <c r="A17" s="4" t="s">
        <v>19</v>
      </c>
      <c r="B17" s="3">
        <v>3.2027011060000001E-3</v>
      </c>
      <c r="C17" s="3">
        <v>4.4545E-8</v>
      </c>
      <c r="D17">
        <v>3200</v>
      </c>
      <c r="E17" s="4">
        <f>D17/C17/10^(9)</f>
        <v>71.837467729262542</v>
      </c>
      <c r="F17" s="4">
        <f>E17/B17</f>
        <v>22430.275368088794</v>
      </c>
      <c r="G17" s="3">
        <v>1.1789999999999999E-3</v>
      </c>
      <c r="H17" s="5">
        <f>E17*10^-3/G17</f>
        <v>60.930846250434726</v>
      </c>
    </row>
    <row r="18" spans="1:9" x14ac:dyDescent="0.3">
      <c r="A18" s="4" t="s">
        <v>25</v>
      </c>
      <c r="B18" s="3">
        <f>3202.70116*10^-6</f>
        <v>3.2027011599999999E-3</v>
      </c>
      <c r="C18">
        <f>46926*10^-12</f>
        <v>4.6925999999999999E-8</v>
      </c>
      <c r="D18">
        <v>3200</v>
      </c>
      <c r="E18" s="4">
        <f t="shared" ref="E18:E25" si="6">D18/C18/10^(9)</f>
        <v>68.192473255764398</v>
      </c>
      <c r="F18" s="4">
        <f t="shared" ref="F18:F25" si="7">E18/B18</f>
        <v>21292.174901439885</v>
      </c>
      <c r="G18">
        <f>1.118*10^-3</f>
        <v>1.1180000000000001E-3</v>
      </c>
      <c r="H18" s="5">
        <f t="shared" ref="H18:H25" si="8">E18*10^-3/G18</f>
        <v>60.995056579395701</v>
      </c>
    </row>
    <row r="19" spans="1:9" x14ac:dyDescent="0.3">
      <c r="B19" s="15"/>
      <c r="C19" s="15"/>
      <c r="D19" s="15"/>
      <c r="E19" s="15"/>
      <c r="F19" s="15"/>
      <c r="G19" s="15"/>
      <c r="H19" s="16"/>
    </row>
    <row r="20" spans="1:9" x14ac:dyDescent="0.3">
      <c r="A20" s="17" t="s">
        <v>50</v>
      </c>
      <c r="B20" s="15"/>
      <c r="C20" s="15"/>
      <c r="D20" s="15"/>
      <c r="E20" s="15"/>
      <c r="F20" s="15"/>
      <c r="G20" s="15"/>
      <c r="H20" s="16"/>
      <c r="I20" s="15"/>
    </row>
    <row r="21" spans="1:9" x14ac:dyDescent="0.3">
      <c r="A21" s="4" t="s">
        <v>20</v>
      </c>
      <c r="B21" s="3">
        <v>3.2547225499999998E-3</v>
      </c>
      <c r="C21">
        <f>39887*10^-12</f>
        <v>3.9886999999999998E-8</v>
      </c>
      <c r="D21">
        <v>3200</v>
      </c>
      <c r="E21" s="4">
        <f t="shared" si="6"/>
        <v>80.22664025873091</v>
      </c>
      <c r="F21" s="4">
        <f t="shared" si="7"/>
        <v>24649.302367948665</v>
      </c>
      <c r="G21" s="3">
        <v>1.3140000000000001E-3</v>
      </c>
      <c r="H21" s="5">
        <f t="shared" si="8"/>
        <v>61.055281779856095</v>
      </c>
    </row>
    <row r="22" spans="1:9" x14ac:dyDescent="0.3">
      <c r="A22" s="4" t="s">
        <v>21</v>
      </c>
      <c r="B22">
        <f>3203.167666*10^-6</f>
        <v>3.2031676659999998E-3</v>
      </c>
      <c r="C22">
        <f>42269*10^-12</f>
        <v>4.2269E-8</v>
      </c>
      <c r="D22">
        <v>3200</v>
      </c>
      <c r="E22" s="4">
        <f t="shared" si="6"/>
        <v>75.705599848588804</v>
      </c>
      <c r="F22" s="4">
        <f t="shared" si="7"/>
        <v>23634.604161425999</v>
      </c>
      <c r="G22">
        <f>1.246*10^-3</f>
        <v>1.2459999999999999E-3</v>
      </c>
      <c r="H22" s="5">
        <f t="shared" si="8"/>
        <v>60.758908385705304</v>
      </c>
    </row>
    <row r="23" spans="1:9" x14ac:dyDescent="0.3">
      <c r="A23" s="8" t="s">
        <v>30</v>
      </c>
      <c r="B23">
        <f>3202.701106*10^-6</f>
        <v>3.2027011059999996E-3</v>
      </c>
      <c r="C23">
        <f>42268*10^-12</f>
        <v>4.2267999999999998E-8</v>
      </c>
      <c r="D23">
        <v>3200</v>
      </c>
      <c r="E23" s="4">
        <f t="shared" si="6"/>
        <v>75.707390934039935</v>
      </c>
      <c r="F23" s="4">
        <f t="shared" si="7"/>
        <v>23638.606422625049</v>
      </c>
      <c r="G23">
        <f>1.244*10^-3</f>
        <v>1.2440000000000001E-3</v>
      </c>
      <c r="H23" s="5">
        <f t="shared" si="8"/>
        <v>60.858031297459753</v>
      </c>
    </row>
    <row r="24" spans="1:9" x14ac:dyDescent="0.3">
      <c r="A24" s="4" t="s">
        <v>22</v>
      </c>
      <c r="B24">
        <f>3202.701106*10^-6</f>
        <v>3.2027011059999996E-3</v>
      </c>
      <c r="C24">
        <f>44545*10^-12</f>
        <v>4.4545E-8</v>
      </c>
      <c r="D24">
        <v>3200</v>
      </c>
      <c r="E24" s="4">
        <f t="shared" si="6"/>
        <v>71.837467729262542</v>
      </c>
      <c r="F24" s="4">
        <f t="shared" si="7"/>
        <v>22430.275368088798</v>
      </c>
      <c r="G24">
        <f>1.179*10^-3</f>
        <v>1.1790000000000001E-3</v>
      </c>
      <c r="H24" s="5">
        <f t="shared" si="8"/>
        <v>60.930846250434719</v>
      </c>
    </row>
    <row r="25" spans="1:9" x14ac:dyDescent="0.3">
      <c r="A25" s="4" t="s">
        <v>26</v>
      </c>
      <c r="B25">
        <f>3202.701106*10^-6</f>
        <v>3.2027011059999996E-3</v>
      </c>
      <c r="C25">
        <f>46926*10^-12</f>
        <v>4.6925999999999999E-8</v>
      </c>
      <c r="D25">
        <v>3200</v>
      </c>
      <c r="E25" s="4">
        <f t="shared" si="6"/>
        <v>68.192473255764398</v>
      </c>
      <c r="F25" s="4">
        <f t="shared" si="7"/>
        <v>21292.175260442305</v>
      </c>
      <c r="G25">
        <f>1.119*10^-3</f>
        <v>1.119E-3</v>
      </c>
      <c r="H25" s="5">
        <f t="shared" si="8"/>
        <v>60.940548039110276</v>
      </c>
    </row>
    <row r="26" spans="1:9" x14ac:dyDescent="0.3">
      <c r="A26" s="15"/>
      <c r="B26" s="15"/>
      <c r="C26" s="15"/>
      <c r="D26" s="15"/>
      <c r="E26" s="15"/>
      <c r="F26" s="15"/>
      <c r="G26" s="15"/>
      <c r="H26" s="16"/>
    </row>
    <row r="27" spans="1:9" x14ac:dyDescent="0.3">
      <c r="A27" s="17" t="s">
        <v>50</v>
      </c>
      <c r="B27" s="15"/>
      <c r="C27" s="15"/>
      <c r="D27" s="15"/>
      <c r="E27" s="15"/>
      <c r="F27" s="15"/>
      <c r="G27" s="15"/>
      <c r="H27" s="16"/>
    </row>
    <row r="28" spans="1:9" x14ac:dyDescent="0.3">
      <c r="A28" s="7" t="s">
        <v>28</v>
      </c>
      <c r="B28">
        <f>3034.039649*10^-6</f>
        <v>3.0340396489999997E-3</v>
      </c>
      <c r="C28">
        <f>41234*10^-12</f>
        <v>4.1233999999999997E-8</v>
      </c>
      <c r="D28">
        <v>3200</v>
      </c>
      <c r="E28" s="4">
        <f t="shared" ref="E28:E31" si="9">D28/C28/10^(9)</f>
        <v>77.605859242372802</v>
      </c>
      <c r="F28" s="4">
        <f t="shared" ref="F28:F31" si="10">E28/B28</f>
        <v>25578.393238186985</v>
      </c>
      <c r="G28">
        <f>1.259*10^-3</f>
        <v>1.2589999999999999E-3</v>
      </c>
      <c r="H28" s="5">
        <f t="shared" ref="H28:H31" si="11">E28*10^-3/G28</f>
        <v>61.640873107524072</v>
      </c>
    </row>
    <row r="29" spans="1:9" x14ac:dyDescent="0.3">
      <c r="A29" s="4" t="s">
        <v>23</v>
      </c>
      <c r="B29">
        <f>3028.207648*10^-6</f>
        <v>3.0282076479999998E-3</v>
      </c>
      <c r="C29">
        <f>42269*10^-12</f>
        <v>4.2269E-8</v>
      </c>
      <c r="D29">
        <v>3200</v>
      </c>
      <c r="E29" s="4">
        <f t="shared" si="9"/>
        <v>75.705599848588804</v>
      </c>
      <c r="F29" s="4">
        <f t="shared" si="10"/>
        <v>25000.134947347182</v>
      </c>
      <c r="G29">
        <f>1.225*10^-3</f>
        <v>1.2250000000000002E-3</v>
      </c>
      <c r="H29" s="5">
        <f t="shared" si="11"/>
        <v>61.800489672317383</v>
      </c>
    </row>
    <row r="30" spans="1:9" x14ac:dyDescent="0.3">
      <c r="A30" s="4" t="s">
        <v>24</v>
      </c>
      <c r="B30">
        <f>3028.207648*10^-6</f>
        <v>3.0282076479999998E-3</v>
      </c>
      <c r="C30">
        <f>44545*10^-12</f>
        <v>4.4545E-8</v>
      </c>
      <c r="D30">
        <v>3200</v>
      </c>
      <c r="E30" s="4">
        <f t="shared" si="9"/>
        <v>71.837467729262542</v>
      </c>
      <c r="F30" s="4">
        <f t="shared" si="10"/>
        <v>23722.768079232639</v>
      </c>
      <c r="G30">
        <f>1.161*10^-3</f>
        <v>1.1610000000000001E-3</v>
      </c>
      <c r="H30" s="5">
        <f t="shared" si="11"/>
        <v>61.875510533387192</v>
      </c>
    </row>
    <row r="31" spans="1:9" x14ac:dyDescent="0.3">
      <c r="A31" s="4" t="s">
        <v>27</v>
      </c>
      <c r="B31">
        <f>3028.207648*10^-6</f>
        <v>3.0282076479999998E-3</v>
      </c>
      <c r="C31">
        <f>46926*10^-12</f>
        <v>4.6925999999999999E-8</v>
      </c>
      <c r="D31">
        <v>3200</v>
      </c>
      <c r="E31" s="4">
        <f t="shared" si="9"/>
        <v>68.192473255764398</v>
      </c>
      <c r="F31" s="4">
        <f t="shared" si="10"/>
        <v>22519.087586613347</v>
      </c>
      <c r="G31">
        <f>1.101*10^-3</f>
        <v>1.101E-3</v>
      </c>
      <c r="H31" s="5">
        <f t="shared" si="11"/>
        <v>61.936851276806905</v>
      </c>
    </row>
    <row r="32" spans="1:9" x14ac:dyDescent="0.3">
      <c r="B32" s="2" t="s">
        <v>15</v>
      </c>
      <c r="C32" s="2" t="s">
        <v>4</v>
      </c>
      <c r="D32" s="2" t="s">
        <v>2</v>
      </c>
      <c r="E32" s="2" t="s">
        <v>3</v>
      </c>
      <c r="F32" s="2" t="s">
        <v>5</v>
      </c>
      <c r="G32" s="2" t="s">
        <v>6</v>
      </c>
      <c r="H32" s="2" t="s">
        <v>7</v>
      </c>
    </row>
    <row r="33" spans="1:8" x14ac:dyDescent="0.3">
      <c r="A33" s="1" t="s">
        <v>0</v>
      </c>
      <c r="B33">
        <f>10122.252463*10^(-6)</f>
        <v>1.0122252462999999E-2</v>
      </c>
      <c r="C33">
        <f>53750*10^(-12)</f>
        <v>5.3750000000000002E-8</v>
      </c>
      <c r="D33">
        <f>32*50*2</f>
        <v>3200</v>
      </c>
      <c r="E33">
        <f>D33/C33/10^(9)</f>
        <v>59.534883720930232</v>
      </c>
      <c r="F33">
        <f>E33/B33</f>
        <v>5881.5845523067974</v>
      </c>
    </row>
    <row r="34" spans="1:8" x14ac:dyDescent="0.3">
      <c r="A34" s="1" t="s">
        <v>1</v>
      </c>
      <c r="B34">
        <f>10881.578863*10^(-6)</f>
        <v>1.0881578863000001E-2</v>
      </c>
      <c r="C34">
        <f>54750*10^(-12)</f>
        <v>5.4749999999999997E-8</v>
      </c>
      <c r="D34">
        <f>32*50*2</f>
        <v>3200</v>
      </c>
      <c r="E34">
        <f>D34/C34/10^(9)</f>
        <v>58.44748858447489</v>
      </c>
      <c r="F34">
        <f>E34/B34</f>
        <v>5371.2323662157596</v>
      </c>
    </row>
    <row r="35" spans="1:8" x14ac:dyDescent="0.3">
      <c r="A35" s="1" t="s">
        <v>8</v>
      </c>
      <c r="B35">
        <f>11168.979833*10^-6</f>
        <v>1.1168979833E-2</v>
      </c>
      <c r="C35">
        <f>32250*10^-12</f>
        <v>3.2250000000000001E-8</v>
      </c>
      <c r="D35">
        <v>3200</v>
      </c>
      <c r="E35">
        <f t="shared" ref="E35:E54" si="12">D35/C35/10^(9)</f>
        <v>99.224806201550379</v>
      </c>
      <c r="F35">
        <f t="shared" ref="F35:F56" si="13">E35/B35</f>
        <v>8883.9632343483681</v>
      </c>
      <c r="G35">
        <f>4.419*10^-5</f>
        <v>4.4190000000000002E-5</v>
      </c>
      <c r="H35">
        <f>E35*10^-3/G35</f>
        <v>2245.4131297024301</v>
      </c>
    </row>
    <row r="36" spans="1:8" x14ac:dyDescent="0.3">
      <c r="A36" s="1" t="s">
        <v>31</v>
      </c>
      <c r="B36">
        <f>11017.347832*10^-6</f>
        <v>1.1017347831999999E-2</v>
      </c>
      <c r="C36">
        <f>53750*10^-12</f>
        <v>5.3750000000000002E-8</v>
      </c>
      <c r="D36">
        <v>3200</v>
      </c>
      <c r="E36">
        <f t="shared" si="12"/>
        <v>59.534883720930232</v>
      </c>
      <c r="F36">
        <f t="shared" si="13"/>
        <v>5403.7400496706259</v>
      </c>
    </row>
    <row r="37" spans="1:8" x14ac:dyDescent="0.3">
      <c r="A37" s="1" t="s">
        <v>9</v>
      </c>
      <c r="B37">
        <f>11168.979833*10^-6</f>
        <v>1.1168979833E-2</v>
      </c>
      <c r="C37">
        <f>32250*10^-12</f>
        <v>3.2250000000000001E-8</v>
      </c>
      <c r="D37">
        <v>3200</v>
      </c>
      <c r="E37">
        <f t="shared" si="12"/>
        <v>99.224806201550379</v>
      </c>
      <c r="F37">
        <f t="shared" si="13"/>
        <v>8883.9632343483681</v>
      </c>
      <c r="G37">
        <f>4.415*10^-5</f>
        <v>4.4150000000000003E-5</v>
      </c>
      <c r="H37">
        <f t="shared" ref="H37:H44" si="14">E37*10^-3/G37</f>
        <v>2247.447479083814</v>
      </c>
    </row>
    <row r="38" spans="1:8" x14ac:dyDescent="0.3">
      <c r="A38" s="1" t="s">
        <v>10</v>
      </c>
      <c r="B38">
        <f>11229.865914*10^-6</f>
        <v>1.1229865913999999E-2</v>
      </c>
      <c r="C38">
        <f>30463*10^-12</f>
        <v>3.0463E-8</v>
      </c>
      <c r="D38">
        <v>3200</v>
      </c>
      <c r="E38">
        <f t="shared" si="12"/>
        <v>105.04546499031612</v>
      </c>
      <c r="F38">
        <f t="shared" si="13"/>
        <v>9354.1156942362522</v>
      </c>
      <c r="G38">
        <f>4.415*10^-5</f>
        <v>4.4150000000000003E-5</v>
      </c>
      <c r="H38">
        <f t="shared" si="14"/>
        <v>2379.2857302449856</v>
      </c>
    </row>
    <row r="39" spans="1:8" x14ac:dyDescent="0.3">
      <c r="A39" s="1" t="s">
        <v>32</v>
      </c>
      <c r="B39">
        <f>0.011129088954</f>
        <v>1.1129088953999999E-2</v>
      </c>
      <c r="C39">
        <f>30463*10^-12</f>
        <v>3.0463E-8</v>
      </c>
      <c r="D39">
        <v>3200</v>
      </c>
      <c r="E39">
        <f t="shared" si="12"/>
        <v>105.04546499031612</v>
      </c>
      <c r="F39">
        <f t="shared" si="13"/>
        <v>9438.8197834074144</v>
      </c>
      <c r="G39">
        <f>1.348*10^-4</f>
        <v>1.3480000000000002E-4</v>
      </c>
      <c r="H39">
        <f t="shared" si="14"/>
        <v>779.26902811807201</v>
      </c>
    </row>
    <row r="40" spans="1:8" x14ac:dyDescent="0.3">
      <c r="A40" s="1" t="s">
        <v>33</v>
      </c>
      <c r="B40">
        <f>0.009512691822</f>
        <v>9.5126918219999995E-3</v>
      </c>
      <c r="C40">
        <f>34977*10^-12</f>
        <v>3.4976999999999996E-8</v>
      </c>
      <c r="D40">
        <v>3200</v>
      </c>
      <c r="E40">
        <f t="shared" si="12"/>
        <v>91.488692569402758</v>
      </c>
      <c r="F40">
        <f t="shared" si="13"/>
        <v>9617.5398384941782</v>
      </c>
      <c r="G40">
        <f>1.348*10^-4</f>
        <v>1.3480000000000002E-4</v>
      </c>
      <c r="H40">
        <f t="shared" si="14"/>
        <v>678.69949977301735</v>
      </c>
    </row>
    <row r="41" spans="1:8" x14ac:dyDescent="0.3">
      <c r="A41" s="1" t="s">
        <v>34</v>
      </c>
      <c r="B41" s="3">
        <v>9.5875747050000008E-3</v>
      </c>
      <c r="C41">
        <f>33365*10^-12</f>
        <v>3.3365000000000001E-8</v>
      </c>
      <c r="D41">
        <v>3200</v>
      </c>
      <c r="E41">
        <f t="shared" si="12"/>
        <v>95.908886557770117</v>
      </c>
      <c r="F41">
        <f t="shared" si="13"/>
        <v>10003.45650582027</v>
      </c>
      <c r="G41">
        <f>1.348*10^-4</f>
        <v>1.3480000000000002E-4</v>
      </c>
      <c r="H41">
        <f t="shared" si="14"/>
        <v>711.49025636327974</v>
      </c>
    </row>
    <row r="42" spans="1:8" x14ac:dyDescent="0.3">
      <c r="A42" s="1" t="s">
        <v>35</v>
      </c>
      <c r="B42" s="3">
        <v>9.2245910219999998E-3</v>
      </c>
      <c r="C42">
        <f>32613*10^-12</f>
        <v>3.2613000000000002E-8</v>
      </c>
      <c r="D42">
        <v>3200</v>
      </c>
      <c r="E42">
        <f t="shared" si="12"/>
        <v>98.120381442982847</v>
      </c>
      <c r="F42">
        <f t="shared" si="13"/>
        <v>10636.827281445068</v>
      </c>
      <c r="G42">
        <f>2.954*10^-3</f>
        <v>2.954E-3</v>
      </c>
      <c r="H42">
        <f t="shared" si="14"/>
        <v>33.216107462079499</v>
      </c>
    </row>
    <row r="43" spans="1:8" x14ac:dyDescent="0.3">
      <c r="A43" s="1" t="s">
        <v>36</v>
      </c>
      <c r="B43">
        <f>0.011142385913</f>
        <v>1.1142385913E-2</v>
      </c>
      <c r="C43">
        <f>29926*10^-12</f>
        <v>2.9925999999999999E-8</v>
      </c>
      <c r="D43">
        <v>3200</v>
      </c>
      <c r="E43">
        <f t="shared" si="12"/>
        <v>106.93042839002874</v>
      </c>
      <c r="F43">
        <f t="shared" si="13"/>
        <v>9596.7263407446062</v>
      </c>
      <c r="G43" s="9">
        <f>2.954*10^-3</f>
        <v>2.954E-3</v>
      </c>
      <c r="H43">
        <f t="shared" si="14"/>
        <v>36.198520104952181</v>
      </c>
    </row>
    <row r="44" spans="1:8" x14ac:dyDescent="0.3">
      <c r="A44" s="10" t="s">
        <v>37</v>
      </c>
      <c r="B44" s="11">
        <v>1.1096663E-2</v>
      </c>
      <c r="C44" s="11">
        <v>3.0463E-8</v>
      </c>
      <c r="D44" s="12">
        <v>3200</v>
      </c>
      <c r="E44" s="12">
        <f t="shared" si="12"/>
        <v>105.04546499031612</v>
      </c>
      <c r="F44" s="12">
        <f t="shared" si="13"/>
        <v>9466.401294724019</v>
      </c>
      <c r="G44" s="11">
        <v>3.8830000000000002E-3</v>
      </c>
      <c r="H44">
        <f t="shared" si="14"/>
        <v>27.052656448703612</v>
      </c>
    </row>
    <row r="45" spans="1:8" x14ac:dyDescent="0.3">
      <c r="A45" t="s">
        <v>38</v>
      </c>
      <c r="B45" s="3">
        <v>1.0701953279E-2</v>
      </c>
      <c r="C45">
        <v>3.2250000000000001E-8</v>
      </c>
      <c r="D45">
        <v>3200</v>
      </c>
      <c r="E45">
        <f t="shared" si="12"/>
        <v>99.224806201550379</v>
      </c>
      <c r="F45">
        <f t="shared" si="13"/>
        <v>9271.6538387674627</v>
      </c>
      <c r="G45">
        <v>3.2599999999999999E-3</v>
      </c>
    </row>
    <row r="46" spans="1:8" x14ac:dyDescent="0.3">
      <c r="A46" t="s">
        <v>39</v>
      </c>
      <c r="B46" s="13">
        <v>1.1147984632999999E-2</v>
      </c>
      <c r="C46" s="13">
        <v>3.2613000000000002E-8</v>
      </c>
      <c r="D46" s="14">
        <v>3200</v>
      </c>
      <c r="E46" s="14">
        <f t="shared" si="12"/>
        <v>98.120381442982847</v>
      </c>
      <c r="F46" s="14">
        <f t="shared" si="13"/>
        <v>8801.6251074233842</v>
      </c>
      <c r="G46" s="13">
        <v>3.5599999999999998E-3</v>
      </c>
    </row>
    <row r="47" spans="1:8" x14ac:dyDescent="0.3">
      <c r="A47" t="s">
        <v>40</v>
      </c>
      <c r="B47" s="3">
        <v>1.0282749104E-2</v>
      </c>
      <c r="C47" s="3">
        <v>3.7665E-8</v>
      </c>
      <c r="D47">
        <v>3200</v>
      </c>
      <c r="E47">
        <f t="shared" si="12"/>
        <v>84.959511482808978</v>
      </c>
      <c r="F47">
        <f t="shared" si="13"/>
        <v>8262.3343838818</v>
      </c>
      <c r="G47" s="3">
        <v>2.8140000000000001E-3</v>
      </c>
    </row>
    <row r="48" spans="1:8" x14ac:dyDescent="0.3">
      <c r="A48" t="s">
        <v>41</v>
      </c>
      <c r="B48" s="11">
        <v>1.1229865913999999E-2</v>
      </c>
      <c r="C48" s="11">
        <v>3.0463E-8</v>
      </c>
      <c r="D48" s="12">
        <v>3200</v>
      </c>
      <c r="E48" s="12">
        <f t="shared" si="12"/>
        <v>105.04546499031612</v>
      </c>
      <c r="F48" s="12">
        <f t="shared" si="13"/>
        <v>9354.1156942362522</v>
      </c>
      <c r="G48" s="11">
        <v>3.8670000000000002E-3</v>
      </c>
    </row>
    <row r="49" spans="1:7" x14ac:dyDescent="0.3">
      <c r="A49" t="s">
        <v>42</v>
      </c>
      <c r="B49" s="3">
        <v>1.0739278079000001E-2</v>
      </c>
      <c r="C49" s="3">
        <v>3.2250000000000001E-8</v>
      </c>
      <c r="D49">
        <v>3200</v>
      </c>
      <c r="E49">
        <f t="shared" si="12"/>
        <v>99.224806201550379</v>
      </c>
      <c r="F49">
        <f t="shared" si="13"/>
        <v>9239.4298268128841</v>
      </c>
      <c r="G49" s="3">
        <v>3.2669999999999999E-3</v>
      </c>
    </row>
    <row r="50" spans="1:7" x14ac:dyDescent="0.3">
      <c r="A50" t="s">
        <v>43</v>
      </c>
      <c r="B50" s="13">
        <v>1.1147984632999999E-2</v>
      </c>
      <c r="C50" s="13">
        <v>3.2613000000000002E-8</v>
      </c>
      <c r="D50" s="14">
        <v>3200</v>
      </c>
      <c r="E50" s="14">
        <f t="shared" si="12"/>
        <v>98.120381442982847</v>
      </c>
      <c r="F50" s="14">
        <f t="shared" si="13"/>
        <v>8801.6251074233842</v>
      </c>
      <c r="G50" s="13">
        <v>3.5599999999999998E-3</v>
      </c>
    </row>
    <row r="51" spans="1:7" x14ac:dyDescent="0.3">
      <c r="A51" t="s">
        <v>44</v>
      </c>
      <c r="B51" s="3">
        <v>1.0282749104E-2</v>
      </c>
      <c r="C51" s="3">
        <v>3.7665E-8</v>
      </c>
      <c r="D51">
        <v>3200</v>
      </c>
      <c r="E51">
        <f t="shared" si="12"/>
        <v>84.959511482808978</v>
      </c>
      <c r="F51">
        <f t="shared" si="13"/>
        <v>8262.3343838818</v>
      </c>
      <c r="G51" s="3">
        <v>2.8140000000000001E-3</v>
      </c>
    </row>
    <row r="52" spans="1:7" x14ac:dyDescent="0.3">
      <c r="A52" t="s">
        <v>45</v>
      </c>
      <c r="B52" s="11">
        <f>11229.865914*10^-6</f>
        <v>1.1229865913999999E-2</v>
      </c>
      <c r="C52" s="11">
        <v>3.0463E-8</v>
      </c>
      <c r="D52" s="12">
        <v>3200</v>
      </c>
      <c r="E52" s="12">
        <f t="shared" si="12"/>
        <v>105.04546499031612</v>
      </c>
      <c r="F52" s="12">
        <f t="shared" si="13"/>
        <v>9354.1156942362522</v>
      </c>
      <c r="G52" s="11">
        <v>3.8670000000000002E-3</v>
      </c>
    </row>
    <row r="53" spans="1:7" x14ac:dyDescent="0.3">
      <c r="A53" t="s">
        <v>46</v>
      </c>
      <c r="B53" s="3">
        <v>9.1595059020000008E-3</v>
      </c>
      <c r="C53" s="3">
        <v>3.5301E-8</v>
      </c>
      <c r="D53">
        <v>3200</v>
      </c>
      <c r="E53">
        <f t="shared" si="12"/>
        <v>90.648990113594508</v>
      </c>
      <c r="F53">
        <f t="shared" si="13"/>
        <v>9896.7117968449675</v>
      </c>
      <c r="G53" s="3">
        <v>2.7130000000000001E-3</v>
      </c>
    </row>
    <row r="54" spans="1:7" x14ac:dyDescent="0.3">
      <c r="A54" t="s">
        <v>47</v>
      </c>
      <c r="B54" s="13">
        <v>1.1147984632999999E-2</v>
      </c>
      <c r="C54" s="13">
        <v>3.2613000000000002E-8</v>
      </c>
      <c r="D54" s="14">
        <v>3200</v>
      </c>
      <c r="E54" s="14">
        <f t="shared" si="12"/>
        <v>98.120381442982847</v>
      </c>
      <c r="F54" s="14">
        <f t="shared" si="13"/>
        <v>8801.6251074233842</v>
      </c>
      <c r="G54" s="13">
        <v>2.941E-3</v>
      </c>
    </row>
    <row r="55" spans="1:7" x14ac:dyDescent="0.3">
      <c r="A55" t="s">
        <v>48</v>
      </c>
      <c r="B55" s="3">
        <v>1.0282749104E-2</v>
      </c>
      <c r="C55" s="3">
        <v>3.7665E-8</v>
      </c>
      <c r="D55">
        <v>3200</v>
      </c>
      <c r="E55">
        <f>D55/C55/10^(9)</f>
        <v>84.959511482808978</v>
      </c>
      <c r="F55">
        <f t="shared" si="13"/>
        <v>8262.3343838818</v>
      </c>
      <c r="G55" s="3">
        <v>2.5379999999999999E-3</v>
      </c>
    </row>
    <row r="56" spans="1:7" x14ac:dyDescent="0.3">
      <c r="A56" t="s">
        <v>49</v>
      </c>
      <c r="B56" s="11">
        <v>1.1229865913999999E-2</v>
      </c>
      <c r="C56" s="11">
        <v>3.0463E-8</v>
      </c>
      <c r="D56" s="12">
        <v>3200</v>
      </c>
      <c r="E56" s="12">
        <f>D56/C56/10^(9)</f>
        <v>105.04546499031612</v>
      </c>
      <c r="F56" s="12">
        <f t="shared" si="13"/>
        <v>9354.1156942362522</v>
      </c>
      <c r="G56" s="11">
        <v>3.8670000000000002E-3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99FC-B18E-41B2-B57C-D9BCEC7FEDF8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C778C802BE1F48AD9D7A34E0069F8A" ma:contentTypeVersion="3" ma:contentTypeDescription="Create a new document." ma:contentTypeScope="" ma:versionID="e290303896a9566925365ed1e2fe9b89">
  <xsd:schema xmlns:xsd="http://www.w3.org/2001/XMLSchema" xmlns:xs="http://www.w3.org/2001/XMLSchema" xmlns:p="http://schemas.microsoft.com/office/2006/metadata/properties" xmlns:ns3="e1b49bfa-44cc-4e0d-bce4-2463b76b632a" targetNamespace="http://schemas.microsoft.com/office/2006/metadata/properties" ma:root="true" ma:fieldsID="eb11dab56aea1d775028f7566e08f35c" ns3:_="">
    <xsd:import namespace="e1b49bfa-44cc-4e0d-bce4-2463b76b63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b49bfa-44cc-4e0d-bce4-2463b76b63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645551-A2DD-4DD5-A855-9949022D9F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FD565B-7D6A-4AB5-9495-D50951564F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b49bfa-44cc-4e0d-bce4-2463b76b63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D82EEB-A303-40DF-9915-3571E4396EBD}">
  <ds:schemaRefs>
    <ds:schemaRef ds:uri="http://purl.org/dc/terms/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e1b49bfa-44cc-4e0d-bce4-2463b76b632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施沛萱</dc:creator>
  <cp:lastModifiedBy>王奕凱</cp:lastModifiedBy>
  <dcterms:created xsi:type="dcterms:W3CDTF">2024-01-09T05:49:04Z</dcterms:created>
  <dcterms:modified xsi:type="dcterms:W3CDTF">2024-01-17T10:50:36Z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0x01010009C778C802BE1F48AD9D7A34E0069F8A</vt:lpwstr>
  </property>
</Properties>
</file>