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411\Downloads\"/>
    </mc:Choice>
  </mc:AlternateContent>
  <xr:revisionPtr revIDLastSave="0" documentId="13_ncr:1_{84A013CA-F1D0-475B-9B94-565303E8FE53}" xr6:coauthVersionLast="47" xr6:coauthVersionMax="47" xr10:uidLastSave="{00000000-0000-0000-0000-000000000000}"/>
  <bookViews>
    <workbookView minimized="1" xWindow="3660" yWindow="3660" windowWidth="17280" windowHeight="8880" xr2:uid="{576FF9CB-0110-432B-A28E-C3844E08018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N23" i="1"/>
  <c r="N22" i="1"/>
  <c r="N21" i="1"/>
  <c r="N20" i="1"/>
  <c r="F40" i="1"/>
  <c r="F41" i="1"/>
  <c r="F42" i="1"/>
  <c r="F39" i="1"/>
  <c r="F35" i="1"/>
  <c r="F36" i="1"/>
  <c r="F37" i="1"/>
  <c r="F34" i="1"/>
  <c r="F30" i="1"/>
  <c r="F31" i="1"/>
  <c r="F32" i="1"/>
  <c r="F29" i="1"/>
  <c r="F17" i="1"/>
  <c r="F18" i="1"/>
  <c r="F19" i="1"/>
  <c r="F20" i="1"/>
  <c r="F21" i="1"/>
  <c r="F22" i="1"/>
  <c r="F23" i="1"/>
  <c r="F24" i="1"/>
  <c r="F25" i="1"/>
  <c r="F26" i="1"/>
  <c r="F27" i="1"/>
  <c r="F16" i="1"/>
  <c r="G45" i="1"/>
  <c r="C45" i="1" l="1"/>
  <c r="H46" i="1"/>
  <c r="H47" i="1"/>
  <c r="F45" i="1"/>
  <c r="F46" i="1"/>
  <c r="F47" i="1"/>
  <c r="E45" i="1"/>
  <c r="E46" i="1"/>
  <c r="E47" i="1"/>
  <c r="B45" i="1"/>
  <c r="H45" i="1" l="1"/>
  <c r="C35" i="1" l="1"/>
  <c r="C40" i="1"/>
  <c r="E40" i="1" s="1"/>
  <c r="G40" i="1"/>
  <c r="B40" i="1"/>
  <c r="C42" i="1"/>
  <c r="G42" i="1"/>
  <c r="B42" i="1"/>
  <c r="C41" i="1"/>
  <c r="E41" i="1" s="1"/>
  <c r="G41" i="1"/>
  <c r="B41" i="1"/>
  <c r="C39" i="1"/>
  <c r="E39" i="1" s="1"/>
  <c r="G39" i="1"/>
  <c r="E42" i="1"/>
  <c r="B39" i="1"/>
  <c r="G35" i="1"/>
  <c r="E35" i="1"/>
  <c r="B35" i="1"/>
  <c r="B30" i="1"/>
  <c r="C37" i="1"/>
  <c r="E37" i="1" s="1"/>
  <c r="G37" i="1"/>
  <c r="B37" i="1"/>
  <c r="C34" i="1"/>
  <c r="E34" i="1" s="1"/>
  <c r="C36" i="1"/>
  <c r="E36" i="1" s="1"/>
  <c r="G36" i="1"/>
  <c r="B36" i="1"/>
  <c r="G34" i="1"/>
  <c r="B34" i="1"/>
  <c r="E30" i="1"/>
  <c r="C32" i="1"/>
  <c r="E32" i="1" s="1"/>
  <c r="G32" i="1"/>
  <c r="B32" i="1"/>
  <c r="C31" i="1"/>
  <c r="E31" i="1" s="1"/>
  <c r="G31" i="1"/>
  <c r="B31" i="1"/>
  <c r="C29" i="1"/>
  <c r="E29" i="1" s="1"/>
  <c r="G29" i="1"/>
  <c r="B29" i="1"/>
  <c r="H40" i="1" l="1"/>
  <c r="H37" i="1"/>
  <c r="H35" i="1"/>
  <c r="H36" i="1"/>
  <c r="H42" i="1"/>
  <c r="H41" i="1"/>
  <c r="H39" i="1"/>
  <c r="H29" i="1"/>
  <c r="H30" i="1"/>
  <c r="H34" i="1"/>
  <c r="H31" i="1"/>
  <c r="H32" i="1"/>
  <c r="B12" i="1" l="1"/>
  <c r="B9" i="1"/>
  <c r="B8" i="1"/>
  <c r="B7" i="1"/>
  <c r="B6" i="1"/>
  <c r="B5" i="1"/>
  <c r="B4" i="1"/>
  <c r="B3" i="1"/>
  <c r="B2" i="1"/>
  <c r="E17" i="1"/>
  <c r="E18" i="1"/>
  <c r="E19" i="1"/>
  <c r="E21" i="1"/>
  <c r="E22" i="1"/>
  <c r="E23" i="1"/>
  <c r="H23" i="1" s="1"/>
  <c r="E20" i="1"/>
  <c r="H20" i="1" s="1"/>
  <c r="E24" i="1"/>
  <c r="E25" i="1"/>
  <c r="E26" i="1"/>
  <c r="E27" i="1"/>
  <c r="H27" i="1" s="1"/>
  <c r="H24" i="1" l="1"/>
  <c r="H19" i="1"/>
  <c r="H26" i="1"/>
  <c r="H22" i="1"/>
  <c r="H21" i="1"/>
  <c r="H18" i="1"/>
  <c r="H17" i="1"/>
  <c r="H25" i="1"/>
  <c r="E16" i="1"/>
  <c r="E13" i="1"/>
  <c r="H13" i="1" s="1"/>
  <c r="C7" i="1"/>
  <c r="E7" i="1" s="1"/>
  <c r="G11" i="1"/>
  <c r="G12" i="1"/>
  <c r="C12" i="1"/>
  <c r="E12" i="1" s="1"/>
  <c r="C11" i="1"/>
  <c r="E11" i="1" s="1"/>
  <c r="F11" i="1" s="1"/>
  <c r="G10" i="1"/>
  <c r="C10" i="1"/>
  <c r="E10" i="1" s="1"/>
  <c r="C8" i="1"/>
  <c r="E8" i="1" s="1"/>
  <c r="G9" i="1"/>
  <c r="C9" i="1"/>
  <c r="E9" i="1" s="1"/>
  <c r="G8" i="1"/>
  <c r="G7" i="1"/>
  <c r="G6" i="1"/>
  <c r="C6" i="1"/>
  <c r="E6" i="1" s="1"/>
  <c r="C4" i="1"/>
  <c r="E4" i="1" s="1"/>
  <c r="G4" i="1"/>
  <c r="C5" i="1"/>
  <c r="E5" i="1" s="1"/>
  <c r="D3" i="1"/>
  <c r="C3" i="1"/>
  <c r="D2" i="1"/>
  <c r="C2" i="1"/>
  <c r="H16" i="1" l="1"/>
  <c r="F7" i="1"/>
  <c r="F9" i="1"/>
  <c r="H8" i="1"/>
  <c r="E2" i="1"/>
  <c r="F2" i="1" s="1"/>
  <c r="H10" i="1"/>
  <c r="F10" i="1"/>
  <c r="H11" i="1"/>
  <c r="H6" i="1"/>
  <c r="F13" i="1"/>
  <c r="H9" i="1"/>
  <c r="H7" i="1"/>
  <c r="F12" i="1"/>
  <c r="H12" i="1"/>
  <c r="F8" i="1"/>
  <c r="E3" i="1"/>
  <c r="F3" i="1" s="1"/>
  <c r="F5" i="1"/>
  <c r="F6" i="1"/>
  <c r="F4" i="1"/>
  <c r="H4" i="1"/>
</calcChain>
</file>

<file path=xl/sharedStrings.xml><?xml version="1.0" encoding="utf-8"?>
<sst xmlns="http://schemas.openxmlformats.org/spreadsheetml/2006/main" count="68" uniqueCount="45">
  <si>
    <t>With pipeline(切兩刀)</t>
    <phoneticPr fontId="1" type="noConversion"/>
  </si>
  <si>
    <t>With pipeline(切三刀)</t>
    <phoneticPr fontId="1" type="noConversion"/>
  </si>
  <si>
    <t>operation</t>
    <phoneticPr fontId="1" type="noConversion"/>
  </si>
  <si>
    <t>throughput(GOPS)</t>
    <phoneticPr fontId="1" type="noConversion"/>
  </si>
  <si>
    <t>operation time(s)</t>
    <phoneticPr fontId="1" type="noConversion"/>
  </si>
  <si>
    <t>area efficiency(throughput/area)</t>
    <phoneticPr fontId="1" type="noConversion"/>
  </si>
  <si>
    <t>power(W)</t>
    <phoneticPr fontId="1" type="noConversion"/>
  </si>
  <si>
    <t>energy efficiency(TOPS/W)</t>
    <phoneticPr fontId="1" type="noConversion"/>
  </si>
  <si>
    <t>With pipeline(切兩刀)(clk period=600)</t>
    <phoneticPr fontId="1" type="noConversion"/>
  </si>
  <si>
    <t>With pipeline(切兩刀) + clk gating(IFM)(clk period=600)</t>
    <phoneticPr fontId="1" type="noConversion"/>
  </si>
  <si>
    <t>With pipeline(切兩刀) + clk gating(IFM&amp;W)(clk period=600)</t>
    <phoneticPr fontId="1" type="noConversion"/>
  </si>
  <si>
    <t>With pipeline(切兩刀) + clk gating(IFM)(clk period=565)</t>
    <phoneticPr fontId="1" type="noConversion"/>
  </si>
  <si>
    <t>With pipeline(切兩刀) + 2D buffer(clk period=565)</t>
    <phoneticPr fontId="1" type="noConversion"/>
  </si>
  <si>
    <t>With pipeline(切兩刀) + 3D buffer(MUL&amp;Adder)(clk period=650)</t>
    <phoneticPr fontId="1" type="noConversion"/>
  </si>
  <si>
    <t>With pipeline(切兩刀) + 3D buffer(全部) + 8個 3D adder_buffer (clk period=615)</t>
    <phoneticPr fontId="1" type="noConversion"/>
  </si>
  <si>
    <t>With pipeline(切兩刀) + 3D buffer(全部) + 4個 2D adder_buffer (clk period=605)</t>
    <phoneticPr fontId="1" type="noConversion"/>
  </si>
  <si>
    <t>With pipeline(切兩刀) + 2D buffer(clk period=555)</t>
    <phoneticPr fontId="1" type="noConversion"/>
  </si>
  <si>
    <t>area(mm^2)</t>
    <phoneticPr fontId="1" type="noConversion"/>
  </si>
  <si>
    <t>Without pipeline + 1D buffer +no FSM (clk period=805)</t>
    <phoneticPr fontId="1" type="noConversion"/>
  </si>
  <si>
    <t>Without pipeline + 1D buffer +no FSM (clk period=855)</t>
    <phoneticPr fontId="1" type="noConversion"/>
  </si>
  <si>
    <t>Without pipeline + 1D buffer +no FSM (clk period=905)</t>
    <phoneticPr fontId="1" type="noConversion"/>
  </si>
  <si>
    <t>Without pipeline + 1D buffer +no FSM (clk period=827)</t>
    <phoneticPr fontId="1" type="noConversion"/>
  </si>
  <si>
    <t>Without pipeline + 2D buffer +no FSM (clk period=805)</t>
    <phoneticPr fontId="1" type="noConversion"/>
  </si>
  <si>
    <t>Without pipeline + 2D buffer +no FSM (clk period=855)</t>
    <phoneticPr fontId="1" type="noConversion"/>
  </si>
  <si>
    <t>Without pipeline + 2D buffer +no FSM (clk period=905)</t>
    <phoneticPr fontId="1" type="noConversion"/>
  </si>
  <si>
    <t>Without pipeline + 2D buffer +no FSM (clk period=827)</t>
    <phoneticPr fontId="1" type="noConversion"/>
  </si>
  <si>
    <t>Without pipeline + 3D buffer +no FSM (clk period=805)</t>
    <phoneticPr fontId="1" type="noConversion"/>
  </si>
  <si>
    <t>Without pipeline + 3D buffer +no FSM (clk period=855)</t>
    <phoneticPr fontId="1" type="noConversion"/>
  </si>
  <si>
    <t>Without pipeline + 3D buffer +no FSM (clk period=905)</t>
    <phoneticPr fontId="1" type="noConversion"/>
  </si>
  <si>
    <t>With PATTERN weight buffer</t>
    <phoneticPr fontId="1" type="noConversion"/>
  </si>
  <si>
    <t>With pipeline(切一刀) + 2D buffer+no FSM(clk period=805)</t>
    <phoneticPr fontId="1" type="noConversion"/>
  </si>
  <si>
    <t>With pipeline(切一刀) + 2D buffer+no FSM(clk period=905)</t>
    <phoneticPr fontId="1" type="noConversion"/>
  </si>
  <si>
    <t>With pipeline(切一刀) + 2D buffer+no FSM(clk period=855)</t>
    <phoneticPr fontId="1" type="noConversion"/>
  </si>
  <si>
    <t>With pipeline(切一刀) + 2D buffer+no FSM(clk period=739)</t>
    <phoneticPr fontId="1" type="noConversion"/>
  </si>
  <si>
    <t>With pipeline(切一刀) + 3D buffer+no FSM(clk period=750)</t>
    <phoneticPr fontId="1" type="noConversion"/>
  </si>
  <si>
    <t>With pipeline(切一刀) + 3D buffer+no FSM(clk period=855)</t>
    <phoneticPr fontId="1" type="noConversion"/>
  </si>
  <si>
    <t>With pipeline(切一刀) + 3D buffer+no FSM(clk period=905)</t>
    <phoneticPr fontId="1" type="noConversion"/>
  </si>
  <si>
    <t>With pipeline(切一刀) + 3D buffer+no FSM(clk period=805)</t>
    <phoneticPr fontId="1" type="noConversion"/>
  </si>
  <si>
    <t>With pipeline(切兩刀) + 2D buffer+no FSM(clk period=565)</t>
    <phoneticPr fontId="1" type="noConversion"/>
  </si>
  <si>
    <t>With pipeline(切二刀) + 3D buffer+no FSM(clk period=805)</t>
    <phoneticPr fontId="1" type="noConversion"/>
  </si>
  <si>
    <t>With pipeline(切二刀) + 3D buffer+no FSM(clk period=855)</t>
    <phoneticPr fontId="1" type="noConversion"/>
  </si>
  <si>
    <t>With pipeline(切二刀) + 3D buffer+no FSM(clk period=905)</t>
    <phoneticPr fontId="1" type="noConversion"/>
  </si>
  <si>
    <t>With pipeline(切二刀) + 3D buffer+no FSM(clk period=610)</t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</si>
  <si>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LVT</t>
    </r>
    <r>
      <rPr>
        <sz val="12"/>
        <color theme="1"/>
        <rFont val="新細明體"/>
        <family val="1"/>
        <charset val="136"/>
        <scheme val="minor"/>
      </rPr>
      <t>_With pipeline(切一刀) + 2D buffer+no FSM(clk period=739)</t>
    </r>
    <phoneticPr fontId="1" type="noConversion"/>
  </si>
  <si>
    <t>Without pipeline + 3D buffer +no FSM (clk period=839)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</si>
</sst>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11" fontId="3" fillId="0" borderId="0" xfId="0" applyNumberFormat="1" applyFont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5" fillId="0" borderId="0" xfId="0" applyFont="1">
      <alignment vertical="center"/>
    </xf>
    <xf numFmtId="11" fontId="0" fillId="3" borderId="0" xfId="0" applyNumberFormat="1" applyFill="1" applyAlignment="1">
      <alignment horizontal="center" vertical="center"/>
    </xf>
    <xf numFmtId="11" fontId="3" fillId="4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62179232027161"/>
          <c:y val="0.2542165980128373"/>
          <c:w val="0.68295631656939526"/>
          <c:h val="0.52504660070003095"/>
        </c:manualLayout>
      </c:layout>
      <c:scatterChart>
        <c:scatterStyle val="smoothMarker"/>
        <c:varyColors val="0"/>
        <c:ser>
          <c:idx val="0"/>
          <c:order val="0"/>
          <c:tx>
            <c:v>without pipeline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工作表1!$L$26:$L$29</c:f>
              <c:numCache>
                <c:formatCode>General</c:formatCode>
                <c:ptCount val="4"/>
                <c:pt idx="0">
                  <c:v>805</c:v>
                </c:pt>
                <c:pt idx="1">
                  <c:v>827</c:v>
                </c:pt>
                <c:pt idx="2">
                  <c:v>855</c:v>
                </c:pt>
                <c:pt idx="3">
                  <c:v>905</c:v>
                </c:pt>
              </c:numCache>
            </c:numRef>
          </c:xVal>
          <c:yVal>
            <c:numRef>
              <c:f>工作表1!$F$34:$F$37</c:f>
              <c:numCache>
                <c:formatCode>General</c:formatCode>
                <c:ptCount val="4"/>
                <c:pt idx="0">
                  <c:v>12.102741231681703</c:v>
                </c:pt>
                <c:pt idx="1">
                  <c:v>11.944129630562443</c:v>
                </c:pt>
                <c:pt idx="2">
                  <c:v>11.553795075550266</c:v>
                </c:pt>
                <c:pt idx="3">
                  <c:v>10.916841832988604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39C-B7C2-C6FDE08BEC67}"/>
            </c:ext>
          </c:extLst>
        </c:ser>
        <c:ser>
          <c:idx val="1"/>
          <c:order val="1"/>
          <c:tx>
            <c:v>with pipeline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工作表1!$L$20:$L$23</c:f>
              <c:numCache>
                <c:formatCode>General</c:formatCode>
                <c:ptCount val="4"/>
                <c:pt idx="0">
                  <c:v>739</c:v>
                </c:pt>
                <c:pt idx="1">
                  <c:v>805</c:v>
                </c:pt>
                <c:pt idx="2">
                  <c:v>855</c:v>
                </c:pt>
                <c:pt idx="3">
                  <c:v>905</c:v>
                </c:pt>
              </c:numCache>
            </c:numRef>
          </c:xVal>
          <c:yVal>
            <c:numRef>
              <c:f>工作表1!$F$20:$F$23</c:f>
              <c:numCache>
                <c:formatCode>0.00E+00</c:formatCode>
                <c:ptCount val="4"/>
                <c:pt idx="0">
                  <c:v>9.4306001635736809</c:v>
                </c:pt>
                <c:pt idx="1">
                  <c:v>8.6592131022347711</c:v>
                </c:pt>
                <c:pt idx="2">
                  <c:v>8.1537809932914058</c:v>
                </c:pt>
                <c:pt idx="3">
                  <c:v>7.7042593241303967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B-439C-B7C2-C6FDE08BEC67}"/>
            </c:ext>
          </c:extLst>
        </c:ser>
        <c:ser>
          <c:idx val="2"/>
          <c:order val="2"/>
          <c:tx>
            <c:v>without pipeline no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工作表1!$M$20:$M$23</c:f>
              <c:numCache>
                <c:formatCode>General</c:formatCode>
                <c:ptCount val="4"/>
                <c:pt idx="0">
                  <c:v>670</c:v>
                </c:pt>
                <c:pt idx="1">
                  <c:v>805</c:v>
                </c:pt>
                <c:pt idx="2">
                  <c:v>860</c:v>
                </c:pt>
                <c:pt idx="3">
                  <c:v>905</c:v>
                </c:pt>
              </c:numCache>
            </c:numRef>
          </c:xVal>
          <c:yVal>
            <c:numRef>
              <c:f>工作表1!$N$20:$N$23</c:f>
              <c:numCache>
                <c:formatCode>General</c:formatCode>
                <c:ptCount val="4"/>
                <c:pt idx="0">
                  <c:v>24.649302370000001</c:v>
                </c:pt>
                <c:pt idx="1">
                  <c:v>23.634604159999999</c:v>
                </c:pt>
                <c:pt idx="2">
                  <c:v>22.43027537</c:v>
                </c:pt>
                <c:pt idx="3">
                  <c:v>21.29217526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EB-439C-B7C2-C6FDE08BEC67}"/>
            </c:ext>
          </c:extLst>
        </c:ser>
        <c:ser>
          <c:idx val="3"/>
          <c:order val="3"/>
          <c:tx>
            <c:v>with pipeline no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工作表1!$M$20:$M$23</c:f>
              <c:numCache>
                <c:formatCode>General</c:formatCode>
                <c:ptCount val="4"/>
                <c:pt idx="0">
                  <c:v>670</c:v>
                </c:pt>
                <c:pt idx="1">
                  <c:v>805</c:v>
                </c:pt>
                <c:pt idx="2">
                  <c:v>860</c:v>
                </c:pt>
                <c:pt idx="3">
                  <c:v>905</c:v>
                </c:pt>
              </c:numCache>
            </c:numRef>
          </c:xVal>
          <c:yVal>
            <c:numRef>
              <c:f>工作表1!$P$20:$P$23</c:f>
              <c:numCache>
                <c:formatCode>General</c:formatCode>
                <c:ptCount val="4"/>
                <c:pt idx="0">
                  <c:v>12.38775452</c:v>
                </c:pt>
                <c:pt idx="1">
                  <c:v>10.328097620000001</c:v>
                </c:pt>
                <c:pt idx="2">
                  <c:v>9.7252458619999995</c:v>
                </c:pt>
                <c:pt idx="3">
                  <c:v>9.1890782800000004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EB-439C-B7C2-C6FDE08B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73896"/>
        <c:axId val="561177136"/>
      </c:scatterChart>
      <c:valAx>
        <c:axId val="561173896"/>
        <c:scaling>
          <c:orientation val="minMax"/>
          <c:max val="950"/>
          <c:min val="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177136"/>
        <c:crosses val="autoZero"/>
        <c:crossBetween val="midCat"/>
      </c:valAx>
      <c:valAx>
        <c:axId val="5611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17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08669397744201"/>
          <c:y val="7.4250552291771632E-2"/>
          <c:w val="0.76206037028653251"/>
          <c:h val="0.15584244975501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29</xdr:row>
      <xdr:rowOff>147098</xdr:rowOff>
    </xdr:from>
    <xdr:to>
      <xdr:col>15</xdr:col>
      <xdr:colOff>192820</xdr:colOff>
      <xdr:row>41</xdr:row>
      <xdr:rowOff>30114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2F974A-8134-F953-8F49-1656A8963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588212</xdr:colOff>
      <xdr:row>31</xdr:row>
      <xdr:rowOff>67066</xdr:rowOff>
    </xdr:from>
    <xdr:to>
      <xdr:col>9</xdr:col>
      <xdr:colOff>207211</xdr:colOff>
      <xdr:row>39</xdr:row>
      <xdr:rowOff>196275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59DF3240-DA0D-70EF-6F70-EA355930DAEF}"/>
            </a:ext>
          </a:extLst>
        </xdr:cNvPr>
        <xdr:cNvSpPr txBox="1"/>
      </xdr:nvSpPr>
      <xdr:spPr>
        <a:xfrm rot="16200000">
          <a:off x="12669887" y="7218271"/>
          <a:ext cx="1775129" cy="2285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latin typeface="Times New Roman" panose="02020603050405020304" pitchFamily="18" charset="0"/>
              <a:cs typeface="Times New Roman" panose="02020603050405020304" pitchFamily="18" charset="0"/>
            </a:rPr>
            <a:t>area efficiency(GOP/mm^2)</a:t>
          </a:r>
          <a:endParaRPr lang="zh-TW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0.45528</cdr:x>
      <cdr:y>0.86798</cdr:y>
    </cdr:from>
    <cdr:to>
      <cdr:x>0.88984</cdr:x>
      <cdr:y>0.99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5AED5793-4B94-E86B-AB57-28C15FCE1120}"/>
            </a:ext>
          </a:extLst>
        </cdr:cNvPr>
        <cdr:cNvSpPr txBox="1"/>
      </cdr:nvSpPr>
      <cdr:spPr>
        <a:xfrm xmlns:a="http://schemas.openxmlformats.org/drawingml/2006/main">
          <a:off x="2053786" y="2037955"/>
          <a:ext cx="1960331" cy="286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clk period(ps)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772-877E-4934-8046-5F98093DD9C0}">
  <dimension ref="A1:P47"/>
  <sheetViews>
    <sheetView tabSelected="1" topLeftCell="A37" zoomScale="117" zoomScaleNormal="145" workbookViewId="0">
      <selection activeCell="A23" sqref="A23:G23"/>
    </sheetView>
  </sheetViews>
  <sheetFormatPr defaultRowHeight="16.2" x14ac:dyDescent="0.3"/>
  <cols>
    <col min="1" max="1" width="65.88671875" customWidth="1"/>
    <col min="2" max="2" width="14.6640625" customWidth="1"/>
    <col min="3" max="3" width="16.33203125" customWidth="1"/>
    <col min="4" max="4" width="9.88671875" customWidth="1"/>
    <col min="5" max="5" width="16.109375" customWidth="1"/>
    <col min="6" max="6" width="27.6640625" customWidth="1"/>
    <col min="7" max="7" width="12.21875" customWidth="1"/>
    <col min="8" max="8" width="24.6640625" customWidth="1"/>
  </cols>
  <sheetData>
    <row r="1" spans="1:8" x14ac:dyDescent="0.3">
      <c r="A1" s="5"/>
      <c r="B1" s="6" t="s">
        <v>17</v>
      </c>
      <c r="C1" s="6" t="s">
        <v>4</v>
      </c>
      <c r="D1" s="6" t="s">
        <v>2</v>
      </c>
      <c r="E1" s="6" t="s">
        <v>3</v>
      </c>
      <c r="F1" s="6" t="s">
        <v>5</v>
      </c>
      <c r="G1" s="6" t="s">
        <v>6</v>
      </c>
      <c r="H1" s="6" t="s">
        <v>7</v>
      </c>
    </row>
    <row r="2" spans="1:8" x14ac:dyDescent="0.3">
      <c r="A2" s="7" t="s">
        <v>0</v>
      </c>
      <c r="B2" s="5">
        <f>10122.252463*10^(-6)</f>
        <v>1.0122252462999999E-2</v>
      </c>
      <c r="C2" s="5">
        <f>53750*10^(-12)</f>
        <v>5.3750000000000002E-8</v>
      </c>
      <c r="D2" s="5">
        <f>32*50*2</f>
        <v>3200</v>
      </c>
      <c r="E2" s="5">
        <f>D2/C2/10^(9)</f>
        <v>59.534883720930232</v>
      </c>
      <c r="F2" s="5">
        <f>E2/B2</f>
        <v>5881.5845523067974</v>
      </c>
      <c r="G2" s="5"/>
      <c r="H2" s="5"/>
    </row>
    <row r="3" spans="1:8" x14ac:dyDescent="0.3">
      <c r="A3" s="7" t="s">
        <v>1</v>
      </c>
      <c r="B3" s="5">
        <f>10881.578863*10^(-6)</f>
        <v>1.0881578863000001E-2</v>
      </c>
      <c r="C3" s="5">
        <f>54750*10^(-12)</f>
        <v>5.4749999999999997E-8</v>
      </c>
      <c r="D3" s="5">
        <f>32*50*2</f>
        <v>3200</v>
      </c>
      <c r="E3" s="5">
        <f>D3/C3/10^(9)</f>
        <v>58.44748858447489</v>
      </c>
      <c r="F3" s="5">
        <f>E3/B3</f>
        <v>5371.2323662157596</v>
      </c>
      <c r="G3" s="5"/>
      <c r="H3" s="5"/>
    </row>
    <row r="4" spans="1:8" x14ac:dyDescent="0.3">
      <c r="A4" s="7" t="s">
        <v>9</v>
      </c>
      <c r="B4" s="5">
        <f>11168.979833*10^-6</f>
        <v>1.1168979833E-2</v>
      </c>
      <c r="C4" s="5">
        <f>32250*10^-12</f>
        <v>3.2250000000000001E-8</v>
      </c>
      <c r="D4" s="5">
        <v>3200</v>
      </c>
      <c r="E4" s="5">
        <f t="shared" ref="E4" si="0">D4/C4/10^(9)</f>
        <v>99.224806201550379</v>
      </c>
      <c r="F4" s="5">
        <f t="shared" ref="F4" si="1">E4/B4</f>
        <v>8883.9632343483681</v>
      </c>
      <c r="G4" s="8">
        <f>4.419*10^-5</f>
        <v>4.4190000000000002E-5</v>
      </c>
      <c r="H4" s="5">
        <f>E4*10^-3/G4</f>
        <v>2245.4131297024301</v>
      </c>
    </row>
    <row r="5" spans="1:8" x14ac:dyDescent="0.3">
      <c r="A5" s="7" t="s">
        <v>8</v>
      </c>
      <c r="B5" s="5">
        <f>11017.347832*10^-6</f>
        <v>1.1017347831999999E-2</v>
      </c>
      <c r="C5" s="5">
        <f>53750*10^-12</f>
        <v>5.3750000000000002E-8</v>
      </c>
      <c r="D5" s="5">
        <v>3200</v>
      </c>
      <c r="E5" s="5">
        <f t="shared" ref="E5:E19" si="2">D5/C5/10^(9)</f>
        <v>59.534883720930232</v>
      </c>
      <c r="F5" s="5">
        <f t="shared" ref="F5:F19" si="3">E5/B5</f>
        <v>5403.7400496706259</v>
      </c>
      <c r="G5" s="8"/>
      <c r="H5" s="5"/>
    </row>
    <row r="6" spans="1:8" x14ac:dyDescent="0.3">
      <c r="A6" s="7" t="s">
        <v>10</v>
      </c>
      <c r="B6" s="5">
        <f>11168.979833*10^-6</f>
        <v>1.1168979833E-2</v>
      </c>
      <c r="C6" s="5">
        <f>32250*10^-12</f>
        <v>3.2250000000000001E-8</v>
      </c>
      <c r="D6" s="5">
        <v>3200</v>
      </c>
      <c r="E6" s="5">
        <f t="shared" si="2"/>
        <v>99.224806201550379</v>
      </c>
      <c r="F6" s="5">
        <f t="shared" si="3"/>
        <v>8883.9632343483681</v>
      </c>
      <c r="G6" s="8">
        <f>4.415*10^-5</f>
        <v>4.4150000000000003E-5</v>
      </c>
      <c r="H6" s="5">
        <f t="shared" ref="H6:H47" si="4">E6*10^-3/G6</f>
        <v>2247.447479083814</v>
      </c>
    </row>
    <row r="7" spans="1:8" x14ac:dyDescent="0.3">
      <c r="A7" s="7" t="s">
        <v>11</v>
      </c>
      <c r="B7" s="5">
        <f>11229.865914*10^-6</f>
        <v>1.1229865913999999E-2</v>
      </c>
      <c r="C7" s="5">
        <f>30463*10^-12</f>
        <v>3.0463E-8</v>
      </c>
      <c r="D7" s="5">
        <v>3200</v>
      </c>
      <c r="E7" s="5">
        <f t="shared" si="2"/>
        <v>105.04546499031612</v>
      </c>
      <c r="F7" s="5">
        <f t="shared" si="3"/>
        <v>9354.1156942362522</v>
      </c>
      <c r="G7" s="8">
        <f>4.415*10^-5</f>
        <v>4.4150000000000003E-5</v>
      </c>
      <c r="H7" s="5">
        <f t="shared" si="4"/>
        <v>2379.2857302449856</v>
      </c>
    </row>
    <row r="8" spans="1:8" x14ac:dyDescent="0.3">
      <c r="A8" s="7" t="s">
        <v>12</v>
      </c>
      <c r="B8" s="5">
        <f>0.011129088954</f>
        <v>1.1129088953999999E-2</v>
      </c>
      <c r="C8" s="5">
        <f>30463*10^-12</f>
        <v>3.0463E-8</v>
      </c>
      <c r="D8" s="5">
        <v>3200</v>
      </c>
      <c r="E8" s="5">
        <f t="shared" si="2"/>
        <v>105.04546499031612</v>
      </c>
      <c r="F8" s="5">
        <f t="shared" si="3"/>
        <v>9438.8197834074144</v>
      </c>
      <c r="G8" s="8">
        <f>1.348*10^-4</f>
        <v>1.3480000000000002E-4</v>
      </c>
      <c r="H8" s="5">
        <f t="shared" si="4"/>
        <v>779.26902811807201</v>
      </c>
    </row>
    <row r="9" spans="1:8" x14ac:dyDescent="0.3">
      <c r="A9" s="7" t="s">
        <v>13</v>
      </c>
      <c r="B9" s="5">
        <f>0.009512691822</f>
        <v>9.5126918219999995E-3</v>
      </c>
      <c r="C9" s="5">
        <f>34977*10^-12</f>
        <v>3.4976999999999996E-8</v>
      </c>
      <c r="D9" s="5">
        <v>3200</v>
      </c>
      <c r="E9" s="5">
        <f t="shared" si="2"/>
        <v>91.488692569402758</v>
      </c>
      <c r="F9" s="5">
        <f t="shared" si="3"/>
        <v>9617.5398384941782</v>
      </c>
      <c r="G9" s="8">
        <f>1.348*10^-4</f>
        <v>1.3480000000000002E-4</v>
      </c>
      <c r="H9" s="5">
        <f t="shared" si="4"/>
        <v>678.69949977301735</v>
      </c>
    </row>
    <row r="10" spans="1:8" x14ac:dyDescent="0.3">
      <c r="A10" s="7" t="s">
        <v>14</v>
      </c>
      <c r="B10" s="8">
        <v>9.5875747050000008E-3</v>
      </c>
      <c r="C10" s="5">
        <f>33365*10^-12</f>
        <v>3.3365000000000001E-8</v>
      </c>
      <c r="D10" s="5">
        <v>3200</v>
      </c>
      <c r="E10" s="5">
        <f t="shared" si="2"/>
        <v>95.908886557770117</v>
      </c>
      <c r="F10" s="5">
        <f t="shared" si="3"/>
        <v>10003.45650582027</v>
      </c>
      <c r="G10" s="8">
        <f>1.348*10^-4</f>
        <v>1.3480000000000002E-4</v>
      </c>
      <c r="H10" s="5">
        <f t="shared" si="4"/>
        <v>711.49025636327974</v>
      </c>
    </row>
    <row r="11" spans="1:8" x14ac:dyDescent="0.3">
      <c r="A11" s="7" t="s">
        <v>15</v>
      </c>
      <c r="B11" s="8">
        <v>9.2245910219999998E-3</v>
      </c>
      <c r="C11" s="5">
        <f>32613*10^-12</f>
        <v>3.2613000000000002E-8</v>
      </c>
      <c r="D11" s="5">
        <v>3200</v>
      </c>
      <c r="E11" s="5">
        <f t="shared" si="2"/>
        <v>98.120381442982847</v>
      </c>
      <c r="F11" s="5">
        <f t="shared" si="3"/>
        <v>10636.827281445068</v>
      </c>
      <c r="G11" s="8">
        <f>2.954*10^-3</f>
        <v>2.954E-3</v>
      </c>
      <c r="H11" s="5">
        <f t="shared" si="4"/>
        <v>33.216107462079499</v>
      </c>
    </row>
    <row r="12" spans="1:8" x14ac:dyDescent="0.3">
      <c r="A12" s="7" t="s">
        <v>16</v>
      </c>
      <c r="B12" s="5">
        <f>0.011142385913</f>
        <v>1.1142385913E-2</v>
      </c>
      <c r="C12" s="5">
        <f>29926*10^-12</f>
        <v>2.9925999999999999E-8</v>
      </c>
      <c r="D12" s="5">
        <v>3200</v>
      </c>
      <c r="E12" s="5">
        <f t="shared" si="2"/>
        <v>106.93042839002874</v>
      </c>
      <c r="F12" s="5">
        <f t="shared" si="3"/>
        <v>9596.7263407446062</v>
      </c>
      <c r="G12" s="15">
        <f>2.954*10^-3</f>
        <v>2.954E-3</v>
      </c>
      <c r="H12" s="5">
        <f t="shared" si="4"/>
        <v>36.198520104952181</v>
      </c>
    </row>
    <row r="13" spans="1:8" x14ac:dyDescent="0.3">
      <c r="A13" s="9" t="s">
        <v>38</v>
      </c>
      <c r="B13" s="8">
        <v>1.1096663E-2</v>
      </c>
      <c r="C13" s="8">
        <v>3.0463E-8</v>
      </c>
      <c r="D13" s="5">
        <v>3200</v>
      </c>
      <c r="E13" s="5">
        <f t="shared" si="2"/>
        <v>105.04546499031612</v>
      </c>
      <c r="F13" s="5">
        <f t="shared" si="3"/>
        <v>9466.401294724019</v>
      </c>
      <c r="G13" s="8">
        <v>3.8830000000000002E-3</v>
      </c>
      <c r="H13" s="5">
        <f t="shared" si="4"/>
        <v>27.052656448703612</v>
      </c>
    </row>
    <row r="14" spans="1:8" x14ac:dyDescent="0.3">
      <c r="A14" s="10"/>
      <c r="B14" s="11" t="s">
        <v>17</v>
      </c>
      <c r="C14" s="11" t="s">
        <v>4</v>
      </c>
      <c r="D14" s="11" t="s">
        <v>2</v>
      </c>
      <c r="E14" s="11" t="s">
        <v>3</v>
      </c>
      <c r="F14" s="11" t="s">
        <v>5</v>
      </c>
      <c r="G14" s="11" t="s">
        <v>6</v>
      </c>
      <c r="H14" s="11" t="s">
        <v>7</v>
      </c>
    </row>
    <row r="15" spans="1:8" x14ac:dyDescent="0.3">
      <c r="A15" s="12" t="s">
        <v>29</v>
      </c>
      <c r="B15" s="8"/>
      <c r="C15" s="8"/>
      <c r="D15" s="5"/>
      <c r="E15" s="5"/>
      <c r="F15" s="5"/>
      <c r="G15" s="8"/>
      <c r="H15" s="5"/>
    </row>
    <row r="16" spans="1:8" x14ac:dyDescent="0.3">
      <c r="A16" s="5" t="s">
        <v>34</v>
      </c>
      <c r="B16" s="8">
        <v>8.6462899020000004E-3</v>
      </c>
      <c r="C16" s="8">
        <v>3.9602E-8</v>
      </c>
      <c r="D16" s="5">
        <v>3200</v>
      </c>
      <c r="E16" s="5">
        <f t="shared" si="2"/>
        <v>80.803999797990002</v>
      </c>
      <c r="F16" s="8">
        <f>E16/B16/1000</f>
        <v>9.3455112786929551</v>
      </c>
      <c r="G16" s="8">
        <v>2.3249999999999998E-3</v>
      </c>
      <c r="H16" s="5">
        <f t="shared" si="4"/>
        <v>34.754408515264522</v>
      </c>
    </row>
    <row r="17" spans="1:16" x14ac:dyDescent="0.3">
      <c r="A17" s="5" t="s">
        <v>37</v>
      </c>
      <c r="B17" s="8">
        <v>8.6462899020000004E-3</v>
      </c>
      <c r="C17" s="8">
        <v>4.2557000000000002E-8</v>
      </c>
      <c r="D17" s="5">
        <v>3200</v>
      </c>
      <c r="E17" s="5">
        <f t="shared" si="2"/>
        <v>75.193270202316896</v>
      </c>
      <c r="F17" s="8">
        <f t="shared" ref="F17:F27" si="5">E17/B17/1000</f>
        <v>8.6965936898465213</v>
      </c>
      <c r="G17" s="8">
        <v>2.1619999999999999E-3</v>
      </c>
      <c r="H17" s="5">
        <f t="shared" si="4"/>
        <v>34.779495930766373</v>
      </c>
    </row>
    <row r="18" spans="1:16" x14ac:dyDescent="0.3">
      <c r="A18" s="5" t="s">
        <v>35</v>
      </c>
      <c r="B18" s="8">
        <v>8.6462899020000004E-3</v>
      </c>
      <c r="C18" s="8">
        <v>4.5195000000000002E-8</v>
      </c>
      <c r="D18" s="5">
        <v>3200</v>
      </c>
      <c r="E18" s="5">
        <f t="shared" si="2"/>
        <v>70.804292510233424</v>
      </c>
      <c r="F18" s="8">
        <f t="shared" si="5"/>
        <v>8.1889797025953825</v>
      </c>
      <c r="G18" s="8">
        <v>2.0339999999999998E-3</v>
      </c>
      <c r="H18" s="5">
        <f t="shared" si="4"/>
        <v>34.81036996569982</v>
      </c>
    </row>
    <row r="19" spans="1:16" x14ac:dyDescent="0.3">
      <c r="A19" s="5" t="s">
        <v>36</v>
      </c>
      <c r="B19" s="8">
        <v>8.6462899020000004E-3</v>
      </c>
      <c r="C19" s="8">
        <v>4.7832000000000001E-8</v>
      </c>
      <c r="D19" s="5">
        <v>3200</v>
      </c>
      <c r="E19" s="5">
        <f t="shared" si="2"/>
        <v>66.900819535039304</v>
      </c>
      <c r="F19" s="8">
        <f t="shared" si="5"/>
        <v>7.7375175125187816</v>
      </c>
      <c r="G19" s="8">
        <v>1.921E-3</v>
      </c>
      <c r="H19" s="5">
        <f t="shared" si="4"/>
        <v>34.826038279562368</v>
      </c>
    </row>
    <row r="20" spans="1:16" x14ac:dyDescent="0.3">
      <c r="A20" s="5" t="s">
        <v>33</v>
      </c>
      <c r="B20" s="8">
        <v>8.6836147020000008E-3</v>
      </c>
      <c r="C20" s="8">
        <v>3.9075999999999999E-8</v>
      </c>
      <c r="D20" s="5">
        <v>3200</v>
      </c>
      <c r="E20" s="5">
        <f t="shared" ref="E20:E23" si="6">D20/C20/10^(9)</f>
        <v>81.891698229092029</v>
      </c>
      <c r="F20" s="8">
        <f t="shared" si="5"/>
        <v>9.4306001635736809</v>
      </c>
      <c r="G20" s="8">
        <v>2.359E-3</v>
      </c>
      <c r="H20" s="5">
        <f t="shared" si="4"/>
        <v>34.714581699487937</v>
      </c>
      <c r="L20">
        <v>739</v>
      </c>
      <c r="M20">
        <v>670</v>
      </c>
      <c r="N20">
        <f>24649.30237/1000</f>
        <v>24.649302370000001</v>
      </c>
      <c r="P20">
        <f>12387.75452/1000</f>
        <v>12.38775452</v>
      </c>
    </row>
    <row r="21" spans="1:16" x14ac:dyDescent="0.3">
      <c r="A21" s="5" t="s">
        <v>30</v>
      </c>
      <c r="B21" s="8">
        <v>8.6836147020000008E-3</v>
      </c>
      <c r="C21" s="8">
        <v>4.2557000000000002E-8</v>
      </c>
      <c r="D21" s="5">
        <v>3200</v>
      </c>
      <c r="E21" s="5">
        <f t="shared" si="6"/>
        <v>75.193270202316896</v>
      </c>
      <c r="F21" s="8">
        <f t="shared" si="5"/>
        <v>8.6592131022347711</v>
      </c>
      <c r="G21" s="8">
        <v>2.1640000000000001E-3</v>
      </c>
      <c r="H21" s="5">
        <f t="shared" si="4"/>
        <v>34.747352219185252</v>
      </c>
      <c r="L21">
        <v>805</v>
      </c>
      <c r="M21">
        <v>805</v>
      </c>
      <c r="N21">
        <f>23634.60416/1000</f>
        <v>23.634604159999999</v>
      </c>
      <c r="P21">
        <f>10328.09762/1000</f>
        <v>10.328097620000001</v>
      </c>
    </row>
    <row r="22" spans="1:16" x14ac:dyDescent="0.3">
      <c r="A22" s="5" t="s">
        <v>32</v>
      </c>
      <c r="B22" s="8">
        <v>8.6836147020000008E-3</v>
      </c>
      <c r="C22" s="8">
        <v>4.5195000000000002E-8</v>
      </c>
      <c r="D22" s="5">
        <v>3200</v>
      </c>
      <c r="E22" s="5">
        <f t="shared" si="6"/>
        <v>70.804292510233424</v>
      </c>
      <c r="F22" s="8">
        <f t="shared" si="5"/>
        <v>8.1537809932914058</v>
      </c>
      <c r="G22" s="8">
        <v>2.0370000000000002E-3</v>
      </c>
      <c r="H22" s="5">
        <f t="shared" si="4"/>
        <v>34.759102852348271</v>
      </c>
      <c r="L22">
        <v>855</v>
      </c>
      <c r="M22">
        <v>860</v>
      </c>
      <c r="N22">
        <f>22430.27537/1000</f>
        <v>22.43027537</v>
      </c>
      <c r="P22">
        <f>9725.245862/1000</f>
        <v>9.7252458619999995</v>
      </c>
    </row>
    <row r="23" spans="1:16" x14ac:dyDescent="0.3">
      <c r="A23" s="5" t="s">
        <v>31</v>
      </c>
      <c r="B23" s="8">
        <v>8.6836147020000008E-3</v>
      </c>
      <c r="C23" s="8">
        <v>4.7832000000000001E-8</v>
      </c>
      <c r="D23" s="5">
        <v>3200</v>
      </c>
      <c r="E23" s="5">
        <f t="shared" si="6"/>
        <v>66.900819535039304</v>
      </c>
      <c r="F23" s="8">
        <f t="shared" si="5"/>
        <v>7.7042593241303967</v>
      </c>
      <c r="G23" s="8">
        <v>1.9239999999999999E-3</v>
      </c>
      <c r="H23" s="5">
        <f t="shared" si="4"/>
        <v>34.771735725072404</v>
      </c>
      <c r="L23">
        <v>905</v>
      </c>
      <c r="M23">
        <v>905</v>
      </c>
      <c r="N23">
        <f>21292.17526/1000</f>
        <v>21.29217526</v>
      </c>
      <c r="P23">
        <f>9189.07828/1000</f>
        <v>9.1890782800000004</v>
      </c>
    </row>
    <row r="24" spans="1:16" x14ac:dyDescent="0.3">
      <c r="A24" s="5" t="s">
        <v>42</v>
      </c>
      <c r="B24" s="8">
        <v>9.1595059020000008E-3</v>
      </c>
      <c r="C24" s="8">
        <v>3.229E-8</v>
      </c>
      <c r="D24" s="5">
        <v>3200</v>
      </c>
      <c r="E24" s="5">
        <f t="shared" ref="E24:E25" si="7">D24/C24/10^(9)</f>
        <v>99.101889129761531</v>
      </c>
      <c r="F24" s="8">
        <f t="shared" si="5"/>
        <v>10.819567145878729</v>
      </c>
      <c r="G24" s="8">
        <v>2.9729999999999999E-3</v>
      </c>
      <c r="H24" s="5">
        <f t="shared" si="4"/>
        <v>33.33396876211286</v>
      </c>
    </row>
    <row r="25" spans="1:16" x14ac:dyDescent="0.3">
      <c r="A25" s="5" t="s">
        <v>39</v>
      </c>
      <c r="B25" s="8">
        <v>9.1595059020000008E-3</v>
      </c>
      <c r="C25" s="8">
        <v>4.3363000000000003E-8</v>
      </c>
      <c r="D25" s="5">
        <v>3200</v>
      </c>
      <c r="E25" s="5">
        <f t="shared" si="7"/>
        <v>73.795632221017911</v>
      </c>
      <c r="F25" s="8">
        <f t="shared" si="5"/>
        <v>8.0567263136873404</v>
      </c>
      <c r="G25" s="8">
        <v>2.2000000000000001E-3</v>
      </c>
      <c r="H25" s="5">
        <f t="shared" si="4"/>
        <v>33.543469191371777</v>
      </c>
    </row>
    <row r="26" spans="1:16" x14ac:dyDescent="0.3">
      <c r="A26" s="5" t="s">
        <v>40</v>
      </c>
      <c r="B26" s="8">
        <v>9.1595059020000008E-3</v>
      </c>
      <c r="C26" s="8">
        <v>4.6501000000000001E-8</v>
      </c>
      <c r="D26" s="5">
        <v>3200</v>
      </c>
      <c r="E26" s="5">
        <f>D26/C26/10^(9)</f>
        <v>68.8157243930238</v>
      </c>
      <c r="F26" s="8">
        <f t="shared" si="5"/>
        <v>7.5130389269139197</v>
      </c>
      <c r="G26" s="8">
        <v>2.0699999999999998E-3</v>
      </c>
      <c r="H26" s="5">
        <f t="shared" si="4"/>
        <v>33.244311300977685</v>
      </c>
      <c r="L26">
        <v>805</v>
      </c>
    </row>
    <row r="27" spans="1:16" x14ac:dyDescent="0.3">
      <c r="A27" s="5" t="s">
        <v>41</v>
      </c>
      <c r="B27" s="8">
        <v>9.1595059020000008E-3</v>
      </c>
      <c r="C27" s="8">
        <v>4.8738000000000003E-8</v>
      </c>
      <c r="D27" s="5">
        <v>3200</v>
      </c>
      <c r="E27" s="5">
        <f>D27/C27/10^(9)</f>
        <v>65.657187410234314</v>
      </c>
      <c r="F27" s="8">
        <f t="shared" si="5"/>
        <v>7.1682018782146217</v>
      </c>
      <c r="G27" s="8">
        <v>1.9550000000000001E-3</v>
      </c>
      <c r="H27" s="5">
        <f t="shared" si="4"/>
        <v>33.584239084518828</v>
      </c>
      <c r="L27">
        <v>827</v>
      </c>
    </row>
    <row r="28" spans="1:16" x14ac:dyDescent="0.3">
      <c r="B28" s="2"/>
      <c r="C28" s="2"/>
      <c r="D28" s="3"/>
      <c r="E28" s="3"/>
      <c r="F28" s="3"/>
      <c r="G28" s="2"/>
      <c r="L28">
        <v>855</v>
      </c>
    </row>
    <row r="29" spans="1:16" x14ac:dyDescent="0.3">
      <c r="A29" t="s">
        <v>18</v>
      </c>
      <c r="B29">
        <f>6332.852146*10^-6</f>
        <v>6.3328521460000002E-3</v>
      </c>
      <c r="C29">
        <f>41751*10^-12</f>
        <v>4.1751000000000001E-8</v>
      </c>
      <c r="D29">
        <v>3200</v>
      </c>
      <c r="E29" s="13">
        <f>D29/C29/10^(9)</f>
        <v>76.64487078153816</v>
      </c>
      <c r="F29" s="13">
        <f>E29/B29/1000</f>
        <v>12.102741231681703</v>
      </c>
      <c r="G29" s="1">
        <f>1.588*10^-3</f>
        <v>1.5880000000000002E-3</v>
      </c>
      <c r="H29">
        <f t="shared" si="4"/>
        <v>48.26503197829858</v>
      </c>
      <c r="L29">
        <v>905</v>
      </c>
    </row>
    <row r="30" spans="1:16" x14ac:dyDescent="0.3">
      <c r="A30" s="3" t="s">
        <v>21</v>
      </c>
      <c r="B30" s="3">
        <f>6246.538541*10^-6</f>
        <v>6.2465385409999994E-3</v>
      </c>
      <c r="C30" s="2">
        <v>4.2785999999999997E-8</v>
      </c>
      <c r="D30" s="3">
        <v>3200</v>
      </c>
      <c r="E30" s="3">
        <f>D30/C30/10^(9)</f>
        <v>74.790819426915348</v>
      </c>
      <c r="F30" s="3">
        <f t="shared" ref="F30:F32" si="8">E30/B30/1000</f>
        <v>11.973162245940804</v>
      </c>
      <c r="G30" s="2">
        <v>1.5460000000000001E-3</v>
      </c>
      <c r="H30" s="3">
        <f t="shared" si="4"/>
        <v>48.376985399039675</v>
      </c>
    </row>
    <row r="31" spans="1:16" x14ac:dyDescent="0.3">
      <c r="A31" t="s">
        <v>19</v>
      </c>
      <c r="B31">
        <f>6246.538541*10^-6</f>
        <v>6.2465385409999994E-3</v>
      </c>
      <c r="C31">
        <f>44339*10^-12</f>
        <v>4.4338999999999998E-8</v>
      </c>
      <c r="D31">
        <v>3200</v>
      </c>
      <c r="E31" s="13">
        <f>D31/C31/10^(9)</f>
        <v>72.171226234240734</v>
      </c>
      <c r="F31" s="13">
        <f t="shared" si="8"/>
        <v>11.553795075550266</v>
      </c>
      <c r="G31" s="1">
        <f>1.496*10^-3</f>
        <v>1.4959999999999999E-3</v>
      </c>
      <c r="H31">
        <f t="shared" si="4"/>
        <v>48.242798284920276</v>
      </c>
      <c r="L31">
        <v>739</v>
      </c>
    </row>
    <row r="32" spans="1:16" x14ac:dyDescent="0.3">
      <c r="A32" t="s">
        <v>20</v>
      </c>
      <c r="B32">
        <f>6246.538541*10^-6</f>
        <v>6.2465385409999994E-3</v>
      </c>
      <c r="C32">
        <f>46926*10^-12</f>
        <v>4.6925999999999999E-8</v>
      </c>
      <c r="D32">
        <v>3200</v>
      </c>
      <c r="E32" s="13">
        <f>D32/C32/10^(9)</f>
        <v>68.192473255764398</v>
      </c>
      <c r="F32" s="13">
        <f t="shared" si="8"/>
        <v>10.916841832988604</v>
      </c>
      <c r="G32" s="1">
        <f>1.412*10^-3</f>
        <v>1.4119999999999998E-3</v>
      </c>
      <c r="H32">
        <f t="shared" si="4"/>
        <v>48.294952730711337</v>
      </c>
      <c r="L32">
        <v>805</v>
      </c>
    </row>
    <row r="33" spans="1:12" x14ac:dyDescent="0.3">
      <c r="B33" s="4" t="s">
        <v>17</v>
      </c>
      <c r="C33" s="4" t="s">
        <v>4</v>
      </c>
      <c r="D33" s="4" t="s">
        <v>2</v>
      </c>
      <c r="E33" s="4" t="s">
        <v>3</v>
      </c>
      <c r="F33" s="4" t="s">
        <v>5</v>
      </c>
      <c r="G33" s="14" t="s">
        <v>6</v>
      </c>
      <c r="H33" s="4" t="s">
        <v>7</v>
      </c>
      <c r="L33">
        <v>855</v>
      </c>
    </row>
    <row r="34" spans="1:12" x14ac:dyDescent="0.3">
      <c r="A34" t="s">
        <v>22</v>
      </c>
      <c r="B34">
        <f>6332.852146*10^-6</f>
        <v>6.3328521460000002E-3</v>
      </c>
      <c r="C34">
        <f>41751*10^-12</f>
        <v>4.1751000000000001E-8</v>
      </c>
      <c r="D34">
        <v>3200</v>
      </c>
      <c r="E34" s="13">
        <f>D34/C34/10^(9)</f>
        <v>76.64487078153816</v>
      </c>
      <c r="F34" s="13">
        <f>E34/B34/1000</f>
        <v>12.102741231681703</v>
      </c>
      <c r="G34" s="1">
        <f>1.588*10^-3</f>
        <v>1.5880000000000002E-3</v>
      </c>
      <c r="H34">
        <f t="shared" si="4"/>
        <v>48.26503197829858</v>
      </c>
      <c r="L34">
        <v>905</v>
      </c>
    </row>
    <row r="35" spans="1:12" x14ac:dyDescent="0.3">
      <c r="A35" s="3" t="s">
        <v>25</v>
      </c>
      <c r="B35" s="3">
        <f>6246.538541*10^-6</f>
        <v>6.2465385409999994E-3</v>
      </c>
      <c r="C35" s="3">
        <f>42890*10^-12</f>
        <v>4.2890000000000002E-8</v>
      </c>
      <c r="D35" s="3">
        <v>3200</v>
      </c>
      <c r="E35" s="3">
        <f>D35/C35/10^(9)</f>
        <v>74.609466076008388</v>
      </c>
      <c r="F35" s="3">
        <f t="shared" ref="F35:F37" si="9">E35/B35/1000</f>
        <v>11.944129630562443</v>
      </c>
      <c r="G35" s="2">
        <f>1.545*10^-3</f>
        <v>1.5449999999999999E-3</v>
      </c>
      <c r="H35" s="3">
        <f t="shared" si="4"/>
        <v>48.290916554050739</v>
      </c>
    </row>
    <row r="36" spans="1:12" x14ac:dyDescent="0.3">
      <c r="A36" t="s">
        <v>23</v>
      </c>
      <c r="B36">
        <f>6246.538541*10^-6</f>
        <v>6.2465385409999994E-3</v>
      </c>
      <c r="C36">
        <f>44339*10^-12</f>
        <v>4.4338999999999998E-8</v>
      </c>
      <c r="D36">
        <v>3200</v>
      </c>
      <c r="E36" s="13">
        <f>D36/C36/10^(9)</f>
        <v>72.171226234240734</v>
      </c>
      <c r="F36" s="13">
        <f t="shared" si="9"/>
        <v>11.553795075550266</v>
      </c>
      <c r="G36" s="1">
        <f>1.496*10^-3</f>
        <v>1.4959999999999999E-3</v>
      </c>
      <c r="H36">
        <f t="shared" si="4"/>
        <v>48.242798284920276</v>
      </c>
    </row>
    <row r="37" spans="1:12" x14ac:dyDescent="0.3">
      <c r="A37" t="s">
        <v>24</v>
      </c>
      <c r="B37">
        <f>6246.538541*10^-6</f>
        <v>6.2465385409999994E-3</v>
      </c>
      <c r="C37">
        <f>46926*10^-12</f>
        <v>4.6925999999999999E-8</v>
      </c>
      <c r="D37">
        <v>3200</v>
      </c>
      <c r="E37" s="13">
        <f>D37/C37/10^(9)</f>
        <v>68.192473255764398</v>
      </c>
      <c r="F37" s="13">
        <f t="shared" si="9"/>
        <v>10.916841832988604</v>
      </c>
      <c r="G37" s="1">
        <f>1.412*10^-3</f>
        <v>1.4119999999999998E-3</v>
      </c>
      <c r="H37">
        <f t="shared" si="4"/>
        <v>48.294952730711337</v>
      </c>
    </row>
    <row r="38" spans="1:12" x14ac:dyDescent="0.3">
      <c r="B38" s="4" t="s">
        <v>17</v>
      </c>
      <c r="C38" s="4" t="s">
        <v>4</v>
      </c>
      <c r="D38" s="4" t="s">
        <v>2</v>
      </c>
      <c r="E38" s="4" t="s">
        <v>3</v>
      </c>
      <c r="F38" s="4" t="s">
        <v>5</v>
      </c>
      <c r="G38" s="4" t="s">
        <v>6</v>
      </c>
      <c r="H38" s="4" t="s">
        <v>7</v>
      </c>
    </row>
    <row r="39" spans="1:12" x14ac:dyDescent="0.3">
      <c r="A39" t="s">
        <v>26</v>
      </c>
      <c r="B39">
        <f>6337.284468*10^-6</f>
        <v>6.3372844679999993E-3</v>
      </c>
      <c r="C39">
        <f>41751*10^-12</f>
        <v>4.1751000000000001E-8</v>
      </c>
      <c r="D39">
        <v>3200</v>
      </c>
      <c r="E39" s="13">
        <f t="shared" ref="E39:E47" si="10">D39/C39/10^(9)</f>
        <v>76.64487078153816</v>
      </c>
      <c r="F39" s="13">
        <f>E39/B39/1000</f>
        <v>12.094276526255847</v>
      </c>
      <c r="G39" s="1">
        <f>1.595*10^-3</f>
        <v>1.5950000000000001E-3</v>
      </c>
      <c r="H39">
        <f t="shared" si="4"/>
        <v>48.053210521340539</v>
      </c>
    </row>
    <row r="40" spans="1:12" x14ac:dyDescent="0.3">
      <c r="A40" s="3" t="s">
        <v>44</v>
      </c>
      <c r="B40" s="3">
        <f>6209.213741*10^-6</f>
        <v>6.2092137409999991E-3</v>
      </c>
      <c r="C40" s="3">
        <f>43511*10^-12</f>
        <v>4.3510999999999998E-8</v>
      </c>
      <c r="D40" s="3">
        <v>3200</v>
      </c>
      <c r="E40" s="3">
        <f t="shared" si="10"/>
        <v>73.544620900461965</v>
      </c>
      <c r="F40" s="3">
        <f t="shared" ref="F40:F42" si="11">E40/B40/1000</f>
        <v>11.844433767006633</v>
      </c>
      <c r="G40" s="2">
        <f>1.523*10^-3</f>
        <v>1.523E-3</v>
      </c>
      <c r="H40" s="3">
        <f t="shared" si="4"/>
        <v>48.28931116248323</v>
      </c>
    </row>
    <row r="41" spans="1:12" x14ac:dyDescent="0.3">
      <c r="A41" t="s">
        <v>27</v>
      </c>
      <c r="B41">
        <f>6209.213741*10^-6</f>
        <v>6.2092137409999991E-3</v>
      </c>
      <c r="C41">
        <f>44339*10^-12</f>
        <v>4.4338999999999998E-8</v>
      </c>
      <c r="D41">
        <v>3200</v>
      </c>
      <c r="E41" s="13">
        <f t="shared" si="10"/>
        <v>72.171226234240734</v>
      </c>
      <c r="F41" s="13">
        <f t="shared" si="11"/>
        <v>11.62324720079897</v>
      </c>
      <c r="G41" s="1">
        <f>1.494*10^-3</f>
        <v>1.4940000000000001E-3</v>
      </c>
      <c r="H41">
        <f t="shared" si="4"/>
        <v>48.307380344203963</v>
      </c>
    </row>
    <row r="42" spans="1:12" x14ac:dyDescent="0.3">
      <c r="A42" t="s">
        <v>28</v>
      </c>
      <c r="B42">
        <f>6209.213741*10^-6</f>
        <v>6.2092137409999991E-3</v>
      </c>
      <c r="C42">
        <f>46926*10^-12</f>
        <v>4.6925999999999999E-8</v>
      </c>
      <c r="D42">
        <v>3200</v>
      </c>
      <c r="E42" s="13">
        <f t="shared" si="10"/>
        <v>68.192473255764398</v>
      </c>
      <c r="F42" s="13">
        <f t="shared" si="11"/>
        <v>10.982465107535813</v>
      </c>
      <c r="G42" s="1">
        <f>1.411*10^-3</f>
        <v>1.4110000000000001E-3</v>
      </c>
      <c r="H42">
        <f t="shared" si="4"/>
        <v>48.329180195438973</v>
      </c>
    </row>
    <row r="43" spans="1:12" x14ac:dyDescent="0.3">
      <c r="E43" s="3"/>
      <c r="F43" s="3"/>
      <c r="G43" s="1"/>
    </row>
    <row r="44" spans="1:12" x14ac:dyDescent="0.3">
      <c r="E44" s="3"/>
      <c r="F44" s="3"/>
      <c r="G44" s="1"/>
    </row>
    <row r="45" spans="1:12" x14ac:dyDescent="0.3">
      <c r="A45" s="5" t="s">
        <v>43</v>
      </c>
      <c r="B45">
        <f>10054.367983*10^-6</f>
        <v>1.0054367982999999E-2</v>
      </c>
      <c r="C45">
        <f>39816*10^-12</f>
        <v>3.9815999999999997E-8</v>
      </c>
      <c r="D45">
        <v>3200</v>
      </c>
      <c r="E45" s="3">
        <f t="shared" si="10"/>
        <v>80.369700622865182</v>
      </c>
      <c r="F45" s="3">
        <f t="shared" ref="F24:F47" si="12">E45/B45</f>
        <v>7993.5109555125573</v>
      </c>
      <c r="G45" s="1">
        <f>2.601*10^-3</f>
        <v>2.601E-3</v>
      </c>
      <c r="H45">
        <f t="shared" si="4"/>
        <v>30.899538878456433</v>
      </c>
    </row>
    <row r="46" spans="1:12" x14ac:dyDescent="0.3">
      <c r="A46" s="5" t="s">
        <v>43</v>
      </c>
      <c r="E46" s="3" t="e">
        <f t="shared" si="10"/>
        <v>#DIV/0!</v>
      </c>
      <c r="F46" s="3" t="e">
        <f t="shared" si="12"/>
        <v>#DIV/0!</v>
      </c>
      <c r="H46" t="e">
        <f t="shared" si="4"/>
        <v>#DIV/0!</v>
      </c>
    </row>
    <row r="47" spans="1:12" x14ac:dyDescent="0.3">
      <c r="A47" s="5" t="s">
        <v>43</v>
      </c>
      <c r="E47" s="3" t="e">
        <f t="shared" si="10"/>
        <v>#DIV/0!</v>
      </c>
      <c r="F47" s="3" t="e">
        <f t="shared" si="12"/>
        <v>#DIV/0!</v>
      </c>
      <c r="H47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778C802BE1F48AD9D7A34E0069F8A" ma:contentTypeVersion="3" ma:contentTypeDescription="Create a new document." ma:contentTypeScope="" ma:versionID="e290303896a9566925365ed1e2fe9b89">
  <xsd:schema xmlns:xsd="http://www.w3.org/2001/XMLSchema" xmlns:xs="http://www.w3.org/2001/XMLSchema" xmlns:p="http://schemas.microsoft.com/office/2006/metadata/properties" xmlns:ns3="e1b49bfa-44cc-4e0d-bce4-2463b76b632a" targetNamespace="http://schemas.microsoft.com/office/2006/metadata/properties" ma:root="true" ma:fieldsID="eb11dab56aea1d775028f7566e08f35c" ns3:_="">
    <xsd:import namespace="e1b49bfa-44cc-4e0d-bce4-2463b76b6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49bfa-44cc-4e0d-bce4-2463b76b6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FD565B-7D6A-4AB5-9495-D50951564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b49bfa-44cc-4e0d-bce4-2463b76b6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645551-A2DD-4DD5-A855-9949022D9F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D82EEB-A303-40DF-9915-3571E4396EBD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e1b49bfa-44cc-4e0d-bce4-2463b76b632a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施沛萱</dc:creator>
  <cp:lastModifiedBy>王奕凱</cp:lastModifiedBy>
  <dcterms:created xsi:type="dcterms:W3CDTF">2024-01-09T05:49:04Z</dcterms:created>
  <dcterms:modified xsi:type="dcterms:W3CDTF">2024-01-18T12:51:47Z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0x01010009C778C802BE1F48AD9D7A34E0069F8A</vt:lpwstr>
  </property>
</Properties>
</file>